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D:\Users\aholt\Downloads\"/>
    </mc:Choice>
  </mc:AlternateContent>
  <xr:revisionPtr revIDLastSave="0" documentId="13_ncr:1_{F3D05037-3CB4-4417-A119-727634312914}" xr6:coauthVersionLast="47" xr6:coauthVersionMax="47" xr10:uidLastSave="{00000000-0000-0000-0000-000000000000}"/>
  <bookViews>
    <workbookView xWindow="-2892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Hospitality!$A$1:$E$31</definedName>
    <definedName name="_xlnm.Print_Area" localSheetId="1">'Summary and sign-off'!$A$1:$F$23</definedName>
    <definedName name="_xlnm.Print_Area" localSheetId="2">Travel!$A$1:$E$118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4" i="1" l="1"/>
  <c r="B72" i="1"/>
  <c r="B68" i="1"/>
  <c r="B69" i="1"/>
  <c r="B67" i="1"/>
  <c r="B70" i="1" l="1"/>
  <c r="B60" i="1"/>
  <c r="B66" i="1"/>
  <c r="B62" i="1"/>
  <c r="B56" i="1"/>
  <c r="B53" i="1"/>
  <c r="B63" i="1"/>
  <c r="B47" i="1"/>
  <c r="B29" i="1"/>
  <c r="B33" i="1"/>
  <c r="B27" i="1"/>
  <c r="B50" i="1"/>
  <c r="B43" i="1"/>
  <c r="B38" i="1"/>
  <c r="B61" i="1"/>
  <c r="D25" i="4"/>
  <c r="C25" i="3"/>
  <c r="C24" i="2"/>
  <c r="C107" i="1"/>
  <c r="C22" i="1"/>
  <c r="B6" i="13"/>
  <c r="E60" i="13"/>
  <c r="C60" i="13"/>
  <c r="C27" i="4"/>
  <c r="C26" i="4"/>
  <c r="B60" i="13"/>
  <c r="B59" i="13"/>
  <c r="D59" i="13"/>
  <c r="B58" i="13"/>
  <c r="D58" i="13"/>
  <c r="D57" i="13"/>
  <c r="B57" i="13"/>
  <c r="D56" i="13"/>
  <c r="D55" i="13"/>
  <c r="B55" i="13"/>
  <c r="B2" i="4"/>
  <c r="B3" i="4"/>
  <c r="B2" i="3"/>
  <c r="B3" i="3"/>
  <c r="B2" i="2"/>
  <c r="B3" i="2"/>
  <c r="B2" i="1"/>
  <c r="B3" i="1"/>
  <c r="F60" i="13"/>
  <c r="E25" i="4"/>
  <c r="F59" i="13"/>
  <c r="D25" i="3"/>
  <c r="C13" i="13"/>
  <c r="C12" i="13"/>
  <c r="C11" i="13"/>
  <c r="C16" i="13" s="1"/>
  <c r="B5" i="4"/>
  <c r="B4" i="4"/>
  <c r="B5" i="3"/>
  <c r="B4" i="3"/>
  <c r="B5" i="2"/>
  <c r="B4" i="2"/>
  <c r="B5" i="1"/>
  <c r="B4" i="1"/>
  <c r="F12" i="13"/>
  <c r="C25" i="4"/>
  <c r="F11" i="13"/>
  <c r="F13" i="13"/>
  <c r="B107" i="1"/>
  <c r="B17" i="13" s="1"/>
  <c r="B22" i="1"/>
  <c r="B15" i="13" s="1"/>
  <c r="B25" i="3"/>
  <c r="B13" i="13"/>
  <c r="B24" i="2"/>
  <c r="B12" i="13"/>
  <c r="F58" i="13" l="1"/>
  <c r="D24" i="2" s="1"/>
  <c r="B56" i="13"/>
  <c r="F56" i="13" s="1"/>
  <c r="D93" i="1" s="1"/>
  <c r="F55" i="13"/>
  <c r="D22" i="1" s="1"/>
  <c r="B93" i="1"/>
  <c r="B16" i="13" s="1"/>
  <c r="B11" i="13" s="1"/>
  <c r="C93" i="1"/>
  <c r="F57" i="13"/>
  <c r="D107" i="1" s="1"/>
  <c r="C15" i="13"/>
  <c r="C17" i="13"/>
  <c r="B1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9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<sst xmlns="http://schemas.openxmlformats.org/spreadsheetml/2006/main" count="422" uniqueCount="233">
  <si>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</si>
  <si>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</si>
  <si>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</si>
  <si>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</si>
  <si>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</si>
  <si>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</si>
  <si>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</si>
  <si>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</si>
  <si>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</si>
  <si>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</si>
  <si>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</si>
  <si>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</si>
  <si>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</si>
  <si>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</si>
  <si>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</si>
  <si>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</si>
  <si>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</si>
  <si>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</si>
  <si>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</si>
  <si>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</si>
  <si>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</si>
  <si>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</si>
  <si>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</si>
  <si>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</si>
  <si>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</si>
  <si>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</si>
  <si>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</si>
  <si>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</si>
  <si>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</si>
  <si>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</si>
  <si>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</si>
  <si>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</si>
  <si>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</si>
  <si>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</si>
  <si>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</si>
  <si>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</si>
  <si>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</si>
  <si>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</si>
  <si>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</si>
  <si>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</si>
  <si>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</si>
  <si>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</si>
  <si>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</si>
  <si>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</si>
  <si>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</si>
  <si>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</si>
  <si>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</si>
  <si>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</si>
  <si>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</si>
  <si>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</si>
  <si>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</si>
  <si>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</si>
  <si>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</si>
  <si>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</si>
  <si>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</si>
  <si>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</si>
  <si>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</si>
  <si>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</si>
  <si>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</si>
  <si>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</si>
  <si>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</si>
  <si>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</si>
  <si>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</si>
  <si>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</si>
  <si>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</si>
  <si>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</si>
  <si>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</si>
  <si>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</si>
  <si>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</si>
  <si>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</si>
  <si>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</si>
  <si>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</si>
  <si>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</si>
  <si>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</si>
  <si>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</si>
  <si>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</si>
  <si>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</si>
  <si>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</si>
  <si>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</si>
  <si>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</si>
  <si>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</si>
  <si>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</si>
  <si>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</si>
  <si>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</si>
  <si>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</si>
  <si>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</si>
  <si>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</si>
  <si>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</si>
  <si>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</si>
  <si>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</si>
  <si>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</si>
  <si>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</si>
  <si>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</si>
  <si>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</si>
  <si>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</si>
  <si>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</si>
  <si>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</si>
  <si>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</si>
  <si>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</si>
  <si>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</si>
  <si>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</si>
  <si>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</si>
  <si>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</si>
  <si>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</si>
  <si>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</si>
  <si>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</si>
  <si>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</si>
  <si>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</si>
  <si>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</si>
  <si>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</si>
  <si>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</si>
  <si>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</si>
  <si>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</si>
  <si>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</si>
  <si>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</si>
  <si>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</si>
  <si>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</si>
  <si>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</si>
  <si>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</si>
  <si>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</si>
  <si>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</si>
  <si>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</si>
  <si>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</si>
  <si>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</si>
  <si>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</si>
  <si>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</si>
  <si>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</si>
  <si>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</si>
  <si>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</si>
  <si>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</si>
  <si>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</si>
  <si>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</si>
  <si>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</si>
  <si>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</si>
  <si>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</si>
  <si>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</si>
  <si>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</si>
  <si>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</si>
  <si>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</si>
  <si>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</si>
  <si>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</si>
  <si>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</si>
  <si>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</si>
  <si>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</si>
  <si>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</si>
  <si>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</si>
  <si>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</si>
  <si>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</si>
  <si>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</si>
  <si>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</si>
  <si>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</si>
  <si>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</si>
  <si>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</si>
  <si>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</si>
  <si>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</si>
  <si>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</si>
  <si>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</si>
  <si>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</si>
  <si>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</si>
  <si>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</si>
  <si>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</si>
  <si>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</si>
  <si>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</si>
  <si>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</si>
  <si>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</si>
  <si>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</si>
  <si>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</si>
  <si>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</si>
  <si>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</si>
  <si>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Department of Conservation</t>
  </si>
  <si>
    <t>Airfares</t>
  </si>
  <si>
    <t>Kaikoura</t>
  </si>
  <si>
    <t>Queenstown</t>
  </si>
  <si>
    <t>Whenua Hou with dignitaries</t>
  </si>
  <si>
    <t>Whenua Hoa</t>
  </si>
  <si>
    <t>Taxi</t>
  </si>
  <si>
    <t>70th anniversary closure Waiuta Mine</t>
  </si>
  <si>
    <t>Hokitika</t>
  </si>
  <si>
    <t>Accommodation</t>
  </si>
  <si>
    <t>Hoiho Conference, Wildlife Hospital, Owaka</t>
  </si>
  <si>
    <t>Dunedin</t>
  </si>
  <si>
    <t>Car Hire</t>
  </si>
  <si>
    <t>Ngai Tahu hui supporting Minister of Conservation</t>
  </si>
  <si>
    <t>Christchurch</t>
  </si>
  <si>
    <t>Ngati Maru, Venture Taranaki, Backcountry Trust</t>
  </si>
  <si>
    <t>Taranaki</t>
  </si>
  <si>
    <t>Present Stephen O'Dea Award, staff visits</t>
  </si>
  <si>
    <t>Nelson</t>
  </si>
  <si>
    <t>Environmental Defence Society (valedictory speech)</t>
  </si>
  <si>
    <t>Poroporoaki with Ngai Tahu and Rakiura visit</t>
  </si>
  <si>
    <t>Invercargill</t>
  </si>
  <si>
    <t>Poroporoaki with Northland iwi</t>
  </si>
  <si>
    <t>Whangarei</t>
  </si>
  <si>
    <t>Conservation Stakeholder event and various meetings</t>
  </si>
  <si>
    <t>Auckland</t>
  </si>
  <si>
    <t>DOC Office visits and various meetings</t>
  </si>
  <si>
    <t>Southern Seabirds Board meeting (last year's return)</t>
  </si>
  <si>
    <t>Company Directors Course</t>
  </si>
  <si>
    <t>Meet with Ruapehu Lifts, Predator Free Board meeting</t>
  </si>
  <si>
    <t>Taupo</t>
  </si>
  <si>
    <t>Predator Free Board meeting</t>
  </si>
  <si>
    <t xml:space="preserve">Airfare Fee </t>
  </si>
  <si>
    <t>Visit to Hokitika</t>
  </si>
  <si>
    <t>NZ Nature Trust Fundraiser (cancelled Covid)</t>
  </si>
  <si>
    <t>Airfare</t>
  </si>
  <si>
    <t>Tauranga</t>
  </si>
  <si>
    <t>Lou Sanson to 13th September, Bruce Parkes 14th September to 31 October 2021. Penny Nelson November 2021 to June 2022</t>
  </si>
  <si>
    <t>Visit Southland Region/staff/mayors/ CEOs/iwi</t>
  </si>
  <si>
    <t>Meals</t>
  </si>
  <si>
    <t>Te Urewera Board hui</t>
  </si>
  <si>
    <t>Whakatane</t>
  </si>
  <si>
    <t>Perth Valley visit - cancelled</t>
  </si>
  <si>
    <t xml:space="preserve">EDS Conference </t>
  </si>
  <si>
    <t>Visit Nelson/Marlborough Region</t>
  </si>
  <si>
    <t xml:space="preserve">Meet with Tūhoe </t>
  </si>
  <si>
    <t>Rotorua</t>
  </si>
  <si>
    <t>NZ Conservation Authority Board meeting (cancelled)</t>
  </si>
  <si>
    <t>Waitangi hui - cancelled</t>
  </si>
  <si>
    <t>Waitangi</t>
  </si>
  <si>
    <t>Auckland Office visit/Zoo CE and Ngai Tai</t>
  </si>
  <si>
    <t xml:space="preserve">Ngai Tai meeting </t>
  </si>
  <si>
    <t>Fiordland Visit/Anchor/Chalky/Preservation Islands</t>
  </si>
  <si>
    <t>Institute of Directors workshop (cancelled)</t>
  </si>
  <si>
    <t>Ngai Tahu meeting and dinner with NT Officials</t>
  </si>
  <si>
    <t xml:space="preserve">Fiordland </t>
  </si>
  <si>
    <t>Minister's Roadshows 13-17 June 2022</t>
  </si>
  <si>
    <t>New Plymouth</t>
  </si>
  <si>
    <t>NO INFORMATION TO DISCLOSE</t>
  </si>
  <si>
    <t>Meals - 2 people</t>
  </si>
  <si>
    <t>Wellington</t>
  </si>
  <si>
    <t>Business meeting with consultant</t>
  </si>
  <si>
    <t xml:space="preserve">Meeting with CE, Tourism Industry Association </t>
  </si>
  <si>
    <t>This disclosure has been approved by the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</si>
</sst>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000"/>
  </numFmts>
  <fonts count="38"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8"/>
      <color rgb="FF1F497D"/>
      <name val="Verdana"/>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168" fontId="37" fillId="0" borderId="11" applyNumberFormat="0" applyProtection="0">
      <alignment horizontal="right" vertical="center"/>
    </xf>
  </cellStyleXfs>
  <cellXfs count="19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67" fontId="21" fillId="11" borderId="3" xfId="0" applyNumberFormat="1" applyFont="1" applyFill="1" applyBorder="1" applyAlignment="1" applyProtection="1">
      <alignment vertical="center"/>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4">
    <cellStyle name="Currency" xfId="2" builtinId="4"/>
    <cellStyle name="Hyperlink" xfId="1" builtinId="8"/>
    <cellStyle name="Normal" xfId="0" builtinId="0"/>
    <cellStyle name="SAPDataCell" xfId="3" xr:uid="{6093CD7E-3D3A-4D61-8636-9345F1509036}"/>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E0CD305-F862-4C95-B7DB-0568653234F4}">
  <we:reference id="967b0e41-7fdd-4c01-a3f8-58484213399a"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12" Type="http://schemas.openxmlformats.org/officeDocument/2006/relationships/comments" Target="../comments1.xm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vmlDrawing" Target="../drawings/vmlDrawing1.vml"/><Relationship Id="rId5" Type="http://schemas.openxmlformats.org/officeDocument/2006/relationships/hyperlink" Target="http://www.ssc.govt.nz/ce-expenses-disclosure" TargetMode="External"/><Relationship Id="rId10" Type="http://schemas.openxmlformats.org/officeDocument/2006/relationships/customProperty" Target="../customProperty1.bin"/><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zoomScaleNormal="100" workbookViewId="0">
      <selection activeCell="A14" sqref="A14"/>
    </sheetView>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customProperties>
    <customPr name="_pios_id" r:id="rId10"/>
  </customProperties>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F15" sqref="F15"/>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3" t="s">
        <v>51</v>
      </c>
      <c r="B1" s="173"/>
      <c r="C1" s="173"/>
      <c r="D1" s="173"/>
      <c r="E1" s="173"/>
      <c r="F1" s="173"/>
      <c r="G1" s="46"/>
      <c r="H1" s="46"/>
      <c r="I1" s="46"/>
      <c r="J1" s="46"/>
      <c r="K1" s="46"/>
    </row>
    <row r="2" spans="1:11" ht="21" customHeight="1" x14ac:dyDescent="0.2">
      <c r="A2" s="4" t="s">
        <v>52</v>
      </c>
      <c r="B2" s="174" t="s">
        <v>169</v>
      </c>
      <c r="C2" s="174"/>
      <c r="D2" s="174"/>
      <c r="E2" s="174"/>
      <c r="F2" s="174"/>
      <c r="G2" s="46"/>
      <c r="H2" s="46"/>
      <c r="I2" s="46"/>
      <c r="J2" s="46"/>
      <c r="K2" s="46"/>
    </row>
    <row r="3" spans="1:11" ht="21" customHeight="1" x14ac:dyDescent="0.2">
      <c r="A3" s="4" t="s">
        <v>53</v>
      </c>
      <c r="B3" s="174" t="s">
        <v>206</v>
      </c>
      <c r="C3" s="174"/>
      <c r="D3" s="174"/>
      <c r="E3" s="174"/>
      <c r="F3" s="174"/>
      <c r="G3" s="46"/>
      <c r="H3" s="46"/>
      <c r="I3" s="46"/>
      <c r="J3" s="46"/>
      <c r="K3" s="46"/>
    </row>
    <row r="4" spans="1:11" ht="21" customHeight="1" x14ac:dyDescent="0.2">
      <c r="A4" s="4" t="s">
        <v>54</v>
      </c>
      <c r="B4" s="175">
        <v>44378</v>
      </c>
      <c r="C4" s="175"/>
      <c r="D4" s="175"/>
      <c r="E4" s="175"/>
      <c r="F4" s="175"/>
      <c r="G4" s="46"/>
      <c r="H4" s="46"/>
      <c r="I4" s="46"/>
      <c r="J4" s="46"/>
      <c r="K4" s="46"/>
    </row>
    <row r="5" spans="1:11" ht="21" customHeight="1" x14ac:dyDescent="0.2">
      <c r="A5" s="4" t="s">
        <v>55</v>
      </c>
      <c r="B5" s="175">
        <v>44742</v>
      </c>
      <c r="C5" s="175"/>
      <c r="D5" s="175"/>
      <c r="E5" s="175"/>
      <c r="F5" s="175"/>
      <c r="G5" s="46"/>
      <c r="H5" s="46"/>
      <c r="I5" s="46"/>
      <c r="J5" s="46"/>
      <c r="K5" s="46"/>
    </row>
    <row r="6" spans="1:11" ht="21" customHeight="1" x14ac:dyDescent="0.2">
      <c r="A6" s="4" t="s">
        <v>56</v>
      </c>
      <c r="B6" s="172" t="str">
        <f>IF(AND(Travel!B7&lt;&gt;A30,Hospitality!B7&lt;&gt;A30,'All other expenses'!B7&lt;&gt;A30,'Gifts and benefits'!B7&lt;&gt;A30),A31,IF(AND(Travel!B7=A30,Hospitality!B7=A30,'All other expenses'!B7=A30,'Gifts and benefits'!B7=A30),A33,A32))</f>
        <v>Data and totals checked on all sheets</v>
      </c>
      <c r="C6" s="172"/>
      <c r="D6" s="172"/>
      <c r="E6" s="172"/>
      <c r="F6" s="172"/>
      <c r="G6" s="34"/>
      <c r="H6" s="46"/>
      <c r="I6" s="46"/>
      <c r="J6" s="46"/>
      <c r="K6" s="46"/>
    </row>
    <row r="7" spans="1:11" ht="21" customHeight="1" x14ac:dyDescent="0.2">
      <c r="A7" s="4" t="s">
        <v>57</v>
      </c>
      <c r="B7" s="171" t="s">
        <v>89</v>
      </c>
      <c r="C7" s="171"/>
      <c r="D7" s="171"/>
      <c r="E7" s="171"/>
      <c r="F7" s="171"/>
      <c r="G7" s="34"/>
      <c r="H7" s="46"/>
      <c r="I7" s="46"/>
      <c r="J7" s="46"/>
      <c r="K7" s="46"/>
    </row>
    <row r="8" spans="1:11" ht="21" customHeight="1" x14ac:dyDescent="0.2">
      <c r="A8" s="4" t="s">
        <v>59</v>
      </c>
      <c r="B8" s="171" t="s">
        <v>232</v>
      </c>
      <c r="C8" s="171"/>
      <c r="D8" s="171"/>
      <c r="E8" s="171"/>
      <c r="F8" s="171"/>
      <c r="G8" s="34"/>
      <c r="H8" s="46"/>
      <c r="I8" s="46"/>
      <c r="J8" s="46"/>
      <c r="K8" s="46"/>
    </row>
    <row r="9" spans="1:11" ht="66.75" customHeight="1" x14ac:dyDescent="0.2">
      <c r="A9" s="170" t="s">
        <v>60</v>
      </c>
      <c r="B9" s="170"/>
      <c r="C9" s="170"/>
      <c r="D9" s="170"/>
      <c r="E9" s="170"/>
      <c r="F9" s="170"/>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12506.32</v>
      </c>
      <c r="C11" s="102" t="str">
        <f>IF(Travel!B6="",A34,Travel!B6)</f>
        <v>Figures exclude GST</v>
      </c>
      <c r="D11" s="8"/>
      <c r="E11" s="10" t="s">
        <v>66</v>
      </c>
      <c r="F11" s="56">
        <f>'Gifts and benefits'!C25</f>
        <v>0</v>
      </c>
      <c r="G11" s="47"/>
      <c r="H11" s="47"/>
      <c r="I11" s="47"/>
      <c r="J11" s="47"/>
      <c r="K11" s="47"/>
    </row>
    <row r="12" spans="1:11" ht="27.75" customHeight="1" x14ac:dyDescent="0.2">
      <c r="A12" s="10" t="s">
        <v>24</v>
      </c>
      <c r="B12" s="94">
        <f>Hospitality!B24</f>
        <v>35.869999999999997</v>
      </c>
      <c r="C12" s="102" t="str">
        <f>IF(Hospitality!B6="",A34,Hospitality!B6)</f>
        <v>Figures exclude GST</v>
      </c>
      <c r="D12" s="8"/>
      <c r="E12" s="10" t="s">
        <v>67</v>
      </c>
      <c r="F12" s="56">
        <f>'Gifts and benefits'!C26</f>
        <v>0</v>
      </c>
      <c r="G12" s="47"/>
      <c r="H12" s="47"/>
      <c r="I12" s="47"/>
      <c r="J12" s="47"/>
      <c r="K12" s="47"/>
    </row>
    <row r="13" spans="1:11" ht="27.75" customHeight="1" x14ac:dyDescent="0.2">
      <c r="A13" s="10" t="s">
        <v>68</v>
      </c>
      <c r="B13" s="94">
        <f>'All other expenses'!B25</f>
        <v>0</v>
      </c>
      <c r="C13" s="102" t="str">
        <f>IF('All other expenses'!B6="",A34,'All other expenses'!B6)</f>
        <v>Figures exclude GST</v>
      </c>
      <c r="D13" s="8"/>
      <c r="E13" s="10" t="s">
        <v>69</v>
      </c>
      <c r="F13" s="56">
        <f>'Gifts and benefits'!C27</f>
        <v>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0</v>
      </c>
      <c r="C15" s="104" t="str">
        <f>C11</f>
        <v>Figures exclude GST</v>
      </c>
      <c r="D15" s="8"/>
      <c r="E15" s="8"/>
      <c r="F15" s="58"/>
      <c r="G15" s="46"/>
      <c r="H15" s="46"/>
      <c r="I15" s="46"/>
      <c r="J15" s="46"/>
      <c r="K15" s="46"/>
    </row>
    <row r="16" spans="1:11" ht="27.75" customHeight="1" x14ac:dyDescent="0.2">
      <c r="A16" s="11" t="s">
        <v>71</v>
      </c>
      <c r="B16" s="96">
        <f>Travel!B93</f>
        <v>12506.32</v>
      </c>
      <c r="C16" s="104" t="str">
        <f>C11</f>
        <v>Figures exclude GST</v>
      </c>
      <c r="D16" s="59"/>
      <c r="E16" s="8"/>
      <c r="F16" s="60"/>
      <c r="G16" s="46"/>
      <c r="H16" s="46"/>
      <c r="I16" s="46"/>
      <c r="J16" s="46"/>
      <c r="K16" s="46"/>
    </row>
    <row r="17" spans="1:11" ht="27.75" customHeight="1" x14ac:dyDescent="0.2">
      <c r="A17" s="11" t="s">
        <v>72</v>
      </c>
      <c r="B17" s="96">
        <f>Travel!B107</f>
        <v>0</v>
      </c>
      <c r="C17" s="10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0</v>
      </c>
      <c r="C55" s="111"/>
      <c r="D55" s="111">
        <f>COUNTIF(Travel!D12:D21,"*")</f>
        <v>0</v>
      </c>
      <c r="E55" s="112"/>
      <c r="F55" s="112" t="b">
        <f>MIN(B55,D55)=MAX(B55,D55)</f>
        <v>1</v>
      </c>
      <c r="G55" s="46"/>
      <c r="H55" s="46"/>
      <c r="I55" s="46"/>
      <c r="J55" s="46"/>
      <c r="K55" s="46"/>
    </row>
    <row r="56" spans="1:11" hidden="1" x14ac:dyDescent="0.2">
      <c r="A56" s="121" t="s">
        <v>105</v>
      </c>
      <c r="B56" s="111">
        <f>COUNT(Travel!B26:B92)</f>
        <v>61</v>
      </c>
      <c r="C56" s="111"/>
      <c r="D56" s="111">
        <f>COUNTIF(Travel!D26:D92,"*")</f>
        <v>61</v>
      </c>
      <c r="E56" s="112"/>
      <c r="F56" s="112" t="b">
        <f>MIN(B56,D56)=MAX(B56,D56)</f>
        <v>1</v>
      </c>
    </row>
    <row r="57" spans="1:11" hidden="1" x14ac:dyDescent="0.2">
      <c r="A57" s="122"/>
      <c r="B57" s="111">
        <f>COUNT(Travel!B97:B106)</f>
        <v>0</v>
      </c>
      <c r="C57" s="111"/>
      <c r="D57" s="111">
        <f>COUNTIF(Travel!D97:D106,"*")</f>
        <v>0</v>
      </c>
      <c r="E57" s="112"/>
      <c r="F57" s="112" t="b">
        <f>MIN(B57,D57)=MAX(B57,D57)</f>
        <v>1</v>
      </c>
    </row>
    <row r="58" spans="1:11" hidden="1" x14ac:dyDescent="0.2">
      <c r="A58" s="123" t="s">
        <v>106</v>
      </c>
      <c r="B58" s="113">
        <f>COUNT(Hospitality!B11:B23)</f>
        <v>2</v>
      </c>
      <c r="C58" s="113"/>
      <c r="D58" s="113">
        <f>COUNTIF(Hospitality!D11:D23,"*")</f>
        <v>2</v>
      </c>
      <c r="E58" s="114"/>
      <c r="F58" s="114" t="b">
        <f>MIN(B58,D58)=MAX(B58,D58)</f>
        <v>1</v>
      </c>
    </row>
    <row r="59" spans="1:11" hidden="1" x14ac:dyDescent="0.2">
      <c r="A59" s="124" t="s">
        <v>107</v>
      </c>
      <c r="B59" s="112">
        <f>COUNT('All other expenses'!B11:B24)</f>
        <v>0</v>
      </c>
      <c r="C59" s="112"/>
      <c r="D59" s="112">
        <f>COUNTIF('All other expenses'!D11:D24,"*")</f>
        <v>0</v>
      </c>
      <c r="E59" s="112"/>
      <c r="F59" s="112" t="b">
        <f>MIN(B59,D59)=MAX(B59,D59)</f>
        <v>1</v>
      </c>
    </row>
    <row r="60" spans="1:11" hidden="1" x14ac:dyDescent="0.2">
      <c r="A60" s="123" t="s">
        <v>108</v>
      </c>
      <c r="B60" s="113">
        <f>COUNTIF('Gifts and benefits'!B11:B24,"*")</f>
        <v>0</v>
      </c>
      <c r="C60" s="113">
        <f>COUNTIF('Gifts and benefits'!C11:C24,"*")</f>
        <v>0</v>
      </c>
      <c r="D60" s="113"/>
      <c r="E60" s="113">
        <f>COUNTA('Gifts and benefits'!E11:E24)</f>
        <v>0</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5"/>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3" t="s">
        <v>109</v>
      </c>
      <c r="B1" s="173"/>
      <c r="C1" s="173"/>
      <c r="D1" s="173"/>
      <c r="E1" s="173"/>
      <c r="F1" s="46"/>
    </row>
    <row r="2" spans="1:6" ht="21" customHeight="1" x14ac:dyDescent="0.2">
      <c r="A2" s="4" t="s">
        <v>52</v>
      </c>
      <c r="B2" s="176" t="str">
        <f>'Summary and sign-off'!B2:F2</f>
        <v>Department of Conservation</v>
      </c>
      <c r="C2" s="176"/>
      <c r="D2" s="176"/>
      <c r="E2" s="176"/>
      <c r="F2" s="46"/>
    </row>
    <row r="3" spans="1:6" ht="21" customHeight="1" x14ac:dyDescent="0.2">
      <c r="A3" s="4" t="s">
        <v>110</v>
      </c>
      <c r="B3" s="176" t="str">
        <f>'Summary and sign-off'!B3:F3</f>
        <v>Lou Sanson to 13th September, Bruce Parkes 14th September to 31 October 2021. Penny Nelson November 2021 to June 2022</v>
      </c>
      <c r="C3" s="176"/>
      <c r="D3" s="176"/>
      <c r="E3" s="176"/>
      <c r="F3" s="46"/>
    </row>
    <row r="4" spans="1:6" ht="21" customHeight="1" x14ac:dyDescent="0.2">
      <c r="A4" s="4" t="s">
        <v>111</v>
      </c>
      <c r="B4" s="176">
        <f>'Summary and sign-off'!B4:F4</f>
        <v>44378</v>
      </c>
      <c r="C4" s="176"/>
      <c r="D4" s="176"/>
      <c r="E4" s="176"/>
      <c r="F4" s="46"/>
    </row>
    <row r="5" spans="1:6" ht="21" customHeight="1" x14ac:dyDescent="0.2">
      <c r="A5" s="4" t="s">
        <v>112</v>
      </c>
      <c r="B5" s="176">
        <f>'Summary and sign-off'!B5:F5</f>
        <v>44742</v>
      </c>
      <c r="C5" s="176"/>
      <c r="D5" s="176"/>
      <c r="E5" s="176"/>
      <c r="F5" s="46"/>
    </row>
    <row r="6" spans="1:6" ht="21" customHeight="1" x14ac:dyDescent="0.2">
      <c r="A6" s="4" t="s">
        <v>113</v>
      </c>
      <c r="B6" s="171" t="s">
        <v>81</v>
      </c>
      <c r="C6" s="171"/>
      <c r="D6" s="171"/>
      <c r="E6" s="171"/>
      <c r="F6" s="46"/>
    </row>
    <row r="7" spans="1:6" ht="21" customHeight="1" x14ac:dyDescent="0.2">
      <c r="A7" s="4" t="s">
        <v>56</v>
      </c>
      <c r="B7" s="171" t="s">
        <v>83</v>
      </c>
      <c r="C7" s="171"/>
      <c r="D7" s="171"/>
      <c r="E7" s="171"/>
      <c r="F7" s="46"/>
    </row>
    <row r="8" spans="1:6" ht="36" customHeight="1" x14ac:dyDescent="0.2">
      <c r="A8" s="179" t="s">
        <v>114</v>
      </c>
      <c r="B8" s="180"/>
      <c r="C8" s="180"/>
      <c r="D8" s="180"/>
      <c r="E8" s="180"/>
      <c r="F8" s="22"/>
    </row>
    <row r="9" spans="1:6" ht="36" customHeight="1" x14ac:dyDescent="0.2">
      <c r="A9" s="181" t="s">
        <v>115</v>
      </c>
      <c r="B9" s="182"/>
      <c r="C9" s="182"/>
      <c r="D9" s="182"/>
      <c r="E9" s="182"/>
      <c r="F9" s="22"/>
    </row>
    <row r="10" spans="1:6" ht="24.75" customHeight="1" x14ac:dyDescent="0.2">
      <c r="A10" s="178" t="s">
        <v>116</v>
      </c>
      <c r="B10" s="183"/>
      <c r="C10" s="178"/>
      <c r="D10" s="178"/>
      <c r="E10" s="178"/>
      <c r="F10" s="47"/>
    </row>
    <row r="11" spans="1:6" ht="27" customHeight="1" x14ac:dyDescent="0.2">
      <c r="A11" s="35" t="s">
        <v>117</v>
      </c>
      <c r="B11" s="35" t="s">
        <v>118</v>
      </c>
      <c r="C11" s="35" t="s">
        <v>119</v>
      </c>
      <c r="D11" s="35" t="s">
        <v>120</v>
      </c>
      <c r="E11" s="35" t="s">
        <v>121</v>
      </c>
      <c r="F11" s="48"/>
    </row>
    <row r="12" spans="1:6" s="87" customFormat="1" x14ac:dyDescent="0.2">
      <c r="A12" s="133"/>
      <c r="B12" s="134"/>
      <c r="C12" s="135"/>
      <c r="D12" s="135"/>
      <c r="E12" s="136"/>
      <c r="F12" s="1"/>
    </row>
    <row r="13" spans="1:6" s="87" customFormat="1" x14ac:dyDescent="0.2">
      <c r="A13" s="157"/>
      <c r="B13" s="158"/>
      <c r="C13" s="159"/>
      <c r="D13" s="159"/>
      <c r="E13" s="160"/>
      <c r="F13" s="1"/>
    </row>
    <row r="14" spans="1:6" s="87" customFormat="1" x14ac:dyDescent="0.2">
      <c r="A14" s="157"/>
      <c r="B14" s="158"/>
      <c r="C14" s="159"/>
      <c r="D14" s="159"/>
      <c r="E14" s="160"/>
      <c r="F14" s="1"/>
    </row>
    <row r="15" spans="1:6" s="87" customFormat="1" x14ac:dyDescent="0.2">
      <c r="A15" s="157"/>
      <c r="B15" s="158"/>
      <c r="C15" s="159"/>
      <c r="D15" s="159"/>
      <c r="E15" s="160"/>
      <c r="F15" s="1"/>
    </row>
    <row r="16" spans="1:6" s="87" customFormat="1" x14ac:dyDescent="0.2">
      <c r="A16" s="157"/>
      <c r="B16" s="158"/>
      <c r="C16" s="159"/>
      <c r="D16" s="159"/>
      <c r="E16" s="160"/>
      <c r="F16" s="1"/>
    </row>
    <row r="17" spans="1:6" s="87" customFormat="1" x14ac:dyDescent="0.2">
      <c r="A17" s="157"/>
      <c r="B17" s="158"/>
      <c r="C17" s="159"/>
      <c r="D17" s="159"/>
      <c r="E17" s="160"/>
      <c r="F17" s="1"/>
    </row>
    <row r="18" spans="1:6" s="87" customFormat="1" ht="12.75" customHeight="1" x14ac:dyDescent="0.2">
      <c r="A18" s="157"/>
      <c r="B18" s="158"/>
      <c r="C18" s="159"/>
      <c r="D18" s="159"/>
      <c r="E18" s="160"/>
      <c r="F18" s="1"/>
    </row>
    <row r="19" spans="1:6" s="87" customFormat="1" x14ac:dyDescent="0.2">
      <c r="A19" s="161"/>
      <c r="B19" s="158"/>
      <c r="C19" s="159"/>
      <c r="D19" s="159"/>
      <c r="E19" s="160"/>
      <c r="F19" s="1"/>
    </row>
    <row r="20" spans="1:6" s="87" customFormat="1" x14ac:dyDescent="0.2">
      <c r="A20" s="161"/>
      <c r="B20" s="158"/>
      <c r="C20" s="159"/>
      <c r="D20" s="159"/>
      <c r="E20" s="160"/>
      <c r="F20" s="1"/>
    </row>
    <row r="21" spans="1:6" s="87" customFormat="1" x14ac:dyDescent="0.2">
      <c r="A21" s="143"/>
      <c r="B21" s="144"/>
      <c r="C21" s="145"/>
      <c r="D21" s="145"/>
      <c r="E21" s="146"/>
      <c r="F21" s="1"/>
    </row>
    <row r="22" spans="1:6" ht="19.5" customHeight="1" x14ac:dyDescent="0.2">
      <c r="A22" s="107" t="s">
        <v>122</v>
      </c>
      <c r="B22" s="108">
        <f>SUM(B12:B21)</f>
        <v>0</v>
      </c>
      <c r="C22" s="168" t="str">
        <f>IF(SUBTOTAL(3,B12:B21)=SUBTOTAL(103,B12:B21),'Summary and sign-off'!$A$48,'Summary and sign-off'!$A$49)</f>
        <v>Check - there are no hidden rows with data</v>
      </c>
      <c r="D22" s="177" t="str">
        <f>IF('Summary and sign-off'!F55='Summary and sign-off'!F54,'Summary and sign-off'!A51,'Summary and sign-off'!A50)</f>
        <v>Check - each entry provides sufficient information</v>
      </c>
      <c r="E22" s="177"/>
      <c r="F22" s="46"/>
    </row>
    <row r="23" spans="1:6" ht="10.5" customHeight="1" x14ac:dyDescent="0.2">
      <c r="A23" s="27"/>
      <c r="B23" s="22"/>
      <c r="C23" s="27"/>
      <c r="D23" s="27"/>
      <c r="E23" s="27"/>
      <c r="F23" s="27"/>
    </row>
    <row r="24" spans="1:6" ht="24.75" customHeight="1" x14ac:dyDescent="0.2">
      <c r="A24" s="178" t="s">
        <v>123</v>
      </c>
      <c r="B24" s="178"/>
      <c r="C24" s="178"/>
      <c r="D24" s="178"/>
      <c r="E24" s="178"/>
      <c r="F24" s="47"/>
    </row>
    <row r="25" spans="1:6" ht="27" customHeight="1" x14ac:dyDescent="0.2">
      <c r="A25" s="35" t="s">
        <v>117</v>
      </c>
      <c r="B25" s="35" t="s">
        <v>62</v>
      </c>
      <c r="C25" s="35" t="s">
        <v>124</v>
      </c>
      <c r="D25" s="35" t="s">
        <v>120</v>
      </c>
      <c r="E25" s="35" t="s">
        <v>121</v>
      </c>
      <c r="F25" s="48"/>
    </row>
    <row r="26" spans="1:6" s="87" customFormat="1" hidden="1" x14ac:dyDescent="0.2">
      <c r="A26" s="133"/>
      <c r="B26" s="134"/>
      <c r="C26" s="135"/>
      <c r="D26" s="135"/>
      <c r="E26" s="136"/>
      <c r="F26" s="1"/>
    </row>
    <row r="27" spans="1:6" s="87" customFormat="1" x14ac:dyDescent="0.2">
      <c r="A27" s="157">
        <v>44378</v>
      </c>
      <c r="B27" s="158">
        <f>7.5-124.37+0.5</f>
        <v>-116.37</v>
      </c>
      <c r="C27" s="159" t="s">
        <v>196</v>
      </c>
      <c r="D27" s="159" t="s">
        <v>170</v>
      </c>
      <c r="E27" s="160" t="s">
        <v>171</v>
      </c>
      <c r="F27" s="1"/>
    </row>
    <row r="28" spans="1:6" s="87" customFormat="1" x14ac:dyDescent="0.2">
      <c r="A28" s="157">
        <v>44378</v>
      </c>
      <c r="B28" s="158">
        <v>122.78</v>
      </c>
      <c r="C28" s="159" t="s">
        <v>212</v>
      </c>
      <c r="D28" s="159" t="s">
        <v>178</v>
      </c>
      <c r="E28" s="160" t="s">
        <v>183</v>
      </c>
      <c r="F28" s="1"/>
    </row>
    <row r="29" spans="1:6" s="87" customFormat="1" x14ac:dyDescent="0.2">
      <c r="A29" s="157">
        <v>44378</v>
      </c>
      <c r="B29" s="158">
        <f>330.56-384-510.05+141.07</f>
        <v>-422.42</v>
      </c>
      <c r="C29" s="159" t="s">
        <v>173</v>
      </c>
      <c r="D29" s="159" t="s">
        <v>170</v>
      </c>
      <c r="E29" s="160" t="s">
        <v>174</v>
      </c>
      <c r="F29" s="1"/>
    </row>
    <row r="30" spans="1:6" s="87" customFormat="1" x14ac:dyDescent="0.2">
      <c r="A30" s="157">
        <v>44378</v>
      </c>
      <c r="B30" s="158">
        <v>25.28</v>
      </c>
      <c r="C30" s="159" t="s">
        <v>173</v>
      </c>
      <c r="D30" s="159" t="s">
        <v>175</v>
      </c>
      <c r="E30" s="160" t="s">
        <v>174</v>
      </c>
      <c r="F30" s="1"/>
    </row>
    <row r="31" spans="1:6" s="87" customFormat="1" x14ac:dyDescent="0.2">
      <c r="A31" s="157">
        <v>44386</v>
      </c>
      <c r="B31" s="158">
        <v>14.42</v>
      </c>
      <c r="C31" s="159" t="s">
        <v>176</v>
      </c>
      <c r="D31" s="159" t="s">
        <v>175</v>
      </c>
      <c r="E31" s="160" t="s">
        <v>177</v>
      </c>
      <c r="F31" s="1"/>
    </row>
    <row r="32" spans="1:6" s="87" customFormat="1" x14ac:dyDescent="0.2">
      <c r="A32" s="157">
        <v>44386</v>
      </c>
      <c r="B32" s="158">
        <v>71.069999999999993</v>
      </c>
      <c r="C32" s="159" t="s">
        <v>176</v>
      </c>
      <c r="D32" s="159" t="s">
        <v>178</v>
      </c>
      <c r="E32" s="160" t="s">
        <v>177</v>
      </c>
      <c r="F32" s="1"/>
    </row>
    <row r="33" spans="1:6" s="87" customFormat="1" x14ac:dyDescent="0.2">
      <c r="A33" s="157">
        <v>44389</v>
      </c>
      <c r="B33" s="158">
        <f>244</f>
        <v>244</v>
      </c>
      <c r="C33" s="159" t="s">
        <v>176</v>
      </c>
      <c r="D33" s="159" t="s">
        <v>170</v>
      </c>
      <c r="E33" s="160" t="s">
        <v>177</v>
      </c>
      <c r="F33" s="1"/>
    </row>
    <row r="34" spans="1:6" s="87" customFormat="1" x14ac:dyDescent="0.2">
      <c r="A34" s="157">
        <v>44393</v>
      </c>
      <c r="B34" s="158">
        <v>798.34</v>
      </c>
      <c r="C34" s="159" t="s">
        <v>179</v>
      </c>
      <c r="D34" s="159" t="s">
        <v>170</v>
      </c>
      <c r="E34" s="159" t="s">
        <v>180</v>
      </c>
      <c r="F34" s="1"/>
    </row>
    <row r="35" spans="1:6" s="87" customFormat="1" x14ac:dyDescent="0.2">
      <c r="A35" s="157">
        <v>44393</v>
      </c>
      <c r="B35" s="158">
        <v>102.27</v>
      </c>
      <c r="C35" s="159" t="s">
        <v>179</v>
      </c>
      <c r="D35" s="159" t="s">
        <v>181</v>
      </c>
      <c r="E35" s="160" t="s">
        <v>180</v>
      </c>
      <c r="F35" s="1"/>
    </row>
    <row r="36" spans="1:6" s="87" customFormat="1" x14ac:dyDescent="0.2">
      <c r="A36" s="157">
        <v>44398</v>
      </c>
      <c r="B36" s="158">
        <v>394</v>
      </c>
      <c r="C36" s="159" t="s">
        <v>182</v>
      </c>
      <c r="D36" s="159" t="s">
        <v>170</v>
      </c>
      <c r="E36" s="160" t="s">
        <v>183</v>
      </c>
      <c r="F36" s="1"/>
    </row>
    <row r="37" spans="1:6" s="87" customFormat="1" x14ac:dyDescent="0.2">
      <c r="A37" s="157">
        <v>44398</v>
      </c>
      <c r="B37" s="158">
        <v>47.32</v>
      </c>
      <c r="C37" s="159" t="s">
        <v>182</v>
      </c>
      <c r="D37" s="159" t="s">
        <v>175</v>
      </c>
      <c r="E37" s="160" t="s">
        <v>183</v>
      </c>
      <c r="F37" s="1"/>
    </row>
    <row r="38" spans="1:6" s="87" customFormat="1" x14ac:dyDescent="0.2">
      <c r="A38" s="157">
        <v>44398</v>
      </c>
      <c r="B38" s="158">
        <f>199.43+34.77</f>
        <v>234.20000000000002</v>
      </c>
      <c r="C38" s="159" t="s">
        <v>182</v>
      </c>
      <c r="D38" s="159" t="s">
        <v>178</v>
      </c>
      <c r="E38" s="160" t="s">
        <v>183</v>
      </c>
      <c r="F38" s="1"/>
    </row>
    <row r="39" spans="1:6" s="87" customFormat="1" x14ac:dyDescent="0.2">
      <c r="A39" s="157">
        <v>44400</v>
      </c>
      <c r="B39" s="158">
        <v>440.71</v>
      </c>
      <c r="C39" s="159" t="s">
        <v>184</v>
      </c>
      <c r="D39" s="159" t="s">
        <v>170</v>
      </c>
      <c r="E39" s="160" t="s">
        <v>185</v>
      </c>
      <c r="F39" s="1"/>
    </row>
    <row r="40" spans="1:6" s="87" customFormat="1" x14ac:dyDescent="0.2">
      <c r="A40" s="157">
        <v>44400</v>
      </c>
      <c r="B40" s="158">
        <v>125.39</v>
      </c>
      <c r="C40" s="159" t="s">
        <v>184</v>
      </c>
      <c r="D40" s="159" t="s">
        <v>178</v>
      </c>
      <c r="E40" s="160" t="s">
        <v>185</v>
      </c>
    </row>
    <row r="41" spans="1:6" s="87" customFormat="1" x14ac:dyDescent="0.2">
      <c r="A41" s="157">
        <v>44407</v>
      </c>
      <c r="B41" s="158">
        <v>516.51</v>
      </c>
      <c r="C41" s="159" t="s">
        <v>186</v>
      </c>
      <c r="D41" s="159" t="s">
        <v>170</v>
      </c>
      <c r="E41" s="160" t="s">
        <v>187</v>
      </c>
      <c r="F41" s="1"/>
    </row>
    <row r="42" spans="1:6" s="87" customFormat="1" x14ac:dyDescent="0.2">
      <c r="A42" s="157">
        <v>44407</v>
      </c>
      <c r="B42" s="158">
        <v>169.21</v>
      </c>
      <c r="C42" s="159" t="s">
        <v>186</v>
      </c>
      <c r="D42" s="159" t="s">
        <v>181</v>
      </c>
      <c r="E42" s="160" t="s">
        <v>187</v>
      </c>
      <c r="F42" s="1"/>
    </row>
    <row r="43" spans="1:6" s="87" customFormat="1" x14ac:dyDescent="0.2">
      <c r="A43" s="157">
        <v>44407</v>
      </c>
      <c r="B43" s="158">
        <f>94.78+37.83</f>
        <v>132.61000000000001</v>
      </c>
      <c r="C43" s="159" t="s">
        <v>186</v>
      </c>
      <c r="D43" s="159" t="s">
        <v>178</v>
      </c>
      <c r="E43" s="160" t="s">
        <v>187</v>
      </c>
      <c r="F43" s="1"/>
    </row>
    <row r="44" spans="1:6" s="87" customFormat="1" x14ac:dyDescent="0.2">
      <c r="A44" s="157">
        <v>44413</v>
      </c>
      <c r="B44" s="158">
        <v>281.32</v>
      </c>
      <c r="C44" s="159" t="s">
        <v>188</v>
      </c>
      <c r="D44" s="159" t="s">
        <v>170</v>
      </c>
      <c r="E44" s="160" t="s">
        <v>183</v>
      </c>
      <c r="F44" s="1"/>
    </row>
    <row r="45" spans="1:6" s="87" customFormat="1" x14ac:dyDescent="0.2">
      <c r="A45" s="157">
        <v>44413</v>
      </c>
      <c r="B45" s="158">
        <v>68.48</v>
      </c>
      <c r="C45" s="159" t="s">
        <v>188</v>
      </c>
      <c r="D45" s="159" t="s">
        <v>175</v>
      </c>
      <c r="E45" s="160" t="s">
        <v>183</v>
      </c>
      <c r="F45" s="1"/>
    </row>
    <row r="46" spans="1:6" s="87" customFormat="1" x14ac:dyDescent="0.2">
      <c r="A46" s="157">
        <v>44417</v>
      </c>
      <c r="B46" s="158">
        <v>192.37</v>
      </c>
      <c r="C46" s="159" t="s">
        <v>189</v>
      </c>
      <c r="D46" s="159" t="s">
        <v>170</v>
      </c>
      <c r="E46" s="160" t="s">
        <v>190</v>
      </c>
      <c r="F46" s="1"/>
    </row>
    <row r="47" spans="1:6" s="87" customFormat="1" x14ac:dyDescent="0.2">
      <c r="A47" s="157">
        <v>44421</v>
      </c>
      <c r="B47" s="158">
        <f>450.5+43.48</f>
        <v>493.98</v>
      </c>
      <c r="C47" s="159" t="s">
        <v>198</v>
      </c>
      <c r="D47" s="159" t="s">
        <v>170</v>
      </c>
      <c r="E47" s="160" t="s">
        <v>199</v>
      </c>
      <c r="F47" s="1"/>
    </row>
    <row r="48" spans="1:6" s="87" customFormat="1" x14ac:dyDescent="0.2">
      <c r="A48" s="157">
        <v>44421</v>
      </c>
      <c r="B48" s="158">
        <v>86.26</v>
      </c>
      <c r="C48" s="159" t="s">
        <v>198</v>
      </c>
      <c r="D48" s="159" t="s">
        <v>181</v>
      </c>
      <c r="E48" s="160" t="s">
        <v>199</v>
      </c>
      <c r="F48" s="1"/>
    </row>
    <row r="49" spans="1:6" s="87" customFormat="1" x14ac:dyDescent="0.2">
      <c r="A49" s="157">
        <v>44424</v>
      </c>
      <c r="B49" s="158">
        <v>99.83</v>
      </c>
      <c r="C49" s="159" t="s">
        <v>200</v>
      </c>
      <c r="D49" s="159" t="s">
        <v>175</v>
      </c>
      <c r="E49" s="160" t="s">
        <v>194</v>
      </c>
      <c r="F49" s="1"/>
    </row>
    <row r="50" spans="1:6" s="87" customFormat="1" x14ac:dyDescent="0.2">
      <c r="A50" s="157">
        <v>44424</v>
      </c>
      <c r="B50" s="158">
        <f>279.27-249.59+7.06</f>
        <v>36.739999999999981</v>
      </c>
      <c r="C50" s="159" t="s">
        <v>200</v>
      </c>
      <c r="D50" s="159" t="s">
        <v>170</v>
      </c>
      <c r="E50" s="160" t="s">
        <v>194</v>
      </c>
      <c r="F50" s="1"/>
    </row>
    <row r="51" spans="1:6" s="87" customFormat="1" x14ac:dyDescent="0.2">
      <c r="A51" s="157">
        <v>44424</v>
      </c>
      <c r="B51" s="158">
        <v>33.01</v>
      </c>
      <c r="C51" s="159" t="s">
        <v>200</v>
      </c>
      <c r="D51" s="159" t="s">
        <v>208</v>
      </c>
      <c r="E51" s="160" t="s">
        <v>194</v>
      </c>
      <c r="F51" s="1"/>
    </row>
    <row r="52" spans="1:6" s="87" customFormat="1" x14ac:dyDescent="0.2">
      <c r="A52" s="157">
        <v>44433</v>
      </c>
      <c r="B52" s="158">
        <v>35.85</v>
      </c>
      <c r="C52" s="159" t="s">
        <v>191</v>
      </c>
      <c r="D52" s="159" t="s">
        <v>201</v>
      </c>
      <c r="E52" s="160" t="s">
        <v>192</v>
      </c>
      <c r="F52" s="1"/>
    </row>
    <row r="53" spans="1:6" s="87" customFormat="1" x14ac:dyDescent="0.2">
      <c r="A53" s="157">
        <v>44446</v>
      </c>
      <c r="B53" s="158">
        <f>114.31-78.46+7.5</f>
        <v>43.350000000000009</v>
      </c>
      <c r="C53" s="159" t="s">
        <v>193</v>
      </c>
      <c r="D53" s="159" t="s">
        <v>170</v>
      </c>
      <c r="E53" s="160" t="s">
        <v>183</v>
      </c>
      <c r="F53" s="1"/>
    </row>
    <row r="54" spans="1:6" s="87" customFormat="1" x14ac:dyDescent="0.2">
      <c r="A54" s="157">
        <v>44446</v>
      </c>
      <c r="B54" s="158">
        <v>21.7</v>
      </c>
      <c r="C54" s="159" t="s">
        <v>193</v>
      </c>
      <c r="D54" s="159" t="s">
        <v>201</v>
      </c>
      <c r="E54" s="160" t="s">
        <v>194</v>
      </c>
      <c r="F54" s="1"/>
    </row>
    <row r="55" spans="1:6" s="87" customFormat="1" x14ac:dyDescent="0.2">
      <c r="A55" s="157">
        <v>44448</v>
      </c>
      <c r="B55" s="158">
        <v>15.85</v>
      </c>
      <c r="C55" s="159" t="s">
        <v>193</v>
      </c>
      <c r="D55" s="159" t="s">
        <v>170</v>
      </c>
      <c r="E55" s="160" t="s">
        <v>183</v>
      </c>
      <c r="F55" s="1"/>
    </row>
    <row r="56" spans="1:6" s="87" customFormat="1" x14ac:dyDescent="0.2">
      <c r="A56" s="157">
        <v>44449</v>
      </c>
      <c r="B56" s="158">
        <f>437.34-113.53+7.5</f>
        <v>331.30999999999995</v>
      </c>
      <c r="C56" s="159" t="s">
        <v>195</v>
      </c>
      <c r="D56" s="159" t="s">
        <v>170</v>
      </c>
      <c r="E56" s="160" t="s">
        <v>177</v>
      </c>
      <c r="F56" s="1"/>
    </row>
    <row r="57" spans="1:6" s="87" customFormat="1" x14ac:dyDescent="0.2">
      <c r="A57" s="157">
        <v>44449</v>
      </c>
      <c r="B57" s="158">
        <v>265.88</v>
      </c>
      <c r="C57" s="159" t="s">
        <v>195</v>
      </c>
      <c r="D57" s="159" t="s">
        <v>181</v>
      </c>
      <c r="E57" s="160" t="s">
        <v>177</v>
      </c>
      <c r="F57" s="1"/>
    </row>
    <row r="58" spans="1:6" s="87" customFormat="1" x14ac:dyDescent="0.2">
      <c r="A58" s="157">
        <v>44453</v>
      </c>
      <c r="B58" s="158">
        <v>113.53</v>
      </c>
      <c r="C58" s="159" t="s">
        <v>202</v>
      </c>
      <c r="D58" s="159" t="s">
        <v>170</v>
      </c>
      <c r="E58" s="160" t="s">
        <v>177</v>
      </c>
    </row>
    <row r="59" spans="1:6" s="87" customFormat="1" x14ac:dyDescent="0.2">
      <c r="A59" s="157">
        <v>44463</v>
      </c>
      <c r="B59" s="158">
        <v>15.85</v>
      </c>
      <c r="C59" s="159" t="s">
        <v>203</v>
      </c>
      <c r="D59" s="159" t="s">
        <v>201</v>
      </c>
      <c r="E59" s="160" t="s">
        <v>172</v>
      </c>
      <c r="F59" s="1"/>
    </row>
    <row r="60" spans="1:6" s="87" customFormat="1" x14ac:dyDescent="0.2">
      <c r="A60" s="157">
        <v>44467</v>
      </c>
      <c r="B60" s="158">
        <f>15.84+152.03-121.06</f>
        <v>46.81</v>
      </c>
      <c r="C60" s="159" t="s">
        <v>222</v>
      </c>
      <c r="D60" s="159" t="s">
        <v>204</v>
      </c>
      <c r="E60" s="160" t="s">
        <v>172</v>
      </c>
      <c r="F60" s="1"/>
    </row>
    <row r="61" spans="1:6" s="87" customFormat="1" x14ac:dyDescent="0.2">
      <c r="A61" s="157">
        <v>44477</v>
      </c>
      <c r="B61" s="158">
        <f>314.71+5.85</f>
        <v>320.56</v>
      </c>
      <c r="C61" s="159" t="s">
        <v>197</v>
      </c>
      <c r="D61" s="159" t="s">
        <v>170</v>
      </c>
      <c r="E61" s="160" t="s">
        <v>172</v>
      </c>
      <c r="F61" s="1"/>
    </row>
    <row r="62" spans="1:6" s="87" customFormat="1" x14ac:dyDescent="0.2">
      <c r="A62" s="157">
        <v>44483</v>
      </c>
      <c r="B62" s="158">
        <f>563.31-530.06+7.5</f>
        <v>40.75</v>
      </c>
      <c r="C62" s="159" t="s">
        <v>216</v>
      </c>
      <c r="D62" s="159" t="s">
        <v>170</v>
      </c>
      <c r="E62" s="160" t="s">
        <v>205</v>
      </c>
      <c r="F62" s="1"/>
    </row>
    <row r="63" spans="1:6" s="87" customFormat="1" x14ac:dyDescent="0.2">
      <c r="A63" s="157">
        <v>44509</v>
      </c>
      <c r="B63" s="158">
        <f>773.75+8</f>
        <v>781.75</v>
      </c>
      <c r="C63" s="159" t="s">
        <v>209</v>
      </c>
      <c r="D63" s="159" t="s">
        <v>170</v>
      </c>
      <c r="E63" s="160" t="s">
        <v>210</v>
      </c>
      <c r="F63" s="1"/>
    </row>
    <row r="64" spans="1:6" s="87" customFormat="1" x14ac:dyDescent="0.2">
      <c r="A64" s="157">
        <v>44509</v>
      </c>
      <c r="B64" s="158">
        <v>134.78</v>
      </c>
      <c r="C64" s="159" t="s">
        <v>209</v>
      </c>
      <c r="D64" s="159" t="s">
        <v>178</v>
      </c>
      <c r="E64" s="160" t="s">
        <v>210</v>
      </c>
      <c r="F64" s="1"/>
    </row>
    <row r="65" spans="1:6" s="87" customFormat="1" x14ac:dyDescent="0.2">
      <c r="A65" s="157">
        <v>44509</v>
      </c>
      <c r="B65" s="158">
        <v>18.09</v>
      </c>
      <c r="C65" s="159" t="s">
        <v>209</v>
      </c>
      <c r="D65" s="159" t="s">
        <v>208</v>
      </c>
      <c r="E65" s="160" t="s">
        <v>210</v>
      </c>
      <c r="F65" s="1"/>
    </row>
    <row r="66" spans="1:6" s="87" customFormat="1" x14ac:dyDescent="0.2">
      <c r="A66" s="157">
        <v>44511</v>
      </c>
      <c r="B66" s="158">
        <f>177.57+10-253.17</f>
        <v>-65.599999999999994</v>
      </c>
      <c r="C66" s="159" t="s">
        <v>213</v>
      </c>
      <c r="D66" s="159" t="s">
        <v>178</v>
      </c>
      <c r="E66" s="160" t="s">
        <v>187</v>
      </c>
      <c r="F66" s="1"/>
    </row>
    <row r="67" spans="1:6" s="87" customFormat="1" x14ac:dyDescent="0.2">
      <c r="A67" s="157">
        <v>44532</v>
      </c>
      <c r="B67" s="158">
        <f>1164.34+10</f>
        <v>1174.3399999999999</v>
      </c>
      <c r="C67" s="159" t="s">
        <v>207</v>
      </c>
      <c r="D67" s="159" t="s">
        <v>170</v>
      </c>
      <c r="E67" s="160" t="s">
        <v>190</v>
      </c>
      <c r="F67" s="1"/>
    </row>
    <row r="68" spans="1:6" s="87" customFormat="1" x14ac:dyDescent="0.2">
      <c r="A68" s="157">
        <v>44532</v>
      </c>
      <c r="B68" s="158">
        <f>160.11+114.78</f>
        <v>274.89</v>
      </c>
      <c r="C68" s="159" t="s">
        <v>207</v>
      </c>
      <c r="D68" s="159" t="s">
        <v>178</v>
      </c>
      <c r="E68" s="160" t="s">
        <v>190</v>
      </c>
      <c r="F68" s="1"/>
    </row>
    <row r="69" spans="1:6" s="87" customFormat="1" x14ac:dyDescent="0.2">
      <c r="A69" s="157">
        <v>44532</v>
      </c>
      <c r="B69" s="158">
        <f>120+8.5</f>
        <v>128.5</v>
      </c>
      <c r="C69" s="159" t="s">
        <v>207</v>
      </c>
      <c r="D69" s="159" t="s">
        <v>175</v>
      </c>
      <c r="E69" s="160" t="s">
        <v>190</v>
      </c>
      <c r="F69" s="1"/>
    </row>
    <row r="70" spans="1:6" s="87" customFormat="1" x14ac:dyDescent="0.2">
      <c r="A70" s="157">
        <v>44545</v>
      </c>
      <c r="B70" s="158">
        <f>675.32+7.5-750.54</f>
        <v>-67.719999999999914</v>
      </c>
      <c r="C70" s="159" t="s">
        <v>211</v>
      </c>
      <c r="D70" s="159" t="s">
        <v>170</v>
      </c>
      <c r="E70" s="160" t="s">
        <v>172</v>
      </c>
      <c r="F70" s="1"/>
    </row>
    <row r="71" spans="1:6" s="87" customFormat="1" x14ac:dyDescent="0.2">
      <c r="A71" s="157">
        <v>44579</v>
      </c>
      <c r="B71" s="158">
        <v>353.95</v>
      </c>
      <c r="C71" s="159" t="s">
        <v>214</v>
      </c>
      <c r="D71" s="159" t="s">
        <v>170</v>
      </c>
      <c r="E71" s="160" t="s">
        <v>215</v>
      </c>
      <c r="F71" s="1"/>
    </row>
    <row r="72" spans="1:6" s="87" customFormat="1" x14ac:dyDescent="0.2">
      <c r="A72" s="157">
        <v>44586</v>
      </c>
      <c r="B72" s="158">
        <f>613.7+42.61</f>
        <v>656.31000000000006</v>
      </c>
      <c r="C72" s="159" t="s">
        <v>182</v>
      </c>
      <c r="D72" s="159" t="s">
        <v>170</v>
      </c>
      <c r="E72" s="160" t="s">
        <v>177</v>
      </c>
      <c r="F72" s="1"/>
    </row>
    <row r="73" spans="1:6" s="87" customFormat="1" x14ac:dyDescent="0.2">
      <c r="A73" s="157">
        <v>44598</v>
      </c>
      <c r="B73" s="158">
        <v>27.5</v>
      </c>
      <c r="C73" s="159" t="s">
        <v>217</v>
      </c>
      <c r="D73" s="159" t="s">
        <v>170</v>
      </c>
      <c r="E73" s="160" t="s">
        <v>218</v>
      </c>
      <c r="F73" s="1"/>
    </row>
    <row r="74" spans="1:6" s="87" customFormat="1" x14ac:dyDescent="0.2">
      <c r="A74" s="157">
        <v>44659</v>
      </c>
      <c r="B74" s="158">
        <f>271.45+36.52</f>
        <v>307.96999999999997</v>
      </c>
      <c r="C74" s="159" t="s">
        <v>219</v>
      </c>
      <c r="D74" s="159" t="s">
        <v>170</v>
      </c>
      <c r="E74" s="160" t="s">
        <v>194</v>
      </c>
      <c r="F74" s="1"/>
    </row>
    <row r="75" spans="1:6" s="87" customFormat="1" x14ac:dyDescent="0.2">
      <c r="A75" s="157">
        <v>44705</v>
      </c>
      <c r="B75" s="158">
        <v>493.5</v>
      </c>
      <c r="C75" s="159" t="s">
        <v>220</v>
      </c>
      <c r="D75" s="159" t="s">
        <v>170</v>
      </c>
      <c r="E75" s="160" t="s">
        <v>194</v>
      </c>
      <c r="F75" s="1"/>
    </row>
    <row r="76" spans="1:6" s="87" customFormat="1" x14ac:dyDescent="0.2">
      <c r="A76" s="157">
        <v>44712</v>
      </c>
      <c r="B76" s="158">
        <v>379.13</v>
      </c>
      <c r="C76" s="159" t="s">
        <v>221</v>
      </c>
      <c r="D76" s="159" t="s">
        <v>170</v>
      </c>
      <c r="E76" s="160" t="s">
        <v>224</v>
      </c>
      <c r="F76" s="1"/>
    </row>
    <row r="77" spans="1:6" s="87" customFormat="1" x14ac:dyDescent="0.2">
      <c r="A77" s="157">
        <v>44719</v>
      </c>
      <c r="B77" s="158">
        <v>298.17</v>
      </c>
      <c r="C77" s="159" t="s">
        <v>223</v>
      </c>
      <c r="D77" s="159" t="s">
        <v>170</v>
      </c>
      <c r="E77" s="160" t="s">
        <v>183</v>
      </c>
      <c r="F77" s="1"/>
    </row>
    <row r="78" spans="1:6" s="87" customFormat="1" x14ac:dyDescent="0.2">
      <c r="A78" s="157">
        <v>44719</v>
      </c>
      <c r="B78" s="158">
        <v>116.7</v>
      </c>
      <c r="C78" s="159" t="s">
        <v>223</v>
      </c>
      <c r="D78" s="159" t="s">
        <v>178</v>
      </c>
      <c r="E78" s="160" t="s">
        <v>183</v>
      </c>
      <c r="F78" s="1"/>
    </row>
    <row r="79" spans="1:6" s="87" customFormat="1" x14ac:dyDescent="0.2">
      <c r="A79" s="157">
        <v>44719</v>
      </c>
      <c r="B79" s="158">
        <v>72.69</v>
      </c>
      <c r="C79" s="159" t="s">
        <v>223</v>
      </c>
      <c r="D79" s="159" t="s">
        <v>175</v>
      </c>
      <c r="E79" s="160" t="s">
        <v>183</v>
      </c>
      <c r="F79" s="1"/>
    </row>
    <row r="80" spans="1:6" s="87" customFormat="1" x14ac:dyDescent="0.2">
      <c r="A80" s="157">
        <v>44725</v>
      </c>
      <c r="B80" s="158">
        <v>44.87</v>
      </c>
      <c r="C80" s="159" t="s">
        <v>225</v>
      </c>
      <c r="D80" s="159" t="s">
        <v>175</v>
      </c>
      <c r="E80" s="160" t="s">
        <v>215</v>
      </c>
      <c r="F80" s="1"/>
    </row>
    <row r="81" spans="1:6" s="87" customFormat="1" x14ac:dyDescent="0.2">
      <c r="A81" s="157">
        <v>44725</v>
      </c>
      <c r="B81" s="158">
        <v>54.5</v>
      </c>
      <c r="C81" s="159" t="s">
        <v>225</v>
      </c>
      <c r="D81" s="159" t="s">
        <v>178</v>
      </c>
      <c r="E81" s="160" t="s">
        <v>215</v>
      </c>
      <c r="F81" s="1"/>
    </row>
    <row r="82" spans="1:6" s="87" customFormat="1" x14ac:dyDescent="0.2">
      <c r="A82" s="157">
        <v>44726</v>
      </c>
      <c r="B82" s="158">
        <v>176.96</v>
      </c>
      <c r="C82" s="159" t="s">
        <v>225</v>
      </c>
      <c r="D82" s="159" t="s">
        <v>178</v>
      </c>
      <c r="E82" s="160" t="s">
        <v>172</v>
      </c>
      <c r="F82" s="1"/>
    </row>
    <row r="83" spans="1:6" s="87" customFormat="1" x14ac:dyDescent="0.2">
      <c r="A83" s="157">
        <v>44727</v>
      </c>
      <c r="B83" s="158">
        <v>854.78</v>
      </c>
      <c r="C83" s="159" t="s">
        <v>225</v>
      </c>
      <c r="D83" s="159" t="s">
        <v>170</v>
      </c>
      <c r="E83" s="160" t="s">
        <v>183</v>
      </c>
      <c r="F83" s="1"/>
    </row>
    <row r="84" spans="1:6" s="87" customFormat="1" x14ac:dyDescent="0.2">
      <c r="A84" s="157">
        <v>44727</v>
      </c>
      <c r="B84" s="158">
        <v>169.57</v>
      </c>
      <c r="C84" s="159" t="s">
        <v>225</v>
      </c>
      <c r="D84" s="159" t="s">
        <v>178</v>
      </c>
      <c r="E84" s="160" t="s">
        <v>183</v>
      </c>
      <c r="F84" s="1"/>
    </row>
    <row r="85" spans="1:6" s="87" customFormat="1" x14ac:dyDescent="0.2">
      <c r="A85" s="157">
        <v>44728</v>
      </c>
      <c r="B85" s="158">
        <v>366.46</v>
      </c>
      <c r="C85" s="159" t="s">
        <v>225</v>
      </c>
      <c r="D85" s="159" t="s">
        <v>170</v>
      </c>
      <c r="E85" s="160" t="s">
        <v>226</v>
      </c>
      <c r="F85" s="1"/>
    </row>
    <row r="86" spans="1:6" s="87" customFormat="1" x14ac:dyDescent="0.2">
      <c r="A86" s="157">
        <v>44728</v>
      </c>
      <c r="B86" s="158">
        <v>127.83</v>
      </c>
      <c r="C86" s="159" t="s">
        <v>225</v>
      </c>
      <c r="D86" s="159" t="s">
        <v>178</v>
      </c>
      <c r="E86" s="160" t="s">
        <v>172</v>
      </c>
      <c r="F86" s="1"/>
    </row>
    <row r="87" spans="1:6" s="87" customFormat="1" x14ac:dyDescent="0.2">
      <c r="A87" s="157">
        <v>44729</v>
      </c>
      <c r="B87" s="158">
        <v>183.65</v>
      </c>
      <c r="C87" s="159" t="s">
        <v>225</v>
      </c>
      <c r="D87" s="159" t="s">
        <v>170</v>
      </c>
      <c r="E87" s="160" t="s">
        <v>172</v>
      </c>
      <c r="F87" s="1"/>
    </row>
    <row r="88" spans="1:6" s="87" customFormat="1" x14ac:dyDescent="0.2">
      <c r="A88" s="157"/>
      <c r="B88" s="158"/>
      <c r="C88" s="159"/>
      <c r="D88" s="159"/>
      <c r="E88" s="160"/>
      <c r="F88" s="1"/>
    </row>
    <row r="89" spans="1:6" s="87" customFormat="1" x14ac:dyDescent="0.2">
      <c r="A89" s="157"/>
      <c r="B89" s="158"/>
      <c r="C89" s="159"/>
      <c r="D89" s="159"/>
      <c r="E89" s="160"/>
      <c r="F89" s="1"/>
    </row>
    <row r="90" spans="1:6" s="87" customFormat="1" x14ac:dyDescent="0.2">
      <c r="A90" s="157"/>
      <c r="B90" s="158"/>
      <c r="C90" s="159"/>
      <c r="D90" s="159"/>
      <c r="E90" s="160"/>
      <c r="F90" s="1"/>
    </row>
    <row r="91" spans="1:6" s="87" customFormat="1" x14ac:dyDescent="0.2">
      <c r="A91" s="157"/>
      <c r="B91" s="158"/>
      <c r="C91" s="159"/>
      <c r="D91" s="159"/>
      <c r="E91" s="160"/>
      <c r="F91" s="1"/>
    </row>
    <row r="92" spans="1:6" s="87" customFormat="1" hidden="1" x14ac:dyDescent="0.2">
      <c r="A92" s="147"/>
      <c r="B92" s="148"/>
      <c r="C92" s="149"/>
      <c r="D92" s="149"/>
      <c r="E92" s="150"/>
      <c r="F92" s="1"/>
    </row>
    <row r="93" spans="1:6" ht="19.5" customHeight="1" x14ac:dyDescent="0.2">
      <c r="A93" s="107" t="s">
        <v>125</v>
      </c>
      <c r="B93" s="108">
        <f>SUM(B26:B92)</f>
        <v>12506.32</v>
      </c>
      <c r="C93" s="168" t="str">
        <f>IF(SUBTOTAL(3,B26:B92)=SUBTOTAL(103,B26:B92),'Summary and sign-off'!$A$48,'Summary and sign-off'!$A$49)</f>
        <v>Check - there are no hidden rows with data</v>
      </c>
      <c r="D93" s="177" t="str">
        <f>IF('Summary and sign-off'!F56='Summary and sign-off'!F54,'Summary and sign-off'!A51,'Summary and sign-off'!A50)</f>
        <v>Check - each entry provides sufficient information</v>
      </c>
      <c r="E93" s="177"/>
      <c r="F93" s="46"/>
    </row>
    <row r="94" spans="1:6" ht="10.5" customHeight="1" x14ac:dyDescent="0.2">
      <c r="A94" s="27"/>
      <c r="B94" s="22"/>
      <c r="C94" s="27"/>
      <c r="D94" s="27"/>
      <c r="E94" s="27"/>
      <c r="F94" s="27"/>
    </row>
    <row r="95" spans="1:6" ht="24.75" customHeight="1" x14ac:dyDescent="0.2">
      <c r="A95" s="178" t="s">
        <v>126</v>
      </c>
      <c r="B95" s="178"/>
      <c r="C95" s="178"/>
      <c r="D95" s="178"/>
      <c r="E95" s="178"/>
      <c r="F95" s="46"/>
    </row>
    <row r="96" spans="1:6" ht="27" customHeight="1" x14ac:dyDescent="0.2">
      <c r="A96" s="35" t="s">
        <v>117</v>
      </c>
      <c r="B96" s="35" t="s">
        <v>62</v>
      </c>
      <c r="C96" s="35" t="s">
        <v>127</v>
      </c>
      <c r="D96" s="35" t="s">
        <v>128</v>
      </c>
      <c r="E96" s="35" t="s">
        <v>121</v>
      </c>
      <c r="F96" s="49"/>
    </row>
    <row r="97" spans="1:6" s="87" customFormat="1" hidden="1" x14ac:dyDescent="0.2">
      <c r="A97" s="133"/>
      <c r="B97" s="134"/>
      <c r="C97" s="135"/>
      <c r="D97" s="135"/>
      <c r="E97" s="136"/>
      <c r="F97" s="1"/>
    </row>
    <row r="98" spans="1:6" s="87" customFormat="1" x14ac:dyDescent="0.2">
      <c r="A98" s="157"/>
      <c r="B98" s="158"/>
      <c r="C98" s="159"/>
      <c r="D98" s="159"/>
      <c r="E98" s="160"/>
      <c r="F98" s="1"/>
    </row>
    <row r="99" spans="1:6" s="87" customFormat="1" x14ac:dyDescent="0.2">
      <c r="A99" s="157"/>
      <c r="B99" s="158"/>
      <c r="C99" s="159"/>
      <c r="D99" s="159"/>
      <c r="E99" s="160"/>
      <c r="F99" s="1"/>
    </row>
    <row r="100" spans="1:6" s="87" customFormat="1" x14ac:dyDescent="0.2">
      <c r="A100" s="157"/>
      <c r="B100" s="158"/>
      <c r="C100" s="159"/>
      <c r="D100" s="159"/>
      <c r="E100" s="160"/>
      <c r="F100" s="1"/>
    </row>
    <row r="101" spans="1:6" s="87" customFormat="1" x14ac:dyDescent="0.2">
      <c r="A101" s="157"/>
      <c r="B101" s="158"/>
      <c r="C101" s="159"/>
      <c r="D101" s="159"/>
      <c r="E101" s="160"/>
      <c r="F101" s="1"/>
    </row>
    <row r="102" spans="1:6" s="87" customFormat="1" x14ac:dyDescent="0.2">
      <c r="A102" s="157"/>
      <c r="B102" s="158"/>
      <c r="C102" s="159"/>
      <c r="D102" s="159"/>
      <c r="E102" s="160"/>
      <c r="F102" s="1"/>
    </row>
    <row r="103" spans="1:6" s="87" customFormat="1" x14ac:dyDescent="0.2">
      <c r="A103" s="157"/>
      <c r="B103" s="158"/>
      <c r="C103" s="159"/>
      <c r="D103" s="159"/>
      <c r="E103" s="160"/>
      <c r="F103" s="1"/>
    </row>
    <row r="104" spans="1:6" s="87" customFormat="1" x14ac:dyDescent="0.2">
      <c r="A104" s="157"/>
      <c r="B104" s="158"/>
      <c r="C104" s="159"/>
      <c r="D104" s="159"/>
      <c r="E104" s="160"/>
      <c r="F104" s="1"/>
    </row>
    <row r="105" spans="1:6" s="87" customFormat="1" x14ac:dyDescent="0.2">
      <c r="A105" s="157"/>
      <c r="B105" s="158"/>
      <c r="C105" s="159"/>
      <c r="D105" s="159"/>
      <c r="E105" s="160"/>
      <c r="F105" s="1"/>
    </row>
    <row r="106" spans="1:6" s="87" customFormat="1" hidden="1" x14ac:dyDescent="0.2">
      <c r="A106" s="133"/>
      <c r="B106" s="134"/>
      <c r="C106" s="135"/>
      <c r="D106" s="135"/>
      <c r="E106" s="136"/>
      <c r="F106" s="1"/>
    </row>
    <row r="107" spans="1:6" ht="19.5" customHeight="1" x14ac:dyDescent="0.2">
      <c r="A107" s="107" t="s">
        <v>129</v>
      </c>
      <c r="B107" s="108">
        <f>SUM(B97:B106)</f>
        <v>0</v>
      </c>
      <c r="C107" s="168" t="str">
        <f>IF(SUBTOTAL(3,B97:B106)=SUBTOTAL(103,B97:B106),'Summary and sign-off'!$A$48,'Summary and sign-off'!$A$49)</f>
        <v>Check - there are no hidden rows with data</v>
      </c>
      <c r="D107" s="177" t="str">
        <f>IF('Summary and sign-off'!F57='Summary and sign-off'!F54,'Summary and sign-off'!A51,'Summary and sign-off'!A50)</f>
        <v>Check - each entry provides sufficient information</v>
      </c>
      <c r="E107" s="177"/>
      <c r="F107" s="46"/>
    </row>
    <row r="108" spans="1:6" ht="10.5" customHeight="1" x14ac:dyDescent="0.2">
      <c r="A108" s="27"/>
      <c r="B108" s="92"/>
      <c r="C108" s="22"/>
      <c r="D108" s="27"/>
      <c r="E108" s="27"/>
      <c r="F108" s="27"/>
    </row>
    <row r="109" spans="1:6" ht="34.5" customHeight="1" x14ac:dyDescent="0.2">
      <c r="A109" s="50" t="s">
        <v>130</v>
      </c>
      <c r="B109" s="93">
        <f>B22+B93+B107</f>
        <v>12506.32</v>
      </c>
      <c r="C109" s="51"/>
      <c r="D109" s="51"/>
      <c r="E109" s="51"/>
      <c r="F109" s="26"/>
    </row>
    <row r="110" spans="1:6" x14ac:dyDescent="0.2">
      <c r="A110" s="27"/>
      <c r="B110" s="22"/>
      <c r="C110" s="27"/>
      <c r="D110" s="27"/>
      <c r="E110" s="27"/>
      <c r="F110" s="27"/>
    </row>
    <row r="111" spans="1:6" x14ac:dyDescent="0.2">
      <c r="A111" s="52" t="s">
        <v>73</v>
      </c>
      <c r="B111" s="25"/>
      <c r="C111" s="26"/>
      <c r="D111" s="26"/>
      <c r="E111" s="26"/>
      <c r="F111" s="27"/>
    </row>
    <row r="112" spans="1:6" ht="12.6" customHeight="1" x14ac:dyDescent="0.2">
      <c r="A112" s="23" t="s">
        <v>131</v>
      </c>
      <c r="B112" s="53"/>
      <c r="C112" s="53"/>
      <c r="D112" s="32"/>
      <c r="E112" s="32"/>
      <c r="F112" s="27"/>
    </row>
    <row r="113" spans="1:6" ht="12.95" customHeight="1" x14ac:dyDescent="0.2">
      <c r="A113" s="31" t="s">
        <v>132</v>
      </c>
      <c r="B113" s="27"/>
      <c r="C113" s="32"/>
      <c r="D113" s="27"/>
      <c r="E113" s="32"/>
      <c r="F113" s="27"/>
    </row>
    <row r="114" spans="1:6" x14ac:dyDescent="0.2">
      <c r="A114" s="31" t="s">
        <v>133</v>
      </c>
      <c r="B114" s="32"/>
      <c r="C114" s="32"/>
      <c r="D114" s="32"/>
      <c r="E114" s="54"/>
      <c r="F114" s="46"/>
    </row>
    <row r="115" spans="1:6" x14ac:dyDescent="0.2">
      <c r="A115" s="23" t="s">
        <v>79</v>
      </c>
      <c r="B115" s="25"/>
      <c r="C115" s="26"/>
      <c r="D115" s="26"/>
      <c r="E115" s="26"/>
      <c r="F115" s="27"/>
    </row>
    <row r="116" spans="1:6" ht="12.95" customHeight="1" x14ac:dyDescent="0.2">
      <c r="A116" s="31" t="s">
        <v>134</v>
      </c>
      <c r="B116" s="27"/>
      <c r="C116" s="32"/>
      <c r="D116" s="27"/>
      <c r="E116" s="32"/>
      <c r="F116" s="27"/>
    </row>
    <row r="117" spans="1:6" x14ac:dyDescent="0.2">
      <c r="A117" s="31" t="s">
        <v>135</v>
      </c>
      <c r="B117" s="32"/>
      <c r="C117" s="32"/>
      <c r="D117" s="32"/>
      <c r="E117" s="54"/>
      <c r="F117" s="46"/>
    </row>
    <row r="118" spans="1:6" x14ac:dyDescent="0.2">
      <c r="A118" s="36" t="s">
        <v>136</v>
      </c>
      <c r="B118" s="36"/>
      <c r="C118" s="36"/>
      <c r="D118" s="36"/>
      <c r="E118" s="54"/>
      <c r="F118" s="46"/>
    </row>
    <row r="119" spans="1:6" x14ac:dyDescent="0.2">
      <c r="A119" s="40"/>
      <c r="B119" s="27"/>
      <c r="C119" s="27"/>
      <c r="D119" s="27"/>
      <c r="E119" s="46"/>
      <c r="F119" s="46"/>
    </row>
    <row r="120" spans="1:6" hidden="1" x14ac:dyDescent="0.2">
      <c r="A120" s="40"/>
      <c r="B120" s="27"/>
      <c r="C120" s="27"/>
      <c r="D120" s="27"/>
      <c r="E120" s="46"/>
      <c r="F120" s="46"/>
    </row>
    <row r="121" spans="1:6" x14ac:dyDescent="0.2"/>
    <row r="122" spans="1:6" x14ac:dyDescent="0.2"/>
    <row r="123" spans="1:6" x14ac:dyDescent="0.2"/>
    <row r="124" spans="1:6" x14ac:dyDescent="0.2"/>
    <row r="125" spans="1:6" ht="12.75" hidden="1" customHeight="1" x14ac:dyDescent="0.2"/>
    <row r="126" spans="1:6" x14ac:dyDescent="0.2"/>
    <row r="127" spans="1:6" x14ac:dyDescent="0.2"/>
    <row r="128" spans="1:6" hidden="1" x14ac:dyDescent="0.2">
      <c r="A128" s="55"/>
      <c r="B128" s="46"/>
      <c r="C128" s="46"/>
      <c r="D128" s="46"/>
      <c r="E128" s="46"/>
      <c r="F128" s="46"/>
    </row>
    <row r="129" spans="1:6" hidden="1" x14ac:dyDescent="0.2">
      <c r="A129" s="55"/>
      <c r="B129" s="46"/>
      <c r="C129" s="46"/>
      <c r="D129" s="46"/>
      <c r="E129" s="46"/>
      <c r="F129" s="46"/>
    </row>
    <row r="130" spans="1:6" hidden="1" x14ac:dyDescent="0.2">
      <c r="A130" s="55"/>
      <c r="B130" s="46"/>
      <c r="C130" s="46"/>
      <c r="D130" s="46"/>
      <c r="E130" s="46"/>
      <c r="F130" s="46"/>
    </row>
    <row r="131" spans="1:6" hidden="1" x14ac:dyDescent="0.2">
      <c r="A131" s="55"/>
      <c r="B131" s="46"/>
      <c r="C131" s="46"/>
      <c r="D131" s="46"/>
      <c r="E131" s="46"/>
      <c r="F131" s="46"/>
    </row>
    <row r="132" spans="1:6" hidden="1" x14ac:dyDescent="0.2">
      <c r="A132" s="55"/>
      <c r="B132" s="46"/>
      <c r="C132" s="46"/>
      <c r="D132" s="46"/>
      <c r="E132" s="46"/>
      <c r="F132" s="46"/>
    </row>
    <row r="133" spans="1:6" x14ac:dyDescent="0.2"/>
    <row r="134" spans="1:6" x14ac:dyDescent="0.2"/>
    <row r="135" spans="1:6" x14ac:dyDescent="0.2"/>
    <row r="136" spans="1:6" x14ac:dyDescent="0.2"/>
    <row r="137" spans="1:6" x14ac:dyDescent="0.2"/>
    <row r="138" spans="1:6" x14ac:dyDescent="0.2"/>
    <row r="139" spans="1:6" x14ac:dyDescent="0.2"/>
    <row r="140" spans="1:6" x14ac:dyDescent="0.2"/>
    <row r="141" spans="1:6" x14ac:dyDescent="0.2"/>
    <row r="142" spans="1:6" x14ac:dyDescent="0.2"/>
    <row r="143" spans="1:6" x14ac:dyDescent="0.2"/>
    <row r="144" spans="1:6"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sheetData>
  <sheetProtection sheet="1" formatCells="0" formatRows="0" insertColumns="0" insertRows="0" deleteRows="0"/>
  <mergeCells count="15">
    <mergeCell ref="B7:E7"/>
    <mergeCell ref="B5:E5"/>
    <mergeCell ref="D107:E107"/>
    <mergeCell ref="A1:E1"/>
    <mergeCell ref="A24:E24"/>
    <mergeCell ref="A95:E95"/>
    <mergeCell ref="B2:E2"/>
    <mergeCell ref="B3:E3"/>
    <mergeCell ref="B4:E4"/>
    <mergeCell ref="A8:E8"/>
    <mergeCell ref="A9:E9"/>
    <mergeCell ref="B6:E6"/>
    <mergeCell ref="D22:E22"/>
    <mergeCell ref="D93:E93"/>
    <mergeCell ref="A10:E10"/>
  </mergeCells>
  <dataValidations xWindow="903" yWindow="780"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91:A92 A12 A21 A97 A10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96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98:A105 A41:A57 A27:A39 A59:A9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xWindow="903" yWindow="780"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B97:B106 B12:B21 B41:B57 B26:B39 B59:B92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6" sqref="B6:E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3" t="s">
        <v>109</v>
      </c>
      <c r="B1" s="173"/>
      <c r="C1" s="173"/>
      <c r="D1" s="173"/>
      <c r="E1" s="173"/>
      <c r="F1" s="38"/>
    </row>
    <row r="2" spans="1:6" ht="21" customHeight="1" x14ac:dyDescent="0.2">
      <c r="A2" s="4" t="s">
        <v>52</v>
      </c>
      <c r="B2" s="176" t="str">
        <f>'Summary and sign-off'!B2:F2</f>
        <v>Department of Conservation</v>
      </c>
      <c r="C2" s="176"/>
      <c r="D2" s="176"/>
      <c r="E2" s="176"/>
      <c r="F2" s="38"/>
    </row>
    <row r="3" spans="1:6" ht="21" customHeight="1" x14ac:dyDescent="0.2">
      <c r="A3" s="4" t="s">
        <v>110</v>
      </c>
      <c r="B3" s="176" t="str">
        <f>'Summary and sign-off'!B3:F3</f>
        <v>Lou Sanson to 13th September, Bruce Parkes 14th September to 31 October 2021. Penny Nelson November 2021 to June 2022</v>
      </c>
      <c r="C3" s="176"/>
      <c r="D3" s="176"/>
      <c r="E3" s="176"/>
      <c r="F3" s="38"/>
    </row>
    <row r="4" spans="1:6" ht="21" customHeight="1" x14ac:dyDescent="0.2">
      <c r="A4" s="4" t="s">
        <v>111</v>
      </c>
      <c r="B4" s="176">
        <f>'Summary and sign-off'!B4:F4</f>
        <v>44378</v>
      </c>
      <c r="C4" s="176"/>
      <c r="D4" s="176"/>
      <c r="E4" s="176"/>
      <c r="F4" s="38"/>
    </row>
    <row r="5" spans="1:6" ht="21" customHeight="1" x14ac:dyDescent="0.2">
      <c r="A5" s="4" t="s">
        <v>112</v>
      </c>
      <c r="B5" s="176">
        <f>'Summary and sign-off'!B5:F5</f>
        <v>44742</v>
      </c>
      <c r="C5" s="176"/>
      <c r="D5" s="176"/>
      <c r="E5" s="176"/>
      <c r="F5" s="38"/>
    </row>
    <row r="6" spans="1:6" ht="21" customHeight="1" x14ac:dyDescent="0.2">
      <c r="A6" s="4" t="s">
        <v>113</v>
      </c>
      <c r="B6" s="171" t="s">
        <v>81</v>
      </c>
      <c r="C6" s="171"/>
      <c r="D6" s="171"/>
      <c r="E6" s="171"/>
      <c r="F6" s="38"/>
    </row>
    <row r="7" spans="1:6" ht="21" customHeight="1" x14ac:dyDescent="0.2">
      <c r="A7" s="4" t="s">
        <v>56</v>
      </c>
      <c r="B7" s="171" t="s">
        <v>83</v>
      </c>
      <c r="C7" s="171"/>
      <c r="D7" s="171"/>
      <c r="E7" s="171"/>
      <c r="F7" s="38"/>
    </row>
    <row r="8" spans="1:6" ht="35.25" customHeight="1" x14ac:dyDescent="0.25">
      <c r="A8" s="186" t="s">
        <v>137</v>
      </c>
      <c r="B8" s="186"/>
      <c r="C8" s="187"/>
      <c r="D8" s="187"/>
      <c r="E8" s="187"/>
      <c r="F8" s="42"/>
    </row>
    <row r="9" spans="1:6" ht="35.25" customHeight="1" x14ac:dyDescent="0.25">
      <c r="A9" s="184" t="s">
        <v>138</v>
      </c>
      <c r="B9" s="185"/>
      <c r="C9" s="185"/>
      <c r="D9" s="185"/>
      <c r="E9" s="185"/>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v>44410</v>
      </c>
      <c r="B12" s="158">
        <v>26.09</v>
      </c>
      <c r="C12" s="162" t="s">
        <v>230</v>
      </c>
      <c r="D12" s="162" t="s">
        <v>228</v>
      </c>
      <c r="E12" s="163" t="s">
        <v>229</v>
      </c>
      <c r="F12" s="2"/>
    </row>
    <row r="13" spans="1:6" s="87" customFormat="1" x14ac:dyDescent="0.2">
      <c r="A13" s="157">
        <v>44462</v>
      </c>
      <c r="B13" s="158">
        <v>9.7799999999999994</v>
      </c>
      <c r="C13" s="162" t="s">
        <v>231</v>
      </c>
      <c r="D13" s="162" t="s">
        <v>228</v>
      </c>
      <c r="E13" s="163" t="s">
        <v>229</v>
      </c>
      <c r="F13" s="2"/>
    </row>
    <row r="14" spans="1:6" s="87" customFormat="1" x14ac:dyDescent="0.2">
      <c r="A14" s="157"/>
      <c r="B14" s="158"/>
      <c r="C14" s="162"/>
      <c r="D14" s="162"/>
      <c r="E14" s="163"/>
      <c r="F14" s="2"/>
    </row>
    <row r="15" spans="1:6" s="87" customFormat="1" x14ac:dyDescent="0.2">
      <c r="A15" s="157"/>
      <c r="B15" s="158"/>
      <c r="C15" s="162"/>
      <c r="D15" s="162"/>
      <c r="E15" s="163"/>
      <c r="F15" s="2"/>
    </row>
    <row r="16" spans="1:6" s="87" customFormat="1" x14ac:dyDescent="0.2">
      <c r="A16" s="157"/>
      <c r="B16" s="158"/>
      <c r="C16" s="162"/>
      <c r="D16" s="162"/>
      <c r="E16" s="163"/>
      <c r="F16" s="2"/>
    </row>
    <row r="17" spans="1:6" s="87" customFormat="1" x14ac:dyDescent="0.2">
      <c r="A17" s="157"/>
      <c r="B17" s="158"/>
      <c r="C17" s="162"/>
      <c r="D17" s="162"/>
      <c r="E17" s="163"/>
      <c r="F17" s="2"/>
    </row>
    <row r="18" spans="1:6" s="87" customFormat="1" x14ac:dyDescent="0.2">
      <c r="A18" s="157"/>
      <c r="B18" s="158"/>
      <c r="C18" s="162"/>
      <c r="D18" s="162"/>
      <c r="E18" s="163"/>
      <c r="F18" s="2"/>
    </row>
    <row r="19" spans="1:6" s="87" customFormat="1" x14ac:dyDescent="0.2">
      <c r="A19" s="157"/>
      <c r="B19" s="158"/>
      <c r="C19" s="162"/>
      <c r="D19" s="162"/>
      <c r="E19" s="163"/>
      <c r="F19" s="2"/>
    </row>
    <row r="20" spans="1:6" s="87" customFormat="1" x14ac:dyDescent="0.2">
      <c r="A20" s="157"/>
      <c r="B20" s="158"/>
      <c r="C20" s="162"/>
      <c r="D20" s="162"/>
      <c r="E20" s="163"/>
      <c r="F20" s="2"/>
    </row>
    <row r="21" spans="1:6" s="87" customFormat="1" x14ac:dyDescent="0.2">
      <c r="A21" s="161"/>
      <c r="B21" s="158"/>
      <c r="C21" s="162"/>
      <c r="D21" s="162"/>
      <c r="E21" s="163"/>
      <c r="F21" s="2"/>
    </row>
    <row r="22" spans="1:6" s="87" customFormat="1" x14ac:dyDescent="0.2">
      <c r="A22" s="161"/>
      <c r="B22" s="158"/>
      <c r="C22" s="162"/>
      <c r="D22" s="162"/>
      <c r="E22" s="163"/>
      <c r="F22" s="2"/>
    </row>
    <row r="23" spans="1:6" s="87" customFormat="1" ht="11.25" hidden="1" customHeight="1" x14ac:dyDescent="0.2">
      <c r="A23" s="137"/>
      <c r="B23" s="134"/>
      <c r="C23" s="138"/>
      <c r="D23" s="138"/>
      <c r="E23" s="139"/>
      <c r="F23" s="2"/>
    </row>
    <row r="24" spans="1:6" ht="34.5" customHeight="1" x14ac:dyDescent="0.2">
      <c r="A24" s="88" t="s">
        <v>142</v>
      </c>
      <c r="B24" s="97">
        <f>SUM(B11:B23)</f>
        <v>35.869999999999997</v>
      </c>
      <c r="C24" s="106" t="str">
        <f>IF(SUBTOTAL(3,B11:B23)=SUBTOTAL(103,B11:B23),'Summary and sign-off'!$A$48,'Summary and sign-off'!$A$49)</f>
        <v>Check - there are no hidden rows with data</v>
      </c>
      <c r="D24" s="177" t="str">
        <f>IF('Summary and sign-off'!F58='Summary and sign-off'!F54,'Summary and sign-off'!A51,'Summary and sign-off'!A50)</f>
        <v>Check - each entry provides sufficient information</v>
      </c>
      <c r="E24" s="177"/>
      <c r="F24" s="2"/>
    </row>
    <row r="25" spans="1:6" x14ac:dyDescent="0.2">
      <c r="A25" s="21"/>
      <c r="B25" s="20"/>
      <c r="C25" s="20"/>
      <c r="D25" s="20"/>
      <c r="E25" s="20"/>
      <c r="F25" s="38"/>
    </row>
    <row r="26" spans="1:6" x14ac:dyDescent="0.2">
      <c r="A26" s="21" t="s">
        <v>73</v>
      </c>
      <c r="B26" s="22"/>
      <c r="C26" s="27"/>
      <c r="D26" s="20"/>
      <c r="E26" s="20"/>
      <c r="F26" s="38"/>
    </row>
    <row r="27" spans="1:6" ht="12.75" customHeight="1" x14ac:dyDescent="0.2">
      <c r="A27" s="23" t="s">
        <v>143</v>
      </c>
      <c r="B27" s="23"/>
      <c r="C27" s="23"/>
      <c r="D27" s="23"/>
      <c r="E27" s="23"/>
      <c r="F27" s="38"/>
    </row>
    <row r="28" spans="1:6" x14ac:dyDescent="0.2">
      <c r="A28" s="23" t="s">
        <v>144</v>
      </c>
      <c r="B28" s="31"/>
      <c r="C28" s="43"/>
      <c r="D28" s="44"/>
      <c r="E28" s="44"/>
      <c r="F28" s="38"/>
    </row>
    <row r="29" spans="1:6" x14ac:dyDescent="0.2">
      <c r="A29" s="23" t="s">
        <v>79</v>
      </c>
      <c r="B29" s="25"/>
      <c r="C29" s="26"/>
      <c r="D29" s="26"/>
      <c r="E29" s="26"/>
      <c r="F29" s="27"/>
    </row>
    <row r="30" spans="1:6" x14ac:dyDescent="0.2">
      <c r="A30" s="31" t="s">
        <v>145</v>
      </c>
      <c r="B30" s="31"/>
      <c r="C30" s="43"/>
      <c r="D30" s="43"/>
      <c r="E30" s="43"/>
      <c r="F30" s="38"/>
    </row>
    <row r="31" spans="1:6" ht="12.75" customHeight="1" x14ac:dyDescent="0.2">
      <c r="A31" s="31" t="s">
        <v>146</v>
      </c>
      <c r="B31" s="31"/>
      <c r="C31" s="45"/>
      <c r="D31" s="45"/>
      <c r="E31" s="33"/>
      <c r="F31" s="38"/>
    </row>
    <row r="32" spans="1:6" x14ac:dyDescent="0.2">
      <c r="A32" s="20"/>
      <c r="B32" s="20"/>
      <c r="C32" s="20"/>
      <c r="D32" s="20"/>
      <c r="E32" s="20"/>
      <c r="F32" s="38"/>
    </row>
    <row r="33" x14ac:dyDescent="0.2"/>
  </sheetData>
  <sheetProtection sheet="1" formatCells="0" insertRows="0" deleteRows="0"/>
  <mergeCells count="10">
    <mergeCell ref="D24:E2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3" t="s">
        <v>109</v>
      </c>
      <c r="B1" s="173"/>
      <c r="C1" s="173"/>
      <c r="D1" s="173"/>
      <c r="E1" s="173"/>
      <c r="F1" s="24"/>
    </row>
    <row r="2" spans="1:6" ht="21" customHeight="1" x14ac:dyDescent="0.2">
      <c r="A2" s="4" t="s">
        <v>52</v>
      </c>
      <c r="B2" s="176" t="str">
        <f>'Summary and sign-off'!B2:F2</f>
        <v>Department of Conservation</v>
      </c>
      <c r="C2" s="176"/>
      <c r="D2" s="176"/>
      <c r="E2" s="176"/>
      <c r="F2" s="24"/>
    </row>
    <row r="3" spans="1:6" ht="21" customHeight="1" x14ac:dyDescent="0.2">
      <c r="A3" s="4" t="s">
        <v>110</v>
      </c>
      <c r="B3" s="176" t="str">
        <f>'Summary and sign-off'!B3:F3</f>
        <v>Lou Sanson to 13th September, Bruce Parkes 14th September to 31 October 2021. Penny Nelson November 2021 to June 2022</v>
      </c>
      <c r="C3" s="176"/>
      <c r="D3" s="176"/>
      <c r="E3" s="176"/>
      <c r="F3" s="24"/>
    </row>
    <row r="4" spans="1:6" ht="21" customHeight="1" x14ac:dyDescent="0.2">
      <c r="A4" s="4" t="s">
        <v>111</v>
      </c>
      <c r="B4" s="176">
        <f>'Summary and sign-off'!B4:F4</f>
        <v>44378</v>
      </c>
      <c r="C4" s="176"/>
      <c r="D4" s="176"/>
      <c r="E4" s="176"/>
      <c r="F4" s="24"/>
    </row>
    <row r="5" spans="1:6" ht="21" customHeight="1" x14ac:dyDescent="0.2">
      <c r="A5" s="4" t="s">
        <v>112</v>
      </c>
      <c r="B5" s="176">
        <f>'Summary and sign-off'!B5:F5</f>
        <v>44742</v>
      </c>
      <c r="C5" s="176"/>
      <c r="D5" s="176"/>
      <c r="E5" s="176"/>
      <c r="F5" s="24"/>
    </row>
    <row r="6" spans="1:6" ht="21" customHeight="1" x14ac:dyDescent="0.2">
      <c r="A6" s="4" t="s">
        <v>113</v>
      </c>
      <c r="B6" s="171" t="s">
        <v>81</v>
      </c>
      <c r="C6" s="171"/>
      <c r="D6" s="171"/>
      <c r="E6" s="171"/>
      <c r="F6" s="34"/>
    </row>
    <row r="7" spans="1:6" ht="21" customHeight="1" x14ac:dyDescent="0.2">
      <c r="A7" s="4" t="s">
        <v>56</v>
      </c>
      <c r="B7" s="171" t="s">
        <v>83</v>
      </c>
      <c r="C7" s="171"/>
      <c r="D7" s="171"/>
      <c r="E7" s="171"/>
      <c r="F7" s="34"/>
    </row>
    <row r="8" spans="1:6" ht="35.25" customHeight="1" x14ac:dyDescent="0.2">
      <c r="A8" s="180" t="s">
        <v>147</v>
      </c>
      <c r="B8" s="180"/>
      <c r="C8" s="187"/>
      <c r="D8" s="187"/>
      <c r="E8" s="187"/>
      <c r="F8" s="24"/>
    </row>
    <row r="9" spans="1:6" ht="35.25" customHeight="1" x14ac:dyDescent="0.2">
      <c r="A9" s="188" t="s">
        <v>148</v>
      </c>
      <c r="B9" s="189"/>
      <c r="C9" s="189"/>
      <c r="D9" s="189"/>
      <c r="E9" s="189"/>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69" t="s">
        <v>227</v>
      </c>
      <c r="B12" s="158"/>
      <c r="C12" s="162"/>
      <c r="D12" s="162"/>
      <c r="E12" s="163"/>
      <c r="F12" s="3"/>
    </row>
    <row r="13" spans="1:6" s="87" customFormat="1" x14ac:dyDescent="0.2">
      <c r="A13" s="157"/>
      <c r="B13" s="158"/>
      <c r="C13" s="162"/>
      <c r="D13" s="162"/>
      <c r="E13" s="163"/>
      <c r="F13" s="3"/>
    </row>
    <row r="14" spans="1:6" s="87" customFormat="1" x14ac:dyDescent="0.2">
      <c r="A14" s="157"/>
      <c r="B14" s="158"/>
      <c r="C14" s="162"/>
      <c r="D14" s="162"/>
      <c r="E14" s="163"/>
      <c r="F14" s="3"/>
    </row>
    <row r="15" spans="1:6" s="87" customFormat="1" x14ac:dyDescent="0.2">
      <c r="A15" s="157"/>
      <c r="B15" s="158"/>
      <c r="C15" s="162"/>
      <c r="D15" s="162"/>
      <c r="E15" s="163"/>
      <c r="F15" s="3"/>
    </row>
    <row r="16" spans="1:6" s="87" customFormat="1" x14ac:dyDescent="0.2">
      <c r="A16" s="157"/>
      <c r="B16" s="158"/>
      <c r="C16" s="162"/>
      <c r="D16" s="162"/>
      <c r="E16" s="163"/>
      <c r="F16" s="3"/>
    </row>
    <row r="17" spans="1:6" s="87" customFormat="1" x14ac:dyDescent="0.2">
      <c r="A17" s="157"/>
      <c r="B17" s="158"/>
      <c r="C17" s="162"/>
      <c r="D17" s="162"/>
      <c r="E17" s="163"/>
      <c r="F17" s="3"/>
    </row>
    <row r="18" spans="1:6" s="87" customFormat="1" x14ac:dyDescent="0.2">
      <c r="A18" s="157"/>
      <c r="B18" s="158"/>
      <c r="C18" s="162"/>
      <c r="D18" s="162"/>
      <c r="E18" s="163"/>
      <c r="F18" s="3"/>
    </row>
    <row r="19" spans="1:6" s="87" customFormat="1" x14ac:dyDescent="0.2">
      <c r="A19" s="157"/>
      <c r="B19" s="158"/>
      <c r="C19" s="162"/>
      <c r="D19" s="162"/>
      <c r="E19" s="163"/>
      <c r="F19" s="3"/>
    </row>
    <row r="20" spans="1:6" s="87" customFormat="1" x14ac:dyDescent="0.2">
      <c r="A20" s="157"/>
      <c r="B20" s="158"/>
      <c r="C20" s="162"/>
      <c r="D20" s="162"/>
      <c r="E20" s="163"/>
      <c r="F20" s="3"/>
    </row>
    <row r="21" spans="1:6" s="87" customFormat="1" x14ac:dyDescent="0.2">
      <c r="A21" s="157"/>
      <c r="B21" s="158"/>
      <c r="C21" s="162"/>
      <c r="D21" s="162"/>
      <c r="E21" s="163"/>
      <c r="F21" s="3"/>
    </row>
    <row r="22" spans="1:6" s="87" customFormat="1" x14ac:dyDescent="0.2">
      <c r="A22" s="161"/>
      <c r="B22" s="158"/>
      <c r="C22" s="162"/>
      <c r="D22" s="162"/>
      <c r="E22" s="163"/>
      <c r="F22" s="3"/>
    </row>
    <row r="23" spans="1:6" s="87" customFormat="1" x14ac:dyDescent="0.2">
      <c r="A23" s="161"/>
      <c r="B23" s="158"/>
      <c r="C23" s="162"/>
      <c r="D23" s="162"/>
      <c r="E23" s="163"/>
      <c r="F23" s="3"/>
    </row>
    <row r="24" spans="1:6" s="87" customFormat="1" hidden="1" x14ac:dyDescent="0.2">
      <c r="A24" s="137"/>
      <c r="B24" s="134"/>
      <c r="C24" s="138"/>
      <c r="D24" s="138"/>
      <c r="E24" s="139"/>
      <c r="F24" s="3"/>
    </row>
    <row r="25" spans="1:6" ht="34.5" customHeight="1" x14ac:dyDescent="0.2">
      <c r="A25" s="88" t="s">
        <v>151</v>
      </c>
      <c r="B25" s="97">
        <f>SUM(B11:B24)</f>
        <v>0</v>
      </c>
      <c r="C25" s="106" t="str">
        <f>IF(SUBTOTAL(3,B11:B24)=SUBTOTAL(103,B11:B24),'Summary and sign-off'!$A$48,'Summary and sign-off'!$A$49)</f>
        <v>Check - there are no hidden rows with data</v>
      </c>
      <c r="D25" s="177" t="str">
        <f>IF('Summary and sign-off'!F59='Summary and sign-off'!F54,'Summary and sign-off'!A51,'Summary and sign-off'!A50)</f>
        <v>Check - each entry provides sufficient information</v>
      </c>
      <c r="E25" s="177"/>
      <c r="F25" s="37"/>
    </row>
    <row r="26" spans="1:6" ht="14.1" customHeight="1" x14ac:dyDescent="0.2">
      <c r="A26" s="38"/>
      <c r="B26" s="27"/>
      <c r="C26" s="20"/>
      <c r="D26" s="20"/>
      <c r="E26" s="20"/>
      <c r="F26" s="24"/>
    </row>
    <row r="27" spans="1:6" x14ac:dyDescent="0.2">
      <c r="A27" s="21" t="s">
        <v>152</v>
      </c>
      <c r="B27" s="20"/>
      <c r="C27" s="20"/>
      <c r="D27" s="20"/>
      <c r="E27" s="20"/>
      <c r="F27" s="24"/>
    </row>
    <row r="28" spans="1:6" ht="12.6" customHeight="1" x14ac:dyDescent="0.2">
      <c r="A28" s="23" t="s">
        <v>131</v>
      </c>
      <c r="B28" s="20"/>
      <c r="C28" s="20"/>
      <c r="D28" s="20"/>
      <c r="E28" s="20"/>
      <c r="F28" s="24"/>
    </row>
    <row r="29" spans="1:6" x14ac:dyDescent="0.2">
      <c r="A29" s="23" t="s">
        <v>79</v>
      </c>
      <c r="B29" s="25"/>
      <c r="C29" s="26"/>
      <c r="D29" s="26"/>
      <c r="E29" s="26"/>
      <c r="F29" s="27"/>
    </row>
    <row r="30" spans="1:6" x14ac:dyDescent="0.2">
      <c r="A30" s="31" t="s">
        <v>145</v>
      </c>
      <c r="B30" s="32"/>
      <c r="C30" s="27"/>
      <c r="D30" s="27"/>
      <c r="E30" s="27"/>
      <c r="F30" s="27"/>
    </row>
    <row r="31" spans="1:6" ht="12.75" customHeight="1" x14ac:dyDescent="0.2">
      <c r="A31" s="31" t="s">
        <v>146</v>
      </c>
      <c r="B31" s="39"/>
      <c r="C31" s="33"/>
      <c r="D31" s="33"/>
      <c r="E31" s="33"/>
      <c r="F31" s="33"/>
    </row>
    <row r="32" spans="1:6" x14ac:dyDescent="0.2">
      <c r="A32" s="38"/>
      <c r="B32" s="40"/>
      <c r="C32" s="20"/>
      <c r="D32" s="20"/>
      <c r="E32" s="20"/>
      <c r="F32" s="38"/>
    </row>
    <row r="33" spans="1:6" hidden="1" x14ac:dyDescent="0.2">
      <c r="A33" s="20"/>
      <c r="B33" s="20"/>
      <c r="C33" s="20"/>
      <c r="D33" s="20"/>
      <c r="E33" s="38"/>
    </row>
    <row r="34" spans="1:6" ht="12.75" hidden="1" customHeight="1" x14ac:dyDescent="0.2"/>
    <row r="35" spans="1:6" hidden="1" x14ac:dyDescent="0.2">
      <c r="A35" s="41"/>
      <c r="B35" s="41"/>
      <c r="C35" s="41"/>
      <c r="D35" s="41"/>
      <c r="E35" s="41"/>
      <c r="F35" s="24"/>
    </row>
    <row r="36" spans="1:6" hidden="1" x14ac:dyDescent="0.2">
      <c r="A36" s="41"/>
      <c r="B36" s="41"/>
      <c r="C36" s="41"/>
      <c r="D36" s="41"/>
      <c r="E36" s="41"/>
      <c r="F36" s="24"/>
    </row>
    <row r="37" spans="1:6" hidden="1" x14ac:dyDescent="0.2">
      <c r="A37" s="41"/>
      <c r="B37" s="41"/>
      <c r="C37" s="41"/>
      <c r="D37" s="41"/>
      <c r="E37" s="41"/>
      <c r="F37" s="24"/>
    </row>
    <row r="38" spans="1:6" hidden="1" x14ac:dyDescent="0.2">
      <c r="A38" s="41"/>
      <c r="B38" s="41"/>
      <c r="C38" s="41"/>
      <c r="D38" s="41"/>
      <c r="E38" s="41"/>
      <c r="F38" s="24"/>
    </row>
    <row r="39" spans="1:6" hidden="1" x14ac:dyDescent="0.2">
      <c r="A39" s="41"/>
      <c r="B39" s="41"/>
      <c r="C39" s="41"/>
      <c r="D39" s="41"/>
      <c r="E39" s="41"/>
      <c r="F39" s="24"/>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7" sqref="B7:F7"/>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3" t="s">
        <v>153</v>
      </c>
      <c r="B1" s="173"/>
      <c r="C1" s="173"/>
      <c r="D1" s="173"/>
      <c r="E1" s="173"/>
      <c r="F1" s="173"/>
    </row>
    <row r="2" spans="1:6" ht="21" customHeight="1" x14ac:dyDescent="0.2">
      <c r="A2" s="4" t="s">
        <v>52</v>
      </c>
      <c r="B2" s="176" t="str">
        <f>'Summary and sign-off'!B2:F2</f>
        <v>Department of Conservation</v>
      </c>
      <c r="C2" s="176"/>
      <c r="D2" s="176"/>
      <c r="E2" s="176"/>
      <c r="F2" s="176"/>
    </row>
    <row r="3" spans="1:6" ht="21" customHeight="1" x14ac:dyDescent="0.2">
      <c r="A3" s="4" t="s">
        <v>110</v>
      </c>
      <c r="B3" s="176" t="str">
        <f>'Summary and sign-off'!B3:F3</f>
        <v>Lou Sanson to 13th September, Bruce Parkes 14th September to 31 October 2021. Penny Nelson November 2021 to June 2022</v>
      </c>
      <c r="C3" s="176"/>
      <c r="D3" s="176"/>
      <c r="E3" s="176"/>
      <c r="F3" s="176"/>
    </row>
    <row r="4" spans="1:6" ht="21" customHeight="1" x14ac:dyDescent="0.2">
      <c r="A4" s="4" t="s">
        <v>111</v>
      </c>
      <c r="B4" s="176">
        <f>'Summary and sign-off'!B4:F4</f>
        <v>44378</v>
      </c>
      <c r="C4" s="176"/>
      <c r="D4" s="176"/>
      <c r="E4" s="176"/>
      <c r="F4" s="176"/>
    </row>
    <row r="5" spans="1:6" ht="21" customHeight="1" x14ac:dyDescent="0.2">
      <c r="A5" s="4" t="s">
        <v>112</v>
      </c>
      <c r="B5" s="176">
        <f>'Summary and sign-off'!B5:F5</f>
        <v>44742</v>
      </c>
      <c r="C5" s="176"/>
      <c r="D5" s="176"/>
      <c r="E5" s="176"/>
      <c r="F5" s="176"/>
    </row>
    <row r="6" spans="1:6" ht="21" customHeight="1" x14ac:dyDescent="0.2">
      <c r="A6" s="4" t="s">
        <v>154</v>
      </c>
      <c r="B6" s="171" t="s">
        <v>81</v>
      </c>
      <c r="C6" s="171"/>
      <c r="D6" s="171"/>
      <c r="E6" s="171"/>
      <c r="F6" s="171"/>
    </row>
    <row r="7" spans="1:6" ht="21" customHeight="1" x14ac:dyDescent="0.2">
      <c r="A7" s="4" t="s">
        <v>56</v>
      </c>
      <c r="B7" s="171" t="s">
        <v>83</v>
      </c>
      <c r="C7" s="171"/>
      <c r="D7" s="171"/>
      <c r="E7" s="171"/>
      <c r="F7" s="171"/>
    </row>
    <row r="8" spans="1:6" ht="36" customHeight="1" x14ac:dyDescent="0.2">
      <c r="A8" s="180" t="s">
        <v>155</v>
      </c>
      <c r="B8" s="180"/>
      <c r="C8" s="180"/>
      <c r="D8" s="180"/>
      <c r="E8" s="180"/>
      <c r="F8" s="180"/>
    </row>
    <row r="9" spans="1:6" ht="36" customHeight="1" x14ac:dyDescent="0.2">
      <c r="A9" s="188" t="s">
        <v>156</v>
      </c>
      <c r="B9" s="189"/>
      <c r="C9" s="189"/>
      <c r="D9" s="189"/>
      <c r="E9" s="189"/>
      <c r="F9" s="189"/>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69" t="s">
        <v>227</v>
      </c>
      <c r="B12" s="164"/>
      <c r="C12" s="165"/>
      <c r="D12" s="164"/>
      <c r="E12" s="166"/>
      <c r="F12" s="167"/>
    </row>
    <row r="13" spans="1:6" s="87" customFormat="1" x14ac:dyDescent="0.2">
      <c r="A13" s="157"/>
      <c r="B13" s="164"/>
      <c r="C13" s="165"/>
      <c r="D13" s="164"/>
      <c r="E13" s="166"/>
      <c r="F13" s="167"/>
    </row>
    <row r="14" spans="1:6" s="87" customFormat="1" x14ac:dyDescent="0.2">
      <c r="A14" s="157"/>
      <c r="B14" s="164"/>
      <c r="C14" s="165"/>
      <c r="D14" s="164"/>
      <c r="E14" s="166"/>
      <c r="F14" s="167"/>
    </row>
    <row r="15" spans="1:6" s="87" customFormat="1" x14ac:dyDescent="0.2">
      <c r="A15" s="157"/>
      <c r="B15" s="164"/>
      <c r="C15" s="165"/>
      <c r="D15" s="164"/>
      <c r="E15" s="166"/>
      <c r="F15" s="167"/>
    </row>
    <row r="16" spans="1:6" s="87" customFormat="1" x14ac:dyDescent="0.2">
      <c r="A16" s="157"/>
      <c r="B16" s="164"/>
      <c r="C16" s="165"/>
      <c r="D16" s="164"/>
      <c r="E16" s="166"/>
      <c r="F16" s="167"/>
    </row>
    <row r="17" spans="1:7" s="87" customFormat="1" x14ac:dyDescent="0.2">
      <c r="A17" s="157"/>
      <c r="B17" s="164"/>
      <c r="C17" s="165"/>
      <c r="D17" s="164"/>
      <c r="E17" s="166"/>
      <c r="F17" s="167"/>
    </row>
    <row r="18" spans="1:7" s="87" customFormat="1" x14ac:dyDescent="0.2">
      <c r="A18" s="157"/>
      <c r="B18" s="164"/>
      <c r="C18" s="165"/>
      <c r="D18" s="164"/>
      <c r="E18" s="166"/>
      <c r="F18" s="167"/>
    </row>
    <row r="19" spans="1:7" s="87" customFormat="1" x14ac:dyDescent="0.2">
      <c r="A19" s="157"/>
      <c r="B19" s="164"/>
      <c r="C19" s="165"/>
      <c r="D19" s="164"/>
      <c r="E19" s="166"/>
      <c r="F19" s="167"/>
    </row>
    <row r="20" spans="1:7" s="87" customFormat="1" x14ac:dyDescent="0.2">
      <c r="A20" s="157"/>
      <c r="B20" s="164"/>
      <c r="C20" s="165"/>
      <c r="D20" s="164"/>
      <c r="E20" s="166"/>
      <c r="F20" s="167"/>
    </row>
    <row r="21" spans="1:7" s="87" customFormat="1" x14ac:dyDescent="0.2">
      <c r="A21" s="157"/>
      <c r="B21" s="164"/>
      <c r="C21" s="165"/>
      <c r="D21" s="164"/>
      <c r="E21" s="166"/>
      <c r="F21" s="167"/>
    </row>
    <row r="22" spans="1:7" s="87" customFormat="1" x14ac:dyDescent="0.2">
      <c r="A22" s="157"/>
      <c r="B22" s="164"/>
      <c r="C22" s="165"/>
      <c r="D22" s="164"/>
      <c r="E22" s="166"/>
      <c r="F22" s="167"/>
    </row>
    <row r="23" spans="1:7" s="87" customFormat="1" x14ac:dyDescent="0.2">
      <c r="A23" s="157"/>
      <c r="B23" s="164"/>
      <c r="C23" s="165"/>
      <c r="D23" s="164"/>
      <c r="E23" s="166"/>
      <c r="F23" s="167"/>
    </row>
    <row r="24" spans="1:7" s="87" customFormat="1" hidden="1" x14ac:dyDescent="0.2">
      <c r="A24" s="133"/>
      <c r="B24" s="138"/>
      <c r="C24" s="140"/>
      <c r="D24" s="138"/>
      <c r="E24" s="141"/>
      <c r="F24" s="139"/>
    </row>
    <row r="25" spans="1:7" ht="34.5" customHeight="1" x14ac:dyDescent="0.2">
      <c r="A25" s="152" t="s">
        <v>162</v>
      </c>
      <c r="B25" s="153" t="s">
        <v>163</v>
      </c>
      <c r="C25" s="154">
        <f>C26+C27</f>
        <v>0</v>
      </c>
      <c r="D25" s="155" t="str">
        <f>IF(SUBTOTAL(3,C11:C24)=SUBTOTAL(103,C11:C24),'Summary and sign-off'!$A$48,'Summary and sign-off'!$A$49)</f>
        <v>Check - there are no hidden rows with data</v>
      </c>
      <c r="E25" s="177" t="str">
        <f>IF('Summary and sign-off'!F60='Summary and sign-off'!F54,'Summary and sign-off'!A52,'Summary and sign-off'!A50)</f>
        <v>Check - each entry provides sufficient information</v>
      </c>
      <c r="F25" s="177"/>
      <c r="G25" s="87"/>
    </row>
    <row r="26" spans="1:7" ht="25.5" customHeight="1" x14ac:dyDescent="0.25">
      <c r="A26" s="89"/>
      <c r="B26" s="90" t="s">
        <v>96</v>
      </c>
      <c r="C26" s="91">
        <f>COUNTIF(C11:C24,'Summary and sign-off'!A45)</f>
        <v>0</v>
      </c>
      <c r="D26" s="17"/>
      <c r="E26" s="18"/>
      <c r="F26" s="19"/>
    </row>
    <row r="27" spans="1:7" ht="25.5" customHeight="1" x14ac:dyDescent="0.25">
      <c r="A27" s="89"/>
      <c r="B27" s="90" t="s">
        <v>97</v>
      </c>
      <c r="C27" s="91">
        <f>COUNTIF(C11:C24,'Summary and sign-off'!A46)</f>
        <v>0</v>
      </c>
      <c r="D27" s="17"/>
      <c r="E27" s="18"/>
      <c r="F27" s="19"/>
    </row>
    <row r="28" spans="1:7" x14ac:dyDescent="0.2">
      <c r="A28" s="20"/>
      <c r="B28" s="21"/>
      <c r="C28" s="20"/>
      <c r="D28" s="22"/>
      <c r="E28" s="22"/>
      <c r="F28" s="20"/>
    </row>
    <row r="29" spans="1:7" x14ac:dyDescent="0.2">
      <c r="A29" s="21" t="s">
        <v>152</v>
      </c>
      <c r="B29" s="21"/>
      <c r="C29" s="21"/>
      <c r="D29" s="21"/>
      <c r="E29" s="21"/>
      <c r="F29" s="21"/>
    </row>
    <row r="30" spans="1:7" ht="12.6" customHeight="1" x14ac:dyDescent="0.2">
      <c r="A30" s="23" t="s">
        <v>131</v>
      </c>
      <c r="B30" s="20"/>
      <c r="C30" s="20"/>
      <c r="D30" s="20"/>
      <c r="E30" s="20"/>
      <c r="F30" s="24"/>
    </row>
    <row r="31" spans="1:7" x14ac:dyDescent="0.2">
      <c r="A31" s="23" t="s">
        <v>79</v>
      </c>
      <c r="B31" s="25"/>
      <c r="C31" s="26"/>
      <c r="D31" s="26"/>
      <c r="E31" s="26"/>
      <c r="F31" s="27"/>
    </row>
    <row r="32" spans="1:7" x14ac:dyDescent="0.2">
      <c r="A32" s="23" t="s">
        <v>164</v>
      </c>
      <c r="B32" s="28"/>
      <c r="C32" s="28"/>
      <c r="D32" s="28"/>
      <c r="E32" s="28"/>
      <c r="F32" s="28"/>
    </row>
    <row r="33" spans="1:6" ht="12.75" customHeight="1" x14ac:dyDescent="0.2">
      <c r="A33" s="23" t="s">
        <v>165</v>
      </c>
      <c r="B33" s="20"/>
      <c r="C33" s="20"/>
      <c r="D33" s="20"/>
      <c r="E33" s="20"/>
      <c r="F33" s="20"/>
    </row>
    <row r="34" spans="1:6" ht="12.95" customHeight="1" x14ac:dyDescent="0.2">
      <c r="A34" s="29" t="s">
        <v>166</v>
      </c>
      <c r="B34" s="30"/>
      <c r="C34" s="30"/>
      <c r="D34" s="30"/>
      <c r="E34" s="30"/>
      <c r="F34" s="30"/>
    </row>
    <row r="35" spans="1:6" x14ac:dyDescent="0.2">
      <c r="A35" s="31" t="s">
        <v>167</v>
      </c>
      <c r="B35" s="32"/>
      <c r="C35" s="27"/>
      <c r="D35" s="27"/>
      <c r="E35" s="27"/>
      <c r="F35" s="27"/>
    </row>
    <row r="36" spans="1:6" ht="12.75" customHeight="1" x14ac:dyDescent="0.2">
      <c r="A36" s="31" t="s">
        <v>146</v>
      </c>
      <c r="B36" s="23"/>
      <c r="C36" s="33"/>
      <c r="D36" s="33"/>
      <c r="E36" s="33"/>
      <c r="F36" s="33"/>
    </row>
    <row r="37" spans="1:6" ht="12.75" customHeight="1" x14ac:dyDescent="0.2">
      <c r="A37" s="23"/>
      <c r="B37" s="23"/>
      <c r="C37" s="33"/>
      <c r="D37" s="33"/>
      <c r="E37" s="33"/>
      <c r="F37" s="33"/>
    </row>
    <row r="38" spans="1:6" ht="12.75" hidden="1" customHeight="1" x14ac:dyDescent="0.2">
      <c r="A38" s="23"/>
      <c r="B38" s="23"/>
      <c r="C38" s="33"/>
      <c r="D38" s="33"/>
      <c r="E38" s="33"/>
      <c r="F38" s="33"/>
    </row>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Description="" ma:contentTypeID="0x01010054669F8639DE294E941D1F01D6045AA9004910BA11A4C5304E8E4C6F9EFF2E939A" ma:contentTypeName="iManageDocument" ma:contentTypeScope="" ma:contentTypeVersion="149" ma:versionID="c4f1a3949722396ccc74c925703dd5ab">
  <xsd:schema xmlns:ns2="12165527-d881-4234-97f9-ee139a3f0c31" xmlns:p="http://schemas.microsoft.com/office/2006/metadata/properties" xmlns:xs="http://www.w3.org/2001/XMLSchema" xmlns:xsd="http://www.w3.org/2001/XMLSchema" ma:fieldsID="4545a69ead8714916461d255f032afb7" ma:root="true" ns2:_="" targetNamespace="http://schemas.microsoft.com/office/2006/metadata/properties">
    <xsd:import namespace="12165527-d881-4234-97f9-ee139a3f0c31"/>
    <xsd:element name="properties">
      <xsd:complexType>
        <xsd:sequence>
          <xsd:element name="documentManagement">
            <xsd:complexType>
              <xsd:all>
                <xsd:element minOccurs="0" ref="ns2:Business_x0020_Unit"/>
                <xsd:element minOccurs="0" ref="ns2:Cabinet_x0020_Committee"/>
                <xsd:element minOccurs="0" ref="ns2:Class"/>
                <xsd:element minOccurs="0" ref="ns2:DOCNUM"/>
                <xsd:element minOccurs="0" ref="ns2:Endorsement"/>
                <xsd:element minOccurs="0" ref="ns2:File_x0020_No"/>
                <xsd:element minOccurs="0" ref="ns2:Precedents"/>
                <xsd:element minOccurs="0" ref="ns2:Key_x0020_Version"/>
                <xsd:element minOccurs="0" ref="ns2:SubClass"/>
                <xsd:element minOccurs="0" ref="ns2:RM_x0020_DOC_x0020_ID"/>
                <xsd:element minOccurs="0" ref="ns2:Sec_x0020_Review"/>
                <xsd:element minOccurs="0" ref="ns2:Security_x0020_Classification"/>
                <xsd:element minOccurs="0" ref="ns2:iManageAuthor"/>
                <xsd:element minOccurs="0" ref="ns2:_dlc_DocId"/>
                <xsd:element minOccurs="0" ref="ns2:_dlc_DocIdUrl"/>
                <xsd:element minOccurs="0" ref="ns2:_dlc_DocIdPersistId"/>
              </xsd:all>
            </xsd:complexType>
          </xsd:element>
        </xsd:sequence>
      </xsd:complexType>
    </xsd:element>
  </xsd:schema>
  <xsd:schema xmlns:dms="http://schemas.microsoft.com/office/2006/documentManagement/types" xmlns:pc="http://schemas.microsoft.com/office/infopath/2007/PartnerControls" xmlns:xs="http://www.w3.org/2001/XMLSchema" xmlns:xsd="http://www.w3.org/2001/XMLSchema" elementFormDefault="qualified" targetNamespace="12165527-d881-4234-97f9-ee139a3f0c31">
    <xsd:import namespace="http://schemas.microsoft.com/office/2006/documentManagement/types"/>
    <xsd:import namespace="http://schemas.microsoft.com/office/infopath/2007/PartnerControls"/>
    <xsd:element ma:displayName="Business Unit" ma:format="Dropdown" ma:index="8" ma:internalName="Business_x0020_Unit" name="Business_x0020_Unit" nillable="true">
      <xsd:simpleType>
        <xsd:union memberTypes="dms:Text">
          <xsd:simpleType>
            <xsd:restriction base="dms:Choice">
              <xsd:enumeration value="BCS"/>
            </xsd:restriction>
          </xsd:simpleType>
        </xsd:union>
      </xsd:simpleType>
    </xsd:element>
    <xsd:element ma:displayName="Cabinet Committee" ma:format="Dropdown" ma:index="9" ma:internalName="Cabinet_x0020_Committee" name="Cabinet_x0020_Committee" nillable="true">
      <xsd:simpleType>
        <xsd:union memberTypes="dms:Text">
          <xsd:simpleType>
            <xsd:restriction base="dms:Choice">
              <xsd:enumeration value="Appointments and Honours"/>
            </xsd:restriction>
          </xsd:simpleType>
        </xsd:union>
      </xsd:simpleType>
    </xsd:element>
    <xsd:element ma:displayName="Class" ma:format="Dropdown" ma:index="10" ma:internalName="Class" name="Class" nillable="true">
      <xsd:simpleType>
        <xsd:union memberTypes="dms:Text">
          <xsd:simpleType>
            <xsd:restriction base="dms:Choice">
              <xsd:enumeration value="ADVICE"/>
            </xsd:restriction>
          </xsd:simpleType>
        </xsd:union>
      </xsd:simpleType>
    </xsd:element>
    <xsd:element ma:displayName="DOCNUM" ma:index="11" ma:internalName="DOCNUM" name="DOCNUM" nillable="true">
      <xsd:simpleType>
        <xsd:restriction base="dms:Text">
          <xsd:maxLength value="255"/>
        </xsd:restriction>
      </xsd:simpleType>
    </xsd:element>
    <xsd:element ma:displayName="Endorsement" ma:format="Dropdown" ma:index="12" ma:internalName="Endorsement" name="Endorsement" nillable="true">
      <xsd:simpleType>
        <xsd:union memberTypes="dms:Text">
          <xsd:simpleType>
            <xsd:restriction base="dms:Choice">
              <xsd:enumeration value="Addressee Only"/>
            </xsd:restriction>
          </xsd:simpleType>
        </xsd:union>
      </xsd:simpleType>
    </xsd:element>
    <xsd:element ma:displayName="File No" ma:index="13" ma:internalName="File_x0020_No" name="File_x0020_No" nillable="true">
      <xsd:simpleType>
        <xsd:restriction base="dms:Text">
          <xsd:maxLength value="255"/>
        </xsd:restriction>
      </xsd:simpleType>
    </xsd:element>
    <xsd:element ma:displayName="Precedents" ma:format="Dropdown" ma:index="14" ma:internalName="Precedents" name="Precedents" nillable="true">
      <xsd:simpleType>
        <xsd:restriction base="dms:Choice">
          <xsd:enumeration value="ASHCROFTC"/>
        </xsd:restriction>
      </xsd:simpleType>
    </xsd:element>
    <xsd:element ma:default="0" ma:displayName="Key Version" ma:index="15" ma:internalName="Key_x0020_Version" name="Key_x0020_Version" nillable="true">
      <xsd:simpleType>
        <xsd:restriction base="dms:Boolean"/>
      </xsd:simpleType>
    </xsd:element>
    <xsd:element ma:displayName="SubClass" ma:format="Dropdown" ma:index="16" ma:internalName="SubClass" name="SubClass" nillable="true">
      <xsd:simpleType>
        <xsd:union memberTypes="dms:Text">
          <xsd:simpleType>
            <xsd:restriction base="dms:Choice">
              <xsd:enumeration value="MINISTER"/>
            </xsd:restriction>
          </xsd:simpleType>
        </xsd:union>
      </xsd:simpleType>
    </xsd:element>
    <xsd:element ma:displayName="RM DOC ID" ma:index="17" ma:internalName="RM_x0020_DOC_x0020_ID" name="RM_x0020_DOC_x0020_ID" nillable="true">
      <xsd:simpleType>
        <xsd:restriction base="dms:Text">
          <xsd:maxLength value="255"/>
        </xsd:restriction>
      </xsd:simpleType>
    </xsd:element>
    <xsd:element ma:displayName="Sec Review" ma:format="DateOnly" ma:index="18" ma:internalName="Sec_x0020_Review" name="Sec_x0020_Review" nillable="true">
      <xsd:simpleType>
        <xsd:restriction base="dms:DateTime"/>
      </xsd:simpleType>
    </xsd:element>
    <xsd:element ma:displayName="Security Classification" ma:format="Dropdown" ma:index="19" ma:internalName="Security_x0020_Classification" name="Security_x0020_Classification" nillable="true">
      <xsd:simpleType>
        <xsd:union memberTypes="dms:Text">
          <xsd:simpleType>
            <xsd:restriction base="dms:Choice">
              <xsd:enumeration value="BUDGET-SENSITIVE"/>
            </xsd:restriction>
          </xsd:simpleType>
        </xsd:union>
      </xsd:simpleType>
    </xsd:element>
    <xsd:element ma:displayName="iManageAuthor" ma:index="21" ma:internalName="iManageAuthor" name="iManageAuthor" nillable="true">
      <xsd:simpleType>
        <xsd:restriction base="dms:Text">
          <xsd:maxLength value="255"/>
        </xsd:restriction>
      </xsd:simpleType>
    </xsd:element>
    <xsd:element ma:description="The value of the document ID assigned to this item." ma:displayName="Document ID Value" ma:index="22" ma:internalName="_dlc_DocId" ma:readOnly="true" name="_dlc_DocId" nillable="true">
      <xsd:simpleType>
        <xsd:restriction base="dms:Text"/>
      </xsd:simpleType>
    </xsd:element>
    <xsd:element ma:description="Permanent link to this document." ma:displayName="Document ID" ma:hidden="true" ma:index="23" ma:internalName="_dlc_DocIdUrl" ma:readOnly="true" name="_dlc_DocIdUrl" nillable="true">
      <xsd:complexType>
        <xsd:complexContent>
          <xsd:extension base="dms:URL">
            <xsd:sequence>
              <xsd:element minOccurs="0" name="Url" nillable="true" type="dms:ValidUrl"/>
              <xsd:element name="Description" nillable="true" type="xsd:string"/>
            </xsd:sequence>
          </xsd:extension>
        </xsd:complexContent>
      </xsd:complexType>
    </xsd:element>
    <xsd:element ma:description="Keep ID on add." ma:displayName="Persist ID" ma:hidden="true" ma:index="24" ma:internalName="_dlc_DocIdPersistId" ma:readOnly="true" name="_dlc_DocIdPersistId" nillable="true">
      <xsd:simpleType>
        <xsd:restriction base="dms:Boolean"/>
      </xsd:simpleType>
    </xsd:element>
  </xsd:schema>
  <xsd:schema xmlns="http://schemas.openxmlformats.org/package/2006/metadata/core-properties" xmlns:dc="http://purl.org/dc/elements/1.1/" xmlns:dcterms="http://purl.org/dc/terms/" xmlns:odoc="http://schemas.microsoft.com/internal/obd" xmlns:xsd="http://www.w3.org/2001/XMLSchema"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displayName="Comments" ma:index="20"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pc="http://schemas.microsoft.com/office/infopath/2007/PartnerControls" xmlns:xs="http://www.w3.org/2001/XMLSchema"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Alecia Holt</cp:lastModifiedBy>
  <cp:revision/>
  <dcterms:created xsi:type="dcterms:W3CDTF">2010-10-17T20:59:02Z</dcterms:created>
  <dcterms:modified xsi:type="dcterms:W3CDTF">2022-07-26T04:36:48Z</dcterms:modified>
  <cp:category/>
  <cp:contentStatus/>
</cp:coreProperties>
</file>