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2.xml" ContentType="application/vnd.openxmlformats-officedocument.spreadsheetml.comments+xml"/>
  <Override PartName="/xl/threadedComments/threadedComment1.xml" ContentType="application/vnd.ms-excel.threadedcomments+xml"/>
  <Override PartName="/xl/customProperty5.bin" ContentType="application/vnd.openxmlformats-officedocument.spreadsheetml.customProperty"/>
  <Override PartName="/xl/comments3.xml" ContentType="application/vnd.openxmlformats-officedocument.spreadsheetml.comments+xml"/>
  <Override PartName="/xl/customProperty6.bin" ContentType="application/vnd.openxmlformats-officedocument.spreadsheetml.customProperty"/>
  <Override PartName="/xl/comments4.xml" ContentType="application/vnd.openxmlformats-officedocument.spreadsheetml.comments+xml"/>
  <Override PartName="/xl/customProperty7.bin" ContentType="application/vnd.openxmlformats-officedocument.spreadsheetml.customProperty"/>
  <Override PartName="/xl/comments5.xml" ContentType="application/vnd.openxmlformats-officedocument.spreadsheetml.comments+xml"/>
  <Override PartName="/xl/customProperty8.bin" ContentType="application/vnd.openxmlformats-officedocument.spreadsheetml.customProperty"/>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D:\Users\mreid\Desktop\Melissa's stuff\Apdfs\"/>
    </mc:Choice>
  </mc:AlternateContent>
  <xr:revisionPtr revIDLastSave="0" documentId="8_{530D4BB2-8DF5-4E8A-9C91-8C0972CB349C}" xr6:coauthVersionLast="47" xr6:coauthVersionMax="47" xr10:uidLastSave="{00000000-0000-0000-0000-000000000000}"/>
  <bookViews>
    <workbookView xWindow="-120" yWindow="-120" windowWidth="29040" windowHeight="15990" activeTab="2" xr2:uid="{00000000-000D-0000-FFFF-FFFF00000000}"/>
  </bookViews>
  <sheets>
    <sheet name="Line items" sheetId="14" r:id="rId1"/>
    <sheet name="Notes on how to update" sheetId="15" r:id="rId2"/>
    <sheet name="Summary and sign-off" sheetId="13" r:id="rId3"/>
    <sheet name="Travel" sheetId="1" r:id="rId4"/>
    <sheet name="Hospitality" sheetId="2" r:id="rId5"/>
    <sheet name="All other expenses" sheetId="3" r:id="rId6"/>
    <sheet name="Gifts and benefits" sheetId="4" r:id="rId7"/>
    <sheet name="Guidance for agencies" sheetId="5" r:id="rId8"/>
  </sheets>
  <definedNames>
    <definedName name="_xlnm._FilterDatabase" localSheetId="0" hidden="1">'Line items'!$A$1:$N$338</definedName>
    <definedName name="_xlnm._FilterDatabase" localSheetId="3" hidden="1">Travel!$A$24:$F$149</definedName>
    <definedName name="_xlnm.Print_Area" localSheetId="5">'All other expenses'!$A$1:$E$31</definedName>
    <definedName name="_xlnm.Print_Area" localSheetId="6">'Gifts and benefits'!$A$1:$F$35</definedName>
    <definedName name="_xlnm.Print_Area" localSheetId="7">'Guidance for agencies'!$A$1:$A$58</definedName>
    <definedName name="_xlnm.Print_Area" localSheetId="4">Hospitality!$A$1:$F$61</definedName>
    <definedName name="_xlnm.Print_Area" localSheetId="2">'Summary and sign-off'!$A$1:$F$23</definedName>
    <definedName name="_xlnm.Print_Area" localSheetId="3">Travel!$A$1:$F$180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4" i="1" l="1"/>
  <c r="B96" i="1"/>
  <c r="B111" i="1"/>
  <c r="B70" i="1" l="1"/>
  <c r="B169" i="1"/>
  <c r="B54" i="2"/>
  <c r="B31" i="1"/>
  <c r="B42" i="1"/>
  <c r="B52" i="1"/>
  <c r="B56" i="1"/>
  <c r="B59" i="1"/>
  <c r="B67" i="1"/>
  <c r="B80" i="1"/>
  <c r="B90" i="1"/>
  <c r="B99" i="1"/>
  <c r="B102" i="1"/>
  <c r="B103" i="1"/>
  <c r="B106" i="1"/>
  <c r="B137" i="1"/>
  <c r="B138" i="1"/>
  <c r="B148" i="1" l="1"/>
  <c r="B153" i="1"/>
  <c r="B152" i="1"/>
  <c r="B140" i="1"/>
  <c r="B149" i="1"/>
  <c r="B147" i="1"/>
  <c r="B145" i="1"/>
  <c r="B146" i="1"/>
  <c r="B139" i="1"/>
  <c r="B135" i="1"/>
  <c r="B126" i="1"/>
  <c r="B115" i="1"/>
  <c r="B107" i="1"/>
  <c r="B93" i="1" l="1"/>
  <c r="B86" i="1"/>
  <c r="B84" i="1"/>
  <c r="B81" i="1"/>
  <c r="B73" i="1"/>
  <c r="B71" i="1" l="1"/>
  <c r="B68" i="1"/>
  <c r="B69" i="1"/>
  <c r="B61" i="1"/>
  <c r="B50" i="1"/>
  <c r="B49" i="1"/>
  <c r="B43" i="1"/>
  <c r="B39" i="1"/>
  <c r="B20" i="2"/>
  <c r="B34" i="1" l="1"/>
  <c r="B32" i="1"/>
  <c r="B151" i="1"/>
  <c r="B150" i="1"/>
  <c r="B143" i="1"/>
  <c r="B141" i="1"/>
  <c r="B131" i="1"/>
  <c r="B128" i="1"/>
  <c r="B121" i="1"/>
  <c r="B120" i="1"/>
  <c r="B105" i="1"/>
  <c r="B98" i="1"/>
  <c r="B88" i="1"/>
  <c r="B72" i="1"/>
  <c r="B64" i="1"/>
  <c r="B58" i="1"/>
  <c r="B54" i="1"/>
  <c r="B45" i="1"/>
  <c r="B17" i="13"/>
  <c r="B35" i="1"/>
  <c r="B24" i="1"/>
  <c r="B29" i="1"/>
  <c r="B28" i="1"/>
  <c r="E243" i="14"/>
  <c r="E242" i="14"/>
  <c r="E241" i="14"/>
  <c r="E230" i="14"/>
  <c r="E237" i="14"/>
  <c r="E228" i="14"/>
  <c r="E235" i="14"/>
  <c r="E233" i="14"/>
  <c r="E232" i="14"/>
  <c r="E231" i="14"/>
  <c r="E239" i="14"/>
  <c r="E240" i="14"/>
  <c r="E238" i="14"/>
  <c r="E229" i="14"/>
  <c r="E236" i="14"/>
  <c r="E234" i="14"/>
  <c r="E159" i="14"/>
  <c r="E162" i="14"/>
  <c r="E164" i="14"/>
  <c r="E144" i="14"/>
  <c r="E147" i="14"/>
  <c r="E149" i="14"/>
  <c r="E166" i="14"/>
  <c r="E151" i="14"/>
  <c r="E157" i="14"/>
  <c r="E145" i="14"/>
  <c r="E146" i="14"/>
  <c r="E152" i="14"/>
  <c r="E156" i="14"/>
  <c r="E158" i="14"/>
  <c r="E160" i="14"/>
  <c r="E217" i="14"/>
  <c r="E179" i="14"/>
  <c r="E180" i="14"/>
  <c r="E186" i="14"/>
  <c r="E191" i="14"/>
  <c r="E204" i="14"/>
  <c r="E182" i="14"/>
  <c r="E184" i="14"/>
  <c r="E190" i="14"/>
  <c r="E195" i="14"/>
  <c r="E196" i="14"/>
  <c r="E197" i="14"/>
  <c r="E198" i="14"/>
  <c r="E199" i="14"/>
  <c r="E202" i="14"/>
  <c r="E203" i="14"/>
  <c r="E205" i="14"/>
  <c r="E207" i="14"/>
  <c r="E208" i="14"/>
  <c r="E210" i="14"/>
  <c r="E211" i="14"/>
  <c r="E212" i="14"/>
  <c r="E213" i="14"/>
  <c r="E215" i="14"/>
  <c r="E185" i="14"/>
  <c r="E188" i="14"/>
  <c r="E200" i="14"/>
  <c r="E178" i="14"/>
  <c r="E183" i="14"/>
  <c r="E192" i="14"/>
  <c r="E193" i="14"/>
  <c r="E194" i="14"/>
  <c r="E201" i="14"/>
  <c r="E187" i="14"/>
  <c r="E219" i="14"/>
  <c r="E176" i="14"/>
  <c r="E177" i="14"/>
  <c r="E222" i="14"/>
  <c r="E220" i="14"/>
  <c r="E221" i="14"/>
  <c r="E223" i="14"/>
  <c r="E225" i="14"/>
  <c r="E224" i="14"/>
  <c r="E226" i="14"/>
  <c r="E227" i="14"/>
  <c r="E173" i="14"/>
  <c r="E174" i="14"/>
  <c r="E175" i="14"/>
  <c r="E165" i="14"/>
  <c r="E167" i="14"/>
  <c r="E169" i="14"/>
  <c r="E170" i="14"/>
  <c r="E171" i="14"/>
  <c r="E155" i="14"/>
  <c r="E161" i="14"/>
  <c r="E189" i="14"/>
  <c r="E206" i="14"/>
  <c r="E181" i="14"/>
  <c r="E209" i="14"/>
  <c r="E214" i="14"/>
  <c r="E216" i="14"/>
  <c r="E218" i="14"/>
  <c r="E168" i="14"/>
  <c r="E172" i="14"/>
  <c r="E148" i="14"/>
  <c r="E150" i="14"/>
  <c r="E153" i="14"/>
  <c r="E154" i="14"/>
  <c r="E163" i="14"/>
  <c r="D24" i="4"/>
  <c r="C25" i="3"/>
  <c r="D54" i="2"/>
  <c r="D19" i="1"/>
  <c r="B6" i="13"/>
  <c r="E59" i="13"/>
  <c r="C59" i="13"/>
  <c r="C26" i="4"/>
  <c r="F13" i="13"/>
  <c r="C25" i="4"/>
  <c r="F12" i="13"/>
  <c r="B59" i="13"/>
  <c r="F59" i="13" s="1"/>
  <c r="E24" i="4" s="1"/>
  <c r="B58" i="13"/>
  <c r="D58" i="13"/>
  <c r="B57" i="13"/>
  <c r="D57" i="13"/>
  <c r="D56" i="13"/>
  <c r="B56" i="13"/>
  <c r="D55" i="13"/>
  <c r="D54" i="13"/>
  <c r="B54" i="13"/>
  <c r="B2" i="4"/>
  <c r="B3" i="4"/>
  <c r="B2" i="3"/>
  <c r="B3" i="3"/>
  <c r="B2" i="2"/>
  <c r="B3" i="2"/>
  <c r="B2" i="1"/>
  <c r="B3" i="1"/>
  <c r="F58" i="13"/>
  <c r="D25" i="3"/>
  <c r="C13" i="13"/>
  <c r="C12" i="13"/>
  <c r="C11" i="13"/>
  <c r="C16" i="13" s="1"/>
  <c r="B5" i="4"/>
  <c r="B4" i="4"/>
  <c r="B5" i="3"/>
  <c r="B4" i="3"/>
  <c r="B5" i="2"/>
  <c r="B4" i="2"/>
  <c r="B5" i="1"/>
  <c r="B4" i="1"/>
  <c r="C24" i="4"/>
  <c r="F11" i="13"/>
  <c r="B19" i="1"/>
  <c r="B15" i="13" s="1"/>
  <c r="B25" i="3"/>
  <c r="B13" i="13"/>
  <c r="B12" i="13"/>
  <c r="B156" i="1" l="1"/>
  <c r="B16" i="13" s="1"/>
  <c r="B11" i="13" s="1"/>
  <c r="B55" i="13"/>
  <c r="F55" i="13" s="1"/>
  <c r="E156" i="1" s="1"/>
  <c r="D156" i="1"/>
  <c r="F54" i="13"/>
  <c r="E19" i="1" s="1"/>
  <c r="F56" i="13"/>
  <c r="E169" i="1" s="1"/>
  <c r="D169" i="1"/>
  <c r="C17" i="13"/>
  <c r="C15" i="13"/>
  <c r="F57" i="13"/>
  <c r="E54" i="2" s="1"/>
  <c r="B17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kashforth</author>
  </authors>
  <commentList>
    <comment ref="A1" authorId="0" shapeId="0" xr:uid="{B914B321-0810-40FE-A09C-D7EFDD7EB500}">
      <text>
        <r>
          <rPr>
            <b/>
            <sz val="9"/>
            <color indexed="81"/>
            <rFont val="Tahoma"/>
            <family val="2"/>
          </rPr>
          <t>Document No.</t>
        </r>
      </text>
    </comment>
    <comment ref="B1" authorId="0" shapeId="0" xr:uid="{7C575B20-B226-4687-8862-0C3EA4BDA2B0}">
      <text>
        <r>
          <rPr>
            <b/>
            <sz val="9"/>
            <color indexed="81"/>
            <rFont val="Tahoma"/>
            <family val="2"/>
          </rPr>
          <t>Posting Date</t>
        </r>
      </text>
    </comment>
    <comment ref="C1" authorId="0" shapeId="0" xr:uid="{68FD8515-4275-49C1-BBA8-5A64916FE673}">
      <text>
        <r>
          <rPr>
            <b/>
            <sz val="9"/>
            <color indexed="81"/>
            <rFont val="Tahoma"/>
            <family val="2"/>
          </rPr>
          <t>Period</t>
        </r>
      </text>
    </comment>
    <comment ref="D1" authorId="0" shapeId="0" xr:uid="{09AFD87A-5480-4D9B-AC60-12F2354231DE}">
      <text>
        <r>
          <rPr>
            <b/>
            <sz val="9"/>
            <color indexed="81"/>
            <rFont val="Tahoma"/>
            <family val="2"/>
          </rPr>
          <t>Account Number</t>
        </r>
      </text>
    </comment>
    <comment ref="E1" authorId="0" shapeId="0" xr:uid="{6FC44D47-3FEF-4310-8F0C-AC1E975964BA}">
      <text>
        <r>
          <rPr>
            <b/>
            <sz val="9"/>
            <color indexed="81"/>
            <rFont val="Tahoma"/>
            <family val="2"/>
          </rPr>
          <t>Account Text</t>
        </r>
      </text>
    </comment>
    <comment ref="F1" authorId="0" shapeId="0" xr:uid="{0A1C1772-79CE-49AF-8438-7F7F0C83BB24}">
      <text>
        <r>
          <rPr>
            <b/>
            <sz val="9"/>
            <color indexed="81"/>
            <rFont val="Tahoma"/>
            <family val="2"/>
          </rPr>
          <t>$ Value</t>
        </r>
      </text>
    </comment>
    <comment ref="G1" authorId="0" shapeId="0" xr:uid="{D588DAB1-C49C-4B90-B203-9D15220E4330}">
      <text>
        <r>
          <rPr>
            <b/>
            <sz val="9"/>
            <color indexed="81"/>
            <rFont val="Tahoma"/>
            <family val="2"/>
          </rPr>
          <t>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tc={0F14948C-1EA0-4E98-A10E-2CE61C0CAE80}</author>
    <author>tc={D834FCDD-4D65-484C-A5C6-DF42CD5BE135}</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2"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D143" authorId="1" shapeId="0" xr:uid="{0F14948C-1EA0-4E98-A10E-2CE61C0CAE80}">
      <text>
        <t>[Threaded comment]
Your version of Excel allows you to read this threaded comment; however, any edits to it will get removed if the file is opened in a newer version of Excel. Learn more: https://go.microsoft.com/fwlink/?linkid=870924
Comment:
    PSC approved Lou to attend-IOD</t>
      </text>
    </comment>
    <comment ref="D150" authorId="2" shapeId="0" xr:uid="{D834FCDD-4D65-484C-A5C6-DF42CD5BE135}">
      <text>
        <t>[Threaded comment]
Your version of Excel allows you to read this threaded comment; however, any edits to it will get removed if the file is opened in a newer version of Excel. Learn more: https://go.microsoft.com/fwlink/?linkid=870924
Comment:
    PWC, EQC, Home Medical CE's</t>
      </text>
    </comment>
    <comment ref="A15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sharedStrings.xml><?xml version="1.0" encoding="utf-8"?>
<sst xmlns="http://schemas.openxmlformats.org/spreadsheetml/2006/main" count="2815" uniqueCount="748">
  <si>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</si>
  <si>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</si>
  <si>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</si>
  <si>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</si>
  <si>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</si>
  <si>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</si>
  <si>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</si>
  <si>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</si>
  <si>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</si>
  <si>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</si>
  <si>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</si>
  <si>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</si>
  <si>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</si>
  <si>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</si>
  <si>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</si>
  <si>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</si>
  <si>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</si>
  <si>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</si>
  <si>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</si>
  <si>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</si>
  <si>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</si>
  <si>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</si>
  <si>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</si>
  <si>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</si>
  <si>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</si>
  <si>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</si>
  <si>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</si>
  <si>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</si>
  <si>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</si>
  <si>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</si>
  <si>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</si>
  <si>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</si>
  <si>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</si>
  <si>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</si>
  <si>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</si>
  <si>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</si>
  <si>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</si>
  <si>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</si>
  <si>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</si>
  <si>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</si>
  <si>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</si>
  <si>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</si>
  <si>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</si>
  <si>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</si>
  <si>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</si>
  <si>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</si>
  <si>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</si>
  <si>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</si>
  <si>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</si>
  <si>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</si>
  <si>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</si>
  <si>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</si>
  <si>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</si>
  <si>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</si>
  <si>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</si>
  <si>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</si>
  <si>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</si>
  <si>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</si>
  <si>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</si>
  <si>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</si>
  <si>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</si>
  <si>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</si>
  <si>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</si>
  <si>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</si>
  <si>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</si>
  <si>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</si>
  <si>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</si>
  <si>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</si>
  <si>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</si>
  <si>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</si>
  <si>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</si>
  <si>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</si>
  <si>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</si>
  <si>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</si>
  <si>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</si>
  <si>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</si>
  <si>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</si>
  <si>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</si>
  <si>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</si>
  <si>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</si>
  <si>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</si>
  <si>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</si>
  <si>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</si>
  <si>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</si>
  <si>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</si>
  <si>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</si>
  <si>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</si>
  <si>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</si>
  <si>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</si>
  <si>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</si>
  <si>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</si>
  <si>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</si>
  <si>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</si>
  <si>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</si>
  <si>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</si>
  <si>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</si>
  <si>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</si>
  <si>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</si>
  <si>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</si>
  <si>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</si>
  <si>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</si>
  <si>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</si>
  <si>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</si>
  <si>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</si>
  <si>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</si>
  <si>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</si>
  <si>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</si>
  <si>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</si>
  <si>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</si>
  <si>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</si>
  <si>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</si>
  <si>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</si>
  <si>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</si>
  <si>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</si>
  <si>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</si>
  <si>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</si>
  <si>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</si>
  <si>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</si>
  <si>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</si>
  <si>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</si>
  <si>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</si>
  <si>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</si>
  <si>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</si>
  <si>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</si>
  <si>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</si>
  <si>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</si>
  <si>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</si>
  <si>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</si>
  <si>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</si>
  <si>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</si>
  <si>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</si>
  <si>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</si>
  <si>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</si>
  <si>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</si>
  <si>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</si>
  <si>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</si>
  <si>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</si>
  <si>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</si>
  <si>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</si>
  <si>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</si>
  <si>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</si>
  <si>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</si>
  <si>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</si>
  <si>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</si>
  <si>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</si>
  <si>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</si>
  <si>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</si>
  <si>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</si>
  <si>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</si>
  <si>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</si>
  <si>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</si>
  <si>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</si>
  <si>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</si>
  <si>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</si>
  <si>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</si>
  <si>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</si>
  <si>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</si>
  <si>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</si>
  <si>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</si>
  <si>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</si>
  <si>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</si>
  <si>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</si>
  <si>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</si>
  <si>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</si>
  <si>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</si>
  <si>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</si>
  <si>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</si>
  <si>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</si>
  <si>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The Department of Conservation</t>
  </si>
  <si>
    <t>Lou Sanson</t>
  </si>
  <si>
    <t>Wellington</t>
  </si>
  <si>
    <t>This disclosure has been approved by the Chief Financial Officer</t>
  </si>
  <si>
    <t>Document No.</t>
  </si>
  <si>
    <t>Posting Date</t>
  </si>
  <si>
    <t>Period</t>
  </si>
  <si>
    <t>Account Number</t>
  </si>
  <si>
    <t>Account Text</t>
  </si>
  <si>
    <t>$ Value</t>
  </si>
  <si>
    <t>Text</t>
  </si>
  <si>
    <t>Date</t>
  </si>
  <si>
    <t>Purpose of travel</t>
  </si>
  <si>
    <t>Type of expense</t>
  </si>
  <si>
    <t>Location</t>
  </si>
  <si>
    <t>PAX</t>
  </si>
  <si>
    <t>62101</t>
  </si>
  <si>
    <t>62102</t>
  </si>
  <si>
    <t>62511</t>
  </si>
  <si>
    <t>1416500 Sanson L 191122 HKK WLG AIR</t>
  </si>
  <si>
    <t>Travel - Domestic Flights</t>
  </si>
  <si>
    <t>Travel - Domestic Expenses</t>
  </si>
  <si>
    <t>1513847 Sanson L 200701 WLG DUD AIR</t>
  </si>
  <si>
    <t>1513847 Sanson L 200701 FEE</t>
  </si>
  <si>
    <t>1514401 Sanson L 200703 FEE</t>
  </si>
  <si>
    <t>62104</t>
  </si>
  <si>
    <t>Uber Trip Help uber home after meeting with AirNZ</t>
  </si>
  <si>
    <t>Taxi/Cab services</t>
  </si>
  <si>
    <t>1518666 Sanson L 200724 WLG KKE AIR</t>
  </si>
  <si>
    <t>1519455 Sanson L 200709 CHC WLG AIR</t>
  </si>
  <si>
    <t>1519455 Sanson L 200709 WLG CHC AIR</t>
  </si>
  <si>
    <t>1519455 Sanson L 200710 WLG CHC AIR</t>
  </si>
  <si>
    <t>1525803 Sanson L 200717 NSN WLG AIR</t>
  </si>
  <si>
    <t>1525803 Sanson L 200717 WLG NSN AIR</t>
  </si>
  <si>
    <t>1525825 Sanson L 200808 TUO CHC AIR</t>
  </si>
  <si>
    <t>1514401 Sanson L 200703 Stewart Island to Invercar</t>
  </si>
  <si>
    <t>0100568780</t>
  </si>
  <si>
    <t>0100570610</t>
  </si>
  <si>
    <t>0100570612</t>
  </si>
  <si>
    <t>0100570613</t>
  </si>
  <si>
    <t>0100570710</t>
  </si>
  <si>
    <t>0100570938</t>
  </si>
  <si>
    <t>1513847 Sanson L 200701 DUD 2 day(s) CAR</t>
  </si>
  <si>
    <t>1513847 Sanson L 200701 DUD HTL</t>
  </si>
  <si>
    <t>1513847 Sanson L 200701 Fuel Charge INC</t>
  </si>
  <si>
    <t>1513847 Sanson L 200701 INC</t>
  </si>
  <si>
    <t>1513847 Sanson L 200701 IVC HTL</t>
  </si>
  <si>
    <t>1513847 Sanson L 200701 Misc Charge INC</t>
  </si>
  <si>
    <t>1513847 Sanson L 200701 One Way Fee INC</t>
  </si>
  <si>
    <t>1514401 Sanson L 200703 HTL</t>
  </si>
  <si>
    <t>1514401 Sanson L 200703 INC</t>
  </si>
  <si>
    <t>1518666 Sanson L 200724 FEE</t>
  </si>
  <si>
    <t>1519455 Sanson L 200710 FEE</t>
  </si>
  <si>
    <t>1525803 Sanson L 200717 FEE</t>
  </si>
  <si>
    <t>1525825 Sanson L 200808 FEE</t>
  </si>
  <si>
    <t>1525803 Sanson L 200717 INC</t>
  </si>
  <si>
    <t>1525803 Sanson L 200717 Misc Charge INC</t>
  </si>
  <si>
    <t>1525803 Sanson L 200717 NSN 2 day(s) CAR</t>
  </si>
  <si>
    <t>South Sea Hotel "SSI Visit Air NZ Captain Dave Mor</t>
  </si>
  <si>
    <t>Vanguard Coffee "meeting Sarah Gardner, CEO Otago</t>
  </si>
  <si>
    <t>Beachcomber Res Lou Sanson - Northland iwi visits</t>
  </si>
  <si>
    <t>Fullers Boi Hok Lou Sanson - Northland iwi visits</t>
  </si>
  <si>
    <t>0100569052</t>
  </si>
  <si>
    <t>Uber Trip Help. "uber home after meeting with AirN</t>
  </si>
  <si>
    <t>Uber Trip Help. Lou Sanson - Northland Iwi visits</t>
  </si>
  <si>
    <t>Hospitality/Events</t>
  </si>
  <si>
    <t>Mediterranean F Breakfast with Gretchen Rasch Cawt</t>
  </si>
  <si>
    <t>Pickle And Pie meeting with CEO Project Crimson Wg</t>
  </si>
  <si>
    <t>Victoria Street Jane Taylor/Martin Kessick/Lou San</t>
  </si>
  <si>
    <t>n/a</t>
  </si>
  <si>
    <t>0100573167</t>
  </si>
  <si>
    <t>0100573168</t>
  </si>
  <si>
    <t>0100573170</t>
  </si>
  <si>
    <t>0100573257</t>
  </si>
  <si>
    <t>1532026 Sanson L 200818 WLG ROT AIR</t>
  </si>
  <si>
    <t>1532418 Sanson L 200903 WLG AKL AIR</t>
  </si>
  <si>
    <t>1525825 Sanson L 200808 CHC WLG AIR</t>
  </si>
  <si>
    <t>1535356 Sanson L 200821 WLG CHC AIR</t>
  </si>
  <si>
    <t>1538674 Sanson L 200827 PCN WLG AIR</t>
  </si>
  <si>
    <t>1538674 Sanson L 200827 WLG BHE AIR</t>
  </si>
  <si>
    <t>1538689 Sanson L 201022 WLG WLG AIR</t>
  </si>
  <si>
    <t>1538689 Sanson L 201022 WLG WSZ AIR</t>
  </si>
  <si>
    <t>1538873 Sanson L 200904 WLG TIU AIR</t>
  </si>
  <si>
    <t>1538877 Sanson L 200923 WLG CHC AIR</t>
  </si>
  <si>
    <t>1532026 Sanson L 200818 FEE</t>
  </si>
  <si>
    <t>1532418 Sanson L 200903 FEE</t>
  </si>
  <si>
    <t>1535356 Sanson L 200821 FEE</t>
  </si>
  <si>
    <t>1538674 Sanson L 200827 FEE</t>
  </si>
  <si>
    <t>1538689 Sanson L 201022 FEE</t>
  </si>
  <si>
    <t>1538877 Sanson L 200923 FEE</t>
  </si>
  <si>
    <t>Uber Trip Help. Sanson - trip home after late nigh</t>
  </si>
  <si>
    <t>The Atlas Resta Sanson - Predator Free business me</t>
  </si>
  <si>
    <t>Meet with partners/staff Dunedin/Invercargill</t>
  </si>
  <si>
    <t>Dunedin</t>
  </si>
  <si>
    <t>Mayor Aaron Hawkins/Otago Cons Board/john Morgan CE NIWA.  Staff at Owaka/Murihiku</t>
  </si>
  <si>
    <t>credit</t>
  </si>
  <si>
    <t>Te Aupouri/Te Roroa/Te Rarawa/Te Hiku/Ngati Kuri</t>
  </si>
  <si>
    <t>Kerikeri</t>
  </si>
  <si>
    <t>meet with various iwi in Northland w Michelle H and Bruce P</t>
  </si>
  <si>
    <t>staff visits/Antarctic NZ/Ngai Tahu</t>
  </si>
  <si>
    <t>travel</t>
  </si>
  <si>
    <t>Christchurch</t>
  </si>
  <si>
    <t>Mike Pohio/Stefanie Rixecker (Ngai Tahu)/ Sarah Williamson Ant NZ</t>
  </si>
  <si>
    <t>name (not for release) and further detail</t>
  </si>
  <si>
    <t>Nelson</t>
  </si>
  <si>
    <t>Rakiura</t>
  </si>
  <si>
    <t>1514401 Sanson L 200703 Invercargill to Stewart Is/Rakiura</t>
  </si>
  <si>
    <t>Dave Morgan AirNZ and Rachel Bruce DOC</t>
  </si>
  <si>
    <t>Taupo</t>
  </si>
  <si>
    <t>Michelle Hippolite</t>
  </si>
  <si>
    <t>Sentinel A Nuku launch/Tuwharetoa Maori Trust Board mtg</t>
  </si>
  <si>
    <t xml:space="preserve">Tickets (2) to Bledisloe Cup Sky Stadium </t>
  </si>
  <si>
    <t>Trip cancelled</t>
  </si>
  <si>
    <t>staff visits Blenheim/Picton</t>
  </si>
  <si>
    <t>Blenheim</t>
  </si>
  <si>
    <t>Lake Daniels hut opening/Cave Creek 25yr anniversary</t>
  </si>
  <si>
    <t>Westport</t>
  </si>
  <si>
    <t>`</t>
  </si>
  <si>
    <t>taxi</t>
  </si>
  <si>
    <t>hospitality</t>
  </si>
  <si>
    <t>cancelled</t>
  </si>
  <si>
    <t xml:space="preserve"> </t>
  </si>
  <si>
    <t>Rob Fyfe</t>
  </si>
  <si>
    <t>Gretchen Rasch</t>
  </si>
  <si>
    <t>Cawthron Institute meeting</t>
  </si>
  <si>
    <t>2pp</t>
  </si>
  <si>
    <t>Project Crimson CEO</t>
  </si>
  <si>
    <t>Adele Fitzpatrick</t>
  </si>
  <si>
    <t>Predator Free business meeting</t>
  </si>
  <si>
    <t>late night meeting (Predator Free)</t>
  </si>
  <si>
    <t>4pp</t>
  </si>
  <si>
    <t>taxi transfer</t>
  </si>
  <si>
    <t>SSI visit with AirNZ and DDG Corporate Svces</t>
  </si>
  <si>
    <t>Dave &amp; Mrs Morgan AirNZ and Rachel Bruce</t>
  </si>
  <si>
    <t>Meeting with CEO Otago District Council</t>
  </si>
  <si>
    <t>Otago</t>
  </si>
  <si>
    <t>Sarah Gardner CEO Otago DC, Rachel Bruce, Aaron Fleming</t>
  </si>
  <si>
    <t xml:space="preserve">travel </t>
  </si>
  <si>
    <t>Northland</t>
  </si>
  <si>
    <t>1539364 Sanson L 200911 WLG ZQN AIR</t>
  </si>
  <si>
    <t>1540043 Sanson L 200911 WLG AKL AIR</t>
  </si>
  <si>
    <t>1540120 Sanson L 201215 WLG ZQN AIR</t>
  </si>
  <si>
    <t>1540537 Sanson L 201119 WLG IVC AIR</t>
  </si>
  <si>
    <t>1542320 Sanson L 200918 WLG WLG AIR</t>
  </si>
  <si>
    <t>1542449 Sanson L 200918 WLG ZQN AIR</t>
  </si>
  <si>
    <t>1542586 Sanson L 200918 WLG ZQN AIR</t>
  </si>
  <si>
    <t>1542845 Sanson L 201002 WLG GIS AIR</t>
  </si>
  <si>
    <t>1538877 Sanson L 200925 WLG CHC AIR</t>
  </si>
  <si>
    <t>1544597 Sanson L 201009 WLG CHC AIR</t>
  </si>
  <si>
    <t>0100576070</t>
  </si>
  <si>
    <t>0100576072</t>
  </si>
  <si>
    <t>0100576008</t>
  </si>
  <si>
    <t>0100576010</t>
  </si>
  <si>
    <t>0100576073</t>
  </si>
  <si>
    <t>0100576074</t>
  </si>
  <si>
    <t>Mainland Taxi Lou Sanson - airport to accomm CHC v</t>
  </si>
  <si>
    <t>Bp Connect Quee LS: fuel for rental vehicle during</t>
  </si>
  <si>
    <t>La Rumbla LS: Private accommodation Te Anau (Steph</t>
  </si>
  <si>
    <t>La Vista Cafe R LS - private accomm AKL for staff</t>
  </si>
  <si>
    <t>Mobil Te Anau LS: Fuel for rental Te Anau visit (S</t>
  </si>
  <si>
    <t>1538873 Sanson L 200904 FEE</t>
  </si>
  <si>
    <t>1539364 Sanson L 200911 FEE</t>
  </si>
  <si>
    <t>1540043 Sanson L 200911 FEE</t>
  </si>
  <si>
    <t>1540120 Sanson L 201215 FEE</t>
  </si>
  <si>
    <t>1540120 Sanson L 201216 FEE</t>
  </si>
  <si>
    <t>1540537 Sanson L 201119 FEE</t>
  </si>
  <si>
    <t>1542320 Sanson L 200918 FEE</t>
  </si>
  <si>
    <t>1542449 Sanson L 200918 FEE</t>
  </si>
  <si>
    <t>1542586 Sanson L 200918 FEE</t>
  </si>
  <si>
    <t>1542845 Sanson L 201002 FEE</t>
  </si>
  <si>
    <t>1538877 Sanson L 200925 FEE</t>
  </si>
  <si>
    <t>1542586 Sanson L 200918 INC</t>
  </si>
  <si>
    <t>1542586 Sanson L 200918 TEU HTL</t>
  </si>
  <si>
    <t>1544597 Sanson L 201009 FEE</t>
  </si>
  <si>
    <t>1542586 Sanson L 200918 Misc Charge INC</t>
  </si>
  <si>
    <t>1542586 Sanson L 200918 ZQN 3 day(s) CAR</t>
  </si>
  <si>
    <t>Uber Trip Help. Lou Sanson Hoki Gorge Opening - ub</t>
  </si>
  <si>
    <t>Uber Trip Help. uber home after late night busines</t>
  </si>
  <si>
    <t>Uber *trip LS - AKL Visit 11 September</t>
  </si>
  <si>
    <t>Uber *trip LS - airport transfer 11 Sept 2020 - AK</t>
  </si>
  <si>
    <t>Uber *trip LS - uber from Genesis AKL to City 11 S</t>
  </si>
  <si>
    <t>Uber *trip LS: taxi tsfr to airport Te Anau trip</t>
  </si>
  <si>
    <t>Uber Trip Help. uber to airport - Blenheim/Picton</t>
  </si>
  <si>
    <t>Dillingers Lou Sanson - mtg with Claire McKnight (</t>
  </si>
  <si>
    <t>Le Saigon Lou Sanson - introduction Ross Copland n</t>
  </si>
  <si>
    <t>Pickle And Pie Lunch Game Animal Council/NZ Deerst</t>
  </si>
  <si>
    <t>Vine Eatery And Lou Sanson - hui Tuwharetoa CE and</t>
  </si>
  <si>
    <t>Astoria Cafe LS - Steve Smith re Wilding Pines</t>
  </si>
  <si>
    <t>Pickle And Pie lunch meet - NZDA Gwyn Thurlow; Cra</t>
  </si>
  <si>
    <t>The Chop Shop A LS : Business meeting with Denis M</t>
  </si>
  <si>
    <t>Genesis CE mtg/ Kawau Is/Auckland visit</t>
  </si>
  <si>
    <t>Auckland</t>
  </si>
  <si>
    <t>Hollyford Track with Mike Pohio Ngai Tahu</t>
  </si>
  <si>
    <t>Queenstown</t>
  </si>
  <si>
    <t>Blake Awards</t>
  </si>
  <si>
    <t>Stephen O'Dea award preso/Stakeholder function Te Anau</t>
  </si>
  <si>
    <t>Te Anau</t>
  </si>
  <si>
    <t>Ngati Porou hui</t>
  </si>
  <si>
    <t>Gisborne</t>
  </si>
  <si>
    <t>Christchurch Offices visit</t>
  </si>
  <si>
    <t>Murihiku manawhenua wananga/Mayor Tong</t>
  </si>
  <si>
    <t>Invercargill</t>
  </si>
  <si>
    <t>Te Aupouri/Te Roroa iwi visits Northland</t>
  </si>
  <si>
    <t>3pp</t>
  </si>
  <si>
    <t>PF nominations with Jane Taylor/M Kessick</t>
  </si>
  <si>
    <t xml:space="preserve">taxi tsfr Christchurch </t>
  </si>
  <si>
    <t>private accomm Te Anau visit 18-20 Sep</t>
  </si>
  <si>
    <t>Pvte accomm Genesis CE mtg/ Kawau Is/Auckland visit</t>
  </si>
  <si>
    <t>taxi tsfr from airport - HKK trip 14-16 August</t>
  </si>
  <si>
    <t>late night business meeting in city</t>
  </si>
  <si>
    <t>taxi AKL visit 11 Sept</t>
  </si>
  <si>
    <t>taxi tsfr airport</t>
  </si>
  <si>
    <t>taxi from Genesis to City</t>
  </si>
  <si>
    <t>airport tsfr</t>
  </si>
  <si>
    <t>Mtg with business colleague</t>
  </si>
  <si>
    <t>Claire McKnight</t>
  </si>
  <si>
    <t>Intro Ross Copland, CE Infrastructure NZ</t>
  </si>
  <si>
    <t>6pp</t>
  </si>
  <si>
    <t>Ross Copland, Bryan Dunne, Rob Morrison, Bill Bayfield, Mike Slater, LS</t>
  </si>
  <si>
    <t>Games Animal Council/NZ Deerstalkers rel mtg</t>
  </si>
  <si>
    <t>5pp</t>
  </si>
  <si>
    <t>Gwyn Thurlow/Craig Benbow, Mike Slater, Ben Reddiex, LS</t>
  </si>
  <si>
    <t>Steve Smith re Wildings Pines</t>
  </si>
  <si>
    <t>Denis Marshall NZ Conservation Tst</t>
  </si>
  <si>
    <t>Denis Marshall</t>
  </si>
  <si>
    <t>0100579753</t>
  </si>
  <si>
    <t>0100579755</t>
  </si>
  <si>
    <t>0100579758</t>
  </si>
  <si>
    <t>0100579759</t>
  </si>
  <si>
    <t>0100582524</t>
  </si>
  <si>
    <t>0100582525</t>
  </si>
  <si>
    <t>0100582721</t>
  </si>
  <si>
    <t>0100579394</t>
  </si>
  <si>
    <t>0100579639</t>
  </si>
  <si>
    <t>0100579756</t>
  </si>
  <si>
    <t>0100582523</t>
  </si>
  <si>
    <t>0100582527</t>
  </si>
  <si>
    <t>0100582528</t>
  </si>
  <si>
    <t>0100582529</t>
  </si>
  <si>
    <t>0100582552</t>
  </si>
  <si>
    <t>0100582753</t>
  </si>
  <si>
    <t>1552308 Sanson L 201014 WLG BHE AIR</t>
  </si>
  <si>
    <t>1557462 Sanson L 201029 WLG CHC AIR</t>
  </si>
  <si>
    <t>1561588 Sanson L 201102 WLG TRG AIR</t>
  </si>
  <si>
    <t>cancelled flight 'Sanson L 200911 WLG ZQN AIR'</t>
  </si>
  <si>
    <t>cancelled flight 'Sanson L 200918 WLG ZQN AIR'</t>
  </si>
  <si>
    <t>cancelled flight 'Sanson L 201011 WLG CHC AIR'</t>
  </si>
  <si>
    <t>1544597 Sanson L 201011 CHC WLG AIR</t>
  </si>
  <si>
    <t>1550772 Sanson L 201008 WLG IVC AIR</t>
  </si>
  <si>
    <t>1564306 Sanson L 201210 WLG ZQN AIR</t>
  </si>
  <si>
    <t>1567421 Sanson L 210224 WLG NSN AIR</t>
  </si>
  <si>
    <t>1568063 Sanson L 201105 WLG CHC AIR</t>
  </si>
  <si>
    <t>1570767 Sanson L 201127 WLG KKE AIR</t>
  </si>
  <si>
    <t>Lou Sanson fare</t>
  </si>
  <si>
    <t>Booking.Com Aus LS : Accomm Gisborne after Ngati P</t>
  </si>
  <si>
    <t>Last Resort Kar LS : Accomm Cave Creek Anniversary</t>
  </si>
  <si>
    <t>1542845 Sanson L 201002 GIS HTL</t>
  </si>
  <si>
    <t>1542845 Sanson L 201002 INC</t>
  </si>
  <si>
    <t>1550772 Sanson L 201008 FEE</t>
  </si>
  <si>
    <t>1552308 Sanson L 201014 FEE</t>
  </si>
  <si>
    <t>1557462 Sanson L 201029 FEE</t>
  </si>
  <si>
    <t>1539364 Sanson L 200911 INC</t>
  </si>
  <si>
    <t>1542449 Sanson L 200918 INC</t>
  </si>
  <si>
    <t>1561588 Sanson L 201102 FEE</t>
  </si>
  <si>
    <t>1550138 Sanson L 201019 FEE</t>
  </si>
  <si>
    <t>1544597 Sanson L 201011 FEE</t>
  </si>
  <si>
    <t>cancelled travel 'Sanson L 201102 FEE'</t>
  </si>
  <si>
    <t>1538689 Sanson L 201022 HKK HTL</t>
  </si>
  <si>
    <t>1538689 Sanson L 201022 INC</t>
  </si>
  <si>
    <t>1564306 Sanson L 201210 FEE</t>
  </si>
  <si>
    <t>1538877 Sanson L 200925 CHC 2 day(s) CAR</t>
  </si>
  <si>
    <t>1538877 Sanson L 200925 INC</t>
  </si>
  <si>
    <t>1557462 Sanson L 201029 CHC 4 day(s) CAR</t>
  </si>
  <si>
    <t>1557462 Sanson L 201029 INC</t>
  </si>
  <si>
    <t>1557462 Sanson L 201029 Misc Charge INC</t>
  </si>
  <si>
    <t>1557462 Sanson L 201029 Surcharge INC</t>
  </si>
  <si>
    <t>1557462 Sanson L 201029 TPO HTL</t>
  </si>
  <si>
    <t>1561588 Sanson L 201102 INC</t>
  </si>
  <si>
    <t>1561588 Sanson L 201102 WHK HTL</t>
  </si>
  <si>
    <t>1565733 Sanson L 201204 FEE</t>
  </si>
  <si>
    <t>1567421 Sanson L 210224 FEE</t>
  </si>
  <si>
    <t>1568063 Sanson L 201105 FEE</t>
  </si>
  <si>
    <t>1570767 Sanson L 201127 FEE</t>
  </si>
  <si>
    <t>1540537 Sanson L 201119 AKL HTL</t>
  </si>
  <si>
    <t>1540537 Sanson L 201119 INC</t>
  </si>
  <si>
    <t>Stations LS : Accomm after Cave Creek 25 yr annive</t>
  </si>
  <si>
    <t>Uber Trip Help. LS: Airport tsfr : Ngati Porou Ann</t>
  </si>
  <si>
    <t>Wellington Cabs LS : Taxi to business meeting Well</t>
  </si>
  <si>
    <t>Uber *trip LS : Taxi Tsfr to present to Institute</t>
  </si>
  <si>
    <t>Uber *trip LS : Taxi trsfr home after Tourism Indu</t>
  </si>
  <si>
    <t>Uber *trip LS : Taxi tsfr home after Biosecurity A</t>
  </si>
  <si>
    <t>Uber *trip LS : to airport for CHC/Twizel trip 29/</t>
  </si>
  <si>
    <t>Uber *trip LS: Airport tsfr Blake Awards Wellingto</t>
  </si>
  <si>
    <t>Uber *trip LS: Airport tsfr Blake Awards Auckland</t>
  </si>
  <si>
    <t>Uber *trip LS: Blake Awards airport tsfr Auckland</t>
  </si>
  <si>
    <t>Uber *trip LS: Late PSLT meeting with PM and Minis</t>
  </si>
  <si>
    <t>Pickle And Pie LS : Bill Mansfield, Southern Seabi</t>
  </si>
  <si>
    <t>Pickle And Pie LS : DDG Biodiversity Interview Pan</t>
  </si>
  <si>
    <t>The Lido LS : Business meeting Dave Bamford Wellin</t>
  </si>
  <si>
    <t>Line items tab</t>
  </si>
  <si>
    <t>In SAP run Y_DEV_01000043 - Report Tree - Monthly Reporting - Line items report for PC 1001 and CC 100102, using layout Plexoh</t>
  </si>
  <si>
    <t>Export to Excel</t>
  </si>
  <si>
    <t>Copy relevant lines and for GL description, copy formula from above</t>
  </si>
  <si>
    <t xml:space="preserve"> save and send to Sandra.</t>
  </si>
  <si>
    <t>Tuwharetoa CE and Manager and Michelle Hippolite</t>
  </si>
  <si>
    <t>Steve Smith philanthropist</t>
  </si>
  <si>
    <t>NZCA Dinner and conference</t>
  </si>
  <si>
    <t>Ngai Tahu hui/Aoraki/Twizel DOC Offices</t>
  </si>
  <si>
    <t>Arihia Bennett Ngai Tahu</t>
  </si>
  <si>
    <t>Tauranga</t>
  </si>
  <si>
    <t>Tuhoe Board meeting Taneatua</t>
  </si>
  <si>
    <t>Southern Winds trip with business partners</t>
  </si>
  <si>
    <t>Marc England CE Genesis, Abbie Reynolds, CE PF, Steve killeen, CE Downers, Jane Taylor Chair PF, Devon Next Foundation</t>
  </si>
  <si>
    <t>Nelson Offices visits</t>
  </si>
  <si>
    <t>Rangers reunion/Brook Sanctuary/Nelson Office</t>
  </si>
  <si>
    <t>BOI Visit/Northland iwi</t>
  </si>
  <si>
    <t>Christchurch Office visit</t>
  </si>
  <si>
    <t>accommodation</t>
  </si>
  <si>
    <t>Cave Creek Anniversary Karamea West Coast</t>
  </si>
  <si>
    <t>West Coast</t>
  </si>
  <si>
    <t>Tourism Industry Conference</t>
  </si>
  <si>
    <t>Institute of Directors breakfast (key note speaker)</t>
  </si>
  <si>
    <t>Biosecurity Awards Parliament</t>
  </si>
  <si>
    <t>Cave Creek 25 year Anniversary (pvte accomm)</t>
  </si>
  <si>
    <t>Hokitika</t>
  </si>
  <si>
    <t>Business meeting</t>
  </si>
  <si>
    <t>Dave Bamford</t>
  </si>
  <si>
    <t>Murihiku manawhenua wananga/Mayor Tong - to airport</t>
  </si>
  <si>
    <t>Bill Mansfield</t>
  </si>
  <si>
    <t>Southern Seabird Solutions meeting</t>
  </si>
  <si>
    <t>DDG Biodiversity Interview Panel</t>
  </si>
  <si>
    <t>Gaye Searancke (LINZ) Warren Parker (ex NZCA)</t>
  </si>
  <si>
    <t>0100584621</t>
  </si>
  <si>
    <t>0100584624</t>
  </si>
  <si>
    <t>0100584625</t>
  </si>
  <si>
    <t>1300001661</t>
  </si>
  <si>
    <t>1300001664</t>
  </si>
  <si>
    <t>0100584626</t>
  </si>
  <si>
    <t>0100586449</t>
  </si>
  <si>
    <t>1579856 Sanson L 201215 WLG CHC AIR</t>
  </si>
  <si>
    <t>1580565 Sanson L 210203 WLG KKE AIR</t>
  </si>
  <si>
    <t>1584638 Sanson L 201218 ZQN WLG AIR</t>
  </si>
  <si>
    <t>LS: Mtg with Bob Fulton CHCH 06/11/20 CHCH</t>
  </si>
  <si>
    <t>LS :  Coffee w Devon McLean NEXT Foundation  Nelso</t>
  </si>
  <si>
    <t>1570767 Sanson L 201127 INC</t>
  </si>
  <si>
    <t>1570767 Sanson L 201127 KKE HTL</t>
  </si>
  <si>
    <t>1579856 Sanson L 201215 FEE</t>
  </si>
  <si>
    <t>1580565 Sanson L 210203 FEE</t>
  </si>
  <si>
    <t>1584638 Sanson L 201218 FEE</t>
  </si>
  <si>
    <t>Uber *trip LS: BOI visit 27-29 Nov with Bruce and</t>
  </si>
  <si>
    <t>Uber *trip LS: Taxi from airport to city after Cha</t>
  </si>
  <si>
    <t>Victoria Street LS: Meets with Andrea Vance Stuff</t>
  </si>
  <si>
    <t>1901134963</t>
  </si>
  <si>
    <t>100588812</t>
  </si>
  <si>
    <t>100588813</t>
  </si>
  <si>
    <t>100588814</t>
  </si>
  <si>
    <t>100589041</t>
  </si>
  <si>
    <t>100588801</t>
  </si>
  <si>
    <t>100588815</t>
  </si>
  <si>
    <t>100588816</t>
  </si>
  <si>
    <t>100588796</t>
  </si>
  <si>
    <t>Trvl- Domestic Flght</t>
  </si>
  <si>
    <t>Trvl-Domestic Exp</t>
  </si>
  <si>
    <t>Taxi / Cab Services</t>
  </si>
  <si>
    <t>Hospitality/events</t>
  </si>
  <si>
    <t>Plane charter to Pitt x2</t>
  </si>
  <si>
    <t>1584638 Sanson L 201219 ZQN WLG AIR</t>
  </si>
  <si>
    <t>1593196 Sanson L 210120 WLG AKL AIR</t>
  </si>
  <si>
    <t>1593147 Sanson L 210202 WLG KKE AIR</t>
  </si>
  <si>
    <t>1593147 Sanson L 210202 KKE WLG AIR</t>
  </si>
  <si>
    <t>Trsf Air Chathams inv to 100104</t>
  </si>
  <si>
    <t>Sandfly Cafe LS: meal whilst travelling - Dusky So</t>
  </si>
  <si>
    <t>1564306 Sanson L 201210 INC</t>
  </si>
  <si>
    <t>1564306 Sanson L 201210 Misc Charge INC</t>
  </si>
  <si>
    <t>1564306 Sanson L 201210 ZQN 4 day(s) CAR</t>
  </si>
  <si>
    <t>1584638 Sanson L 201219 FEE</t>
  </si>
  <si>
    <t>1564306 Sanson L 201210 TEU HTL</t>
  </si>
  <si>
    <t>1593196 Sanson L 210120 FEE</t>
  </si>
  <si>
    <t>1593147 Sanson L 210202 FEE</t>
  </si>
  <si>
    <t>1593196 Sanson L 210120 INC</t>
  </si>
  <si>
    <t>1593196 Sanson L 210120 TMZ HTL</t>
  </si>
  <si>
    <t>Wgtn Combined T LS: Taxi to airport for Southern W</t>
  </si>
  <si>
    <t>Uber *trip LS: Ngai Tahu Powhiri for Minister Alla</t>
  </si>
  <si>
    <t>Uber *trip LS: Ngai Tahu Powhiri - uber to city WL</t>
  </si>
  <si>
    <t>Acme &amp; Co Limit LS: meeting with Rob Young busines</t>
  </si>
  <si>
    <t>Stella Cafe Ltd LS: Meet with Ingrid Visser Hokiti</t>
  </si>
  <si>
    <t>Ngai Tahu meeting</t>
  </si>
  <si>
    <t>Kiwibank NZ Hero of Year - executive judging</t>
  </si>
  <si>
    <t>journal</t>
  </si>
  <si>
    <t>office visits Nelson region</t>
  </si>
  <si>
    <t>Bob Fulton, Arihia Bennett, Richie McCaw</t>
  </si>
  <si>
    <t>CHCH helos, Fulton Hogan, Ngai Tahu hui</t>
  </si>
  <si>
    <t>Marc England</t>
  </si>
  <si>
    <t>Hollyford Track with Ngai Tahu Tourism</t>
  </si>
  <si>
    <t>Mike Pohio and others in tourism industry</t>
  </si>
  <si>
    <t>visit Jude Hondelink</t>
  </si>
  <si>
    <t>Board members</t>
  </si>
  <si>
    <t>with Mervyn English</t>
  </si>
  <si>
    <t>Chatham Islands with business partners</t>
  </si>
  <si>
    <t>Gary Tong Mayor Southland DC</t>
  </si>
  <si>
    <t xml:space="preserve">Murihiku manawhenua wananga/Mayor </t>
  </si>
  <si>
    <t>Devon McLean NEXT Chair, Ru Collin CE Brook Sanctuary</t>
  </si>
  <si>
    <t>Dame Jenny Shipley, Tuia 250 Tst; Ngati Reihia; Snow Tane Te Roroa; Roger Kingi, Ngati Kahu; Pita Tipene, Ngati Hine</t>
  </si>
  <si>
    <t>Arihia Bennett CE</t>
  </si>
  <si>
    <t>Waitangi events 3-7 Feb/iwi meetings</t>
  </si>
  <si>
    <t>Tickets x 2 Prada Cup Americas Cup Challenger Series</t>
  </si>
  <si>
    <t>Toyota NZ</t>
  </si>
  <si>
    <t>1596665 Sanson L 210129 WLG NPE AIR</t>
  </si>
  <si>
    <t>1598275 Sanson L 210212 WLG AKL AIR</t>
  </si>
  <si>
    <t>1598476 Sanson L 210215 WLG TRG AIR</t>
  </si>
  <si>
    <t>1598508 Sanson L 210220 WLG AKL AIR</t>
  </si>
  <si>
    <t>1598925 Sanson L 210325 WLG ROT AIR</t>
  </si>
  <si>
    <t>1601029 Sanson L 210408 WLG AKL AIR</t>
  </si>
  <si>
    <t>1604079 Sanson L 210318 WLG BHE AIR</t>
  </si>
  <si>
    <t>1605765 Sanson L 210215 NSN WLG AIR</t>
  </si>
  <si>
    <t>1605765 Sanson L 210215 WLG NSN AIR</t>
  </si>
  <si>
    <t>1606662 Sanson L 210421 WLG CHC AIR</t>
  </si>
  <si>
    <t>Account Text Travel- Domestic Flights</t>
  </si>
  <si>
    <t/>
  </si>
  <si>
    <t>Bp 2go Kerikeri LS: rental vehicle whilst in North</t>
  </si>
  <si>
    <t>Cafejerusalem LS: meeting with Tania McInnes Te Hi</t>
  </si>
  <si>
    <t>Liquor King Kai LS: in lieu of accomm Kaitaia</t>
  </si>
  <si>
    <t>Spice Route Rus LS: in lieu of private accomm in R</t>
  </si>
  <si>
    <t>Stone Store LS: Meal after Ahurea Blessing Northla</t>
  </si>
  <si>
    <t>Te Kao Local St LS: meal whilst in Northland - Wai</t>
  </si>
  <si>
    <t>1593147 Sanson L 210202 HTL</t>
  </si>
  <si>
    <t>1593147 Sanson L 210202 INC</t>
  </si>
  <si>
    <t>1593196 Sanson L 210120 AKL 3 day(s) CAR</t>
  </si>
  <si>
    <t>1593196 Sanson L 210120 AKL HTL</t>
  </si>
  <si>
    <t>1593196 Sanson L 210120 Misc Charge INC</t>
  </si>
  <si>
    <t>1596665 Sanson L 210129 FEE</t>
  </si>
  <si>
    <t>1596665 Sanson L 210129 INC</t>
  </si>
  <si>
    <t>1596665 Sanson L 210129 NPE HTL</t>
  </si>
  <si>
    <t>1596665 Sanson L 210129 NPE INC</t>
  </si>
  <si>
    <t>1598275 Sanson L 210212 FEE</t>
  </si>
  <si>
    <t>1598476 Sanson L 210215 FEE</t>
  </si>
  <si>
    <t>1598508 Sanson L 210220 FEE</t>
  </si>
  <si>
    <t>1598925 Sanson L 210325 FEE</t>
  </si>
  <si>
    <t>1601029 Sanson L 210408 FEE</t>
  </si>
  <si>
    <t>1604079 Sanson L 210318 FEE</t>
  </si>
  <si>
    <t>1605765 Sanson L 210215 FEE</t>
  </si>
  <si>
    <t>1606662 Sanson L 210421 FEE</t>
  </si>
  <si>
    <t>1593147 Sanson L 210202 KKE 5 day(s) CAR</t>
  </si>
  <si>
    <t>1593147 Sanson L 210202 Misc Charge INC</t>
  </si>
  <si>
    <t>1605765 Sanson L 210215 INC</t>
  </si>
  <si>
    <t>1605765 Sanson L 210215 Misc Charge INC</t>
  </si>
  <si>
    <t>1605765 Sanson L 210215 TRG 1 day(s) CAR</t>
  </si>
  <si>
    <t>Account Text Travel-Domestic Expenses</t>
  </si>
  <si>
    <t>Uber *trip LS: uber tsfr to airport for Waitangi e</t>
  </si>
  <si>
    <t>Wgtn Combined T LS : taxi tsfr home from airport a</t>
  </si>
  <si>
    <t>Account Text Taxi / Cab Services incl Ride-Hailing Se</t>
  </si>
  <si>
    <t>Dockside Restau LS: Business meal with Bob Fulton,</t>
  </si>
  <si>
    <t>Account Text Hospitality/event: Entertaining external</t>
  </si>
  <si>
    <t>Entertainment</t>
  </si>
  <si>
    <t>Dinner with Australia PM Scott Morrison Queenstown</t>
  </si>
  <si>
    <t>PM's Office</t>
  </si>
  <si>
    <t>Car hire</t>
  </si>
  <si>
    <t>Airfares</t>
  </si>
  <si>
    <t>Hotel</t>
  </si>
  <si>
    <t>Fuel</t>
  </si>
  <si>
    <t>Car Hire</t>
  </si>
  <si>
    <t>Staff visits/Antarctic NZ/Ngai Tahu</t>
  </si>
  <si>
    <t>Dinner for 4</t>
  </si>
  <si>
    <t>Office visits Nelson region</t>
  </si>
  <si>
    <t>Dinner - 4 people</t>
  </si>
  <si>
    <t>Taxi</t>
  </si>
  <si>
    <t>Cawthorn Institute meeting</t>
  </si>
  <si>
    <t>Breakfast - 2 people</t>
  </si>
  <si>
    <t>Meeting with Project Crimson CEO</t>
  </si>
  <si>
    <t>Late night business meeting in city</t>
  </si>
  <si>
    <t>Dinner - 6 people</t>
  </si>
  <si>
    <t>Lunch - 5 people</t>
  </si>
  <si>
    <t>Hokitika Gorge Opening</t>
  </si>
  <si>
    <t>Meeting regarding Wilding Pines</t>
  </si>
  <si>
    <t>Business meeting - NZ Conservation Trust</t>
  </si>
  <si>
    <t>Lunch - 2 people</t>
  </si>
  <si>
    <t>Christchurch Offices Visit</t>
  </si>
  <si>
    <t>Lunch - 3 people</t>
  </si>
  <si>
    <t>Hui CE Fulton Hogan</t>
  </si>
  <si>
    <t>Hui Chair Next Foundation</t>
  </si>
  <si>
    <t xml:space="preserve">Chatham Islands with business partners </t>
  </si>
  <si>
    <t>Hui Business Associate</t>
  </si>
  <si>
    <t>Napier</t>
  </si>
  <si>
    <t>Business Meeting Fulton Hogan</t>
  </si>
  <si>
    <t>Hui with Te Hiku</t>
  </si>
  <si>
    <t>Meetings with various business people</t>
  </si>
  <si>
    <t>Nelson and District Offices visits/retirement</t>
  </si>
  <si>
    <t>Visit to Blue Lakes/Te Urewera Board hui</t>
  </si>
  <si>
    <t>Taneatua</t>
  </si>
  <si>
    <t>Te Urewera Board hui</t>
  </si>
  <si>
    <t>Hui Crown Irrigation</t>
  </si>
  <si>
    <t>Options Development Group Wananga</t>
  </si>
  <si>
    <t>Dinner - 2 people</t>
  </si>
  <si>
    <t>CE Downers, Chair DOC Risk and Assurance</t>
  </si>
  <si>
    <t>Ngai Tahu hui, Mt Somers Geraldine offices</t>
  </si>
  <si>
    <t xml:space="preserve">Milford Sound Tourism Board hui </t>
  </si>
  <si>
    <t>Tama Potaka, AKL City Council hui</t>
  </si>
  <si>
    <t>Southern Seabird Solutions Board hui</t>
  </si>
  <si>
    <t>Kaikoura</t>
  </si>
  <si>
    <t>Anniversary Rob Fenwick's passing</t>
  </si>
  <si>
    <t>Ferry</t>
  </si>
  <si>
    <t>Hui Ngai Tai ki Tamaki</t>
  </si>
  <si>
    <t>Kokako Celebration</t>
  </si>
  <si>
    <t>Hamilton</t>
  </si>
  <si>
    <t>Kiwibank Nzer of the Year Awards, Ngai Tahu hui</t>
  </si>
  <si>
    <t>Hui CE WWF</t>
  </si>
  <si>
    <t>Hui - philanthropists/ Kiwis for Kiwis/DOC staff</t>
  </si>
  <si>
    <t>Cave Creek Anniversary with families of victims</t>
  </si>
  <si>
    <t>Dinner - 7 people</t>
  </si>
  <si>
    <t>NZCA, Council hui</t>
  </si>
  <si>
    <t>Auckland meetings</t>
  </si>
  <si>
    <t>Hui DOC Risk and Assurance Chair</t>
  </si>
  <si>
    <t>Hui HB Regional Council CE</t>
  </si>
  <si>
    <t>Visit Timaru and various people re Haast Grazing</t>
  </si>
  <si>
    <t>Timaru</t>
  </si>
  <si>
    <t>Meeting with business colleague</t>
  </si>
  <si>
    <t>Hui with Ngai Tahu Runaka (Mackenzie)</t>
  </si>
  <si>
    <t>Te Urewera hui</t>
  </si>
  <si>
    <t>Golf Club Summit speaking engagement</t>
  </si>
  <si>
    <t>Southern Seabirds Hui</t>
  </si>
  <si>
    <t>70th Anniversary closure of Waiuta</t>
  </si>
  <si>
    <t>Northland iwi visits</t>
  </si>
  <si>
    <t>Meeting with Chair Kiwi for Kiwi Trust</t>
  </si>
  <si>
    <t>PF nominations with Chairperson Predator Free</t>
  </si>
  <si>
    <t>Introduction CE Infrastructure NZ to relevant business partners</t>
  </si>
  <si>
    <t>DDG Biodiversity Interview Panel (external parties)</t>
  </si>
  <si>
    <t>Business meeting with external adviser</t>
  </si>
  <si>
    <r>
      <t xml:space="preserve">Hui </t>
    </r>
    <r>
      <rPr>
        <sz val="10"/>
        <color theme="1"/>
        <rFont val="Arial"/>
        <family val="2"/>
      </rPr>
      <t>with NZ Marine Biologist</t>
    </r>
  </si>
  <si>
    <t>Meeting with Stuff CE</t>
  </si>
  <si>
    <t>Ngai Tahu hui with Minister Verrall</t>
  </si>
  <si>
    <t>Ngati Maru, Venture Taranaki</t>
  </si>
  <si>
    <t>New Plymouth</t>
  </si>
  <si>
    <t>Inspiring Performance company</t>
  </si>
  <si>
    <t>Stuff</t>
  </si>
  <si>
    <t>meals</t>
  </si>
  <si>
    <t>Visit with Takaka and Motueka Offices</t>
  </si>
  <si>
    <t>NZDA conference</t>
  </si>
  <si>
    <t>EDS Conference Guest Speaker, Rymans Centre</t>
  </si>
  <si>
    <t>Whenua Hou CodFish Island</t>
  </si>
  <si>
    <t>Accommodation</t>
  </si>
  <si>
    <t>Meals</t>
  </si>
  <si>
    <t xml:space="preserve">SSI visit with AirNZ </t>
  </si>
  <si>
    <t xml:space="preserve">Games Animal Council/NZ Deerstalkers </t>
  </si>
  <si>
    <t>Meeting with AirNZ</t>
  </si>
  <si>
    <t>Chatham Islands</t>
  </si>
  <si>
    <t xml:space="preserve">Ngai Tahu meeting </t>
  </si>
  <si>
    <t>Auckland/Christchurch</t>
  </si>
  <si>
    <t>Te Anau/Nelson</t>
  </si>
  <si>
    <t>Invercargill/Christchurch</t>
  </si>
  <si>
    <t>Nelson/Christchurch</t>
  </si>
  <si>
    <t>Blake Awards/Bluff Murihiku</t>
  </si>
  <si>
    <t>Auckland/Invercargill</t>
  </si>
  <si>
    <t>Nelson/Taneatua</t>
  </si>
  <si>
    <t>Timaru/Auckland</t>
  </si>
  <si>
    <t>Auckland/Keri Keri</t>
  </si>
  <si>
    <t>Tickets to Corporate Box for Hurricanes game against Chiefs</t>
  </si>
  <si>
    <t>including travel/accommodation</t>
  </si>
  <si>
    <t>Hui Predator Free 2050</t>
  </si>
  <si>
    <t>Sentinel A Nuku launch/Tuwharetoa Maori Trust Board meeting</t>
  </si>
  <si>
    <t>Hui Pacific Initiatives DDG South Pacific Regional Economics</t>
  </si>
  <si>
    <t>CEs Regional Council Napier and Hastings meetings</t>
  </si>
  <si>
    <t xml:space="preserve">Mt Somers/CHCH Visit </t>
  </si>
  <si>
    <t>Mt Somers/CHCH Visit</t>
  </si>
  <si>
    <t>Staff meeting, business partners/Aotea Island visit</t>
  </si>
  <si>
    <t>Auckland meetings/Hauturu visit with partners</t>
  </si>
  <si>
    <t xml:space="preserve">Company Directors Course </t>
  </si>
  <si>
    <t>Staff meetings, Greytown Mayor, Westland District Council</t>
  </si>
  <si>
    <t>Meals - 2 people</t>
  </si>
  <si>
    <t>Meals - 3 people</t>
  </si>
  <si>
    <t>Ngai Tahu/Mana Whenua and Mackenzie CEs hui</t>
  </si>
  <si>
    <t>TRENZ Conference</t>
  </si>
  <si>
    <t>Environmental Defence Society CE discussion re annual Conference</t>
  </si>
  <si>
    <t>Kea Conservation Trust</t>
  </si>
  <si>
    <t>Stephen O'Dea award presentation/Stakeholder function Te Anau</t>
  </si>
  <si>
    <t>Fiordland Visit with key partners</t>
  </si>
  <si>
    <t>Puhinui Site visit, Community iwi hui</t>
  </si>
  <si>
    <t xml:space="preserve">Whenua Hou visit with Ta Tipene O'Regan </t>
  </si>
  <si>
    <t>NZ Deerstalkers Assn Conference/Queenstown Mayor/Glenorchy</t>
  </si>
  <si>
    <t xml:space="preserve">Meeting with Queenstown Mayor </t>
  </si>
  <si>
    <t>Meals - 4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</si>
</sst>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_);[Red]\(&quot;$&quot;#,##0.00\)"/>
    <numFmt numFmtId="165" formatCode="_(&quot;$&quot;* #,##0.00_);_(&quot;$&quot;* \(#,##0.00\);_(&quot;$&quot;* &quot;-&quot;??_);_(@_)"/>
    <numFmt numFmtId="166" formatCode="&quot;$&quot;#,##0.00"/>
    <numFmt numFmtId="167" formatCode="[$-1409]d\ mmmm\ yyyy;@"/>
    <numFmt numFmtId="168" formatCode="#,##0_-;#,##0\-;&quot; &quot;"/>
    <numFmt numFmtId="169" formatCode="#,##0.00_-;#,##0.00\-;&quot; &quot;"/>
    <numFmt numFmtId="170" formatCode="###,000"/>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8"/>
      <name val="Arial"/>
      <family val="2"/>
    </font>
    <font>
      <b/>
      <sz val="9"/>
      <color indexed="81"/>
      <name val="Tahoma"/>
      <family val="2"/>
    </font>
    <font>
      <sz val="8"/>
      <color rgb="FF1F497D"/>
      <name val="Verdana"/>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BE5F1"/>
        <bgColor rgb="FFFFFFFF"/>
      </patternFill>
    </fill>
  </fills>
  <borders count="17">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0" tint="-0.24994659260841701"/>
      </left>
      <right style="thin">
        <color theme="0" tint="-0.24994659260841701"/>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8">
    <xf numFmtId="0" fontId="0" fillId="0" borderId="0"/>
    <xf numFmtId="0" fontId="10" fillId="0" borderId="0" applyNumberFormat="0" applyFill="0" applyBorder="0" applyAlignment="0" applyProtection="0"/>
    <xf numFmtId="165" fontId="23" fillId="0" borderId="0" applyFont="0" applyFill="0" applyBorder="0" applyAlignment="0" applyProtection="0"/>
    <xf numFmtId="0" fontId="15" fillId="0" borderId="0"/>
    <xf numFmtId="43" fontId="15" fillId="0" borderId="0" applyFont="0" applyFill="0" applyBorder="0" applyAlignment="0" applyProtection="0"/>
    <xf numFmtId="43" fontId="23" fillId="0" borderId="0" applyFont="0" applyFill="0" applyBorder="0" applyAlignment="0" applyProtection="0"/>
    <xf numFmtId="170" fontId="38" fillId="0" borderId="14" applyNumberFormat="0" applyProtection="0">
      <alignment horizontal="right" vertical="center"/>
    </xf>
    <xf numFmtId="170" fontId="38" fillId="12" borderId="16" applyNumberFormat="0" applyAlignment="0" applyProtection="0">
      <alignment horizontal="left" vertical="center" indent="1"/>
    </xf>
  </cellStyleXfs>
  <cellXfs count="226">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2"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protection locked="0"/>
    </xf>
    <xf numFmtId="167" fontId="15" fillId="10" borderId="0" xfId="0" applyNumberFormat="1" applyFont="1" applyFill="1" applyBorder="1" applyAlignment="1" applyProtection="1">
      <alignment vertical="center"/>
      <protection locked="0"/>
    </xf>
    <xf numFmtId="164" fontId="15" fillId="10" borderId="0" xfId="0" applyNumberFormat="1" applyFont="1" applyFill="1" applyBorder="1" applyAlignment="1" applyProtection="1">
      <alignment vertical="center" wrapText="1"/>
      <protection locked="0"/>
    </xf>
    <xf numFmtId="0" fontId="15" fillId="10" borderId="0" xfId="0" applyFont="1" applyFill="1" applyBorder="1" applyAlignment="1" applyProtection="1">
      <alignment vertical="center" wrapText="1"/>
      <protection locked="0"/>
    </xf>
    <xf numFmtId="0" fontId="15" fillId="11" borderId="13" xfId="0" applyFont="1" applyFill="1" applyBorder="1"/>
    <xf numFmtId="14" fontId="0" fillId="0" borderId="0" xfId="0" applyNumberFormat="1" applyAlignment="1">
      <alignment horizontal="right" vertical="top"/>
    </xf>
    <xf numFmtId="0" fontId="0" fillId="0" borderId="0" xfId="0" applyAlignment="1">
      <alignment vertical="top"/>
    </xf>
    <xf numFmtId="168" fontId="0" fillId="0" borderId="0" xfId="0" applyNumberFormat="1" applyFill="1" applyBorder="1"/>
    <xf numFmtId="169" fontId="0" fillId="0" borderId="0" xfId="0" applyNumberFormat="1" applyFill="1" applyBorder="1"/>
    <xf numFmtId="167" fontId="15" fillId="10" borderId="3" xfId="0" applyNumberFormat="1" applyFont="1" applyFill="1" applyBorder="1" applyAlignment="1" applyProtection="1">
      <alignment horizontal="left" vertical="center"/>
      <protection locked="0"/>
    </xf>
    <xf numFmtId="167" fontId="15" fillId="10" borderId="2" xfId="0" applyNumberFormat="1" applyFont="1" applyFill="1" applyBorder="1" applyAlignment="1" applyProtection="1">
      <alignment vertical="center"/>
      <protection locked="0"/>
    </xf>
    <xf numFmtId="168" fontId="15" fillId="0" borderId="0" xfId="0" applyNumberFormat="1" applyFont="1" applyFill="1" applyBorder="1"/>
    <xf numFmtId="168" fontId="0" fillId="0" borderId="0" xfId="0" applyNumberFormat="1" applyFont="1" applyFill="1" applyBorder="1"/>
    <xf numFmtId="169" fontId="15" fillId="0" borderId="0" xfId="0" applyNumberFormat="1" applyFont="1" applyFill="1" applyBorder="1"/>
    <xf numFmtId="0" fontId="0" fillId="0" borderId="0" xfId="0" applyFont="1"/>
    <xf numFmtId="0" fontId="0" fillId="0" borderId="0" xfId="0" applyFont="1" applyFill="1" applyBorder="1"/>
    <xf numFmtId="14" fontId="0" fillId="0" borderId="0" xfId="0" applyNumberFormat="1"/>
    <xf numFmtId="14" fontId="0" fillId="0" borderId="0" xfId="5" applyNumberFormat="1" applyFont="1"/>
    <xf numFmtId="0" fontId="0" fillId="0" borderId="0" xfId="0" applyFill="1" applyBorder="1" applyAlignment="1">
      <alignment vertical="top"/>
    </xf>
    <xf numFmtId="0" fontId="15" fillId="0" borderId="11" xfId="0" applyFont="1" applyFill="1" applyBorder="1"/>
    <xf numFmtId="0" fontId="15" fillId="0" borderId="12" xfId="0" applyFont="1" applyFill="1" applyBorder="1"/>
    <xf numFmtId="0" fontId="0" fillId="0" borderId="0" xfId="0" applyFill="1" applyAlignment="1">
      <alignment vertical="top"/>
    </xf>
    <xf numFmtId="14" fontId="0" fillId="0" borderId="0" xfId="0" applyNumberFormat="1" applyFill="1" applyAlignment="1">
      <alignment horizontal="right" vertical="top"/>
    </xf>
    <xf numFmtId="4" fontId="0" fillId="0" borderId="0" xfId="0" applyNumberFormat="1" applyFill="1" applyAlignment="1">
      <alignment horizontal="right" vertical="top"/>
    </xf>
    <xf numFmtId="0" fontId="0" fillId="0" borderId="0" xfId="0" applyFill="1"/>
    <xf numFmtId="0" fontId="0" fillId="0" borderId="0" xfId="0" applyFont="1" applyFill="1" applyAlignment="1">
      <alignment vertical="top"/>
    </xf>
    <xf numFmtId="14" fontId="0" fillId="0" borderId="0" xfId="0" applyNumberFormat="1" applyFont="1" applyFill="1" applyAlignment="1">
      <alignment horizontal="right" vertical="top"/>
    </xf>
    <xf numFmtId="4" fontId="0" fillId="0" borderId="0" xfId="0" applyNumberFormat="1" applyFont="1" applyFill="1" applyAlignment="1">
      <alignment horizontal="right" vertical="top"/>
    </xf>
    <xf numFmtId="0" fontId="0" fillId="0" borderId="7" xfId="0" applyFill="1" applyBorder="1" applyAlignment="1">
      <alignment vertical="top"/>
    </xf>
    <xf numFmtId="4" fontId="0" fillId="0" borderId="7" xfId="0" applyNumberFormat="1" applyFill="1" applyBorder="1" applyAlignment="1">
      <alignment horizontal="right" vertical="top"/>
    </xf>
    <xf numFmtId="0" fontId="0" fillId="10" borderId="0" xfId="0" applyFill="1" applyProtection="1"/>
    <xf numFmtId="0" fontId="0" fillId="0" borderId="0" xfId="0" applyFill="1" applyProtection="1"/>
    <xf numFmtId="164" fontId="15" fillId="10" borderId="15" xfId="0" applyNumberFormat="1" applyFont="1" applyFill="1" applyBorder="1" applyAlignment="1" applyProtection="1">
      <alignment vertical="center" wrapText="1"/>
      <protection locked="0"/>
    </xf>
    <xf numFmtId="167" fontId="15" fillId="9" borderId="2"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165" fontId="20" fillId="3" borderId="0" xfId="2" applyFont="1" applyFill="1" applyBorder="1" applyAlignment="1" applyProtection="1">
      <alignment vertical="center" wrapText="1"/>
    </xf>
    <xf numFmtId="165" fontId="15" fillId="10" borderId="4" xfId="2" applyFont="1" applyFill="1" applyBorder="1" applyAlignment="1" applyProtection="1">
      <alignment vertical="center" wrapText="1"/>
      <protection locked="0"/>
    </xf>
    <xf numFmtId="165" fontId="19" fillId="3" borderId="0" xfId="2" applyFont="1" applyFill="1" applyBorder="1" applyAlignment="1" applyProtection="1">
      <alignment vertical="center" wrapText="1" readingOrder="1"/>
    </xf>
    <xf numFmtId="165" fontId="0" fillId="0" borderId="0" xfId="2" applyFont="1" applyBorder="1" applyAlignment="1" applyProtection="1">
      <alignment wrapText="1"/>
    </xf>
    <xf numFmtId="165" fontId="1" fillId="0" borderId="0" xfId="2" applyFont="1" applyBorder="1" applyAlignment="1" applyProtection="1">
      <alignment wrapText="1"/>
    </xf>
    <xf numFmtId="165" fontId="0" fillId="0" borderId="0" xfId="2" applyFont="1" applyBorder="1" applyAlignment="1" applyProtection="1">
      <alignment vertical="center"/>
    </xf>
    <xf numFmtId="165" fontId="1" fillId="0" borderId="0" xfId="2" applyFont="1" applyFill="1" applyBorder="1" applyAlignment="1" applyProtection="1">
      <alignment wrapText="1"/>
    </xf>
    <xf numFmtId="165" fontId="0" fillId="0" borderId="0" xfId="2" applyFont="1" applyProtection="1"/>
    <xf numFmtId="0" fontId="4" fillId="0" borderId="0" xfId="0" applyFont="1" applyAlignment="1" applyProtection="1">
      <alignment wrapText="1"/>
      <protection locked="0"/>
    </xf>
    <xf numFmtId="0" fontId="4" fillId="0" borderId="0" xfId="0" applyFont="1" applyProtection="1">
      <protection locked="0"/>
    </xf>
    <xf numFmtId="0" fontId="4" fillId="0" borderId="0" xfId="0" applyFont="1" applyBorder="1" applyProtection="1">
      <protection locked="0"/>
    </xf>
    <xf numFmtId="166" fontId="15" fillId="10" borderId="4" xfId="0" applyNumberFormat="1" applyFont="1" applyFill="1" applyBorder="1" applyAlignment="1" applyProtection="1">
      <alignment vertical="center" wrapText="1"/>
      <protection locked="0"/>
    </xf>
    <xf numFmtId="166" fontId="15" fillId="10" borderId="4" xfId="2" applyNumberFormat="1"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8">
    <cellStyle name="Comma" xfId="5" builtinId="3"/>
    <cellStyle name="Comma 2" xfId="4" xr:uid="{FDD88B67-5E6F-4A0B-A305-607FDD1733BB}"/>
    <cellStyle name="Currency" xfId="2" builtinId="4"/>
    <cellStyle name="Hyperlink" xfId="1" builtinId="8"/>
    <cellStyle name="Normal" xfId="0" builtinId="0"/>
    <cellStyle name="Normal 2" xfId="3" xr:uid="{A05D551A-F152-4C2D-B5D8-B6767270AA35}"/>
    <cellStyle name="SAPDataCell" xfId="6" xr:uid="{69F2EBF5-C085-498C-B109-E7774A21A6AC}"/>
    <cellStyle name="SAPMemberCell" xfId="7" xr:uid="{C4A14A63-9F16-4924-B3B6-E0F0610B4CF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aron Ashforth" id="{DE704BAF-DE48-49ED-8FDF-B0B33C2B2067}" userId="S::kashforth@doc.govt.nz::d6c8790b-df3a-40c6-bf59-6b41445104f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43" dT="2021-07-19T00:20:15.88" personId="{DE704BAF-DE48-49ED-8FDF-B0B33C2B2067}" id="{0F14948C-1EA0-4E98-A10E-2CE61C0CAE80}">
    <text>PSC approved Lou to attend-IOD</text>
  </threadedComment>
  <threadedComment ref="D150" dT="2021-07-19T00:20:46.00" personId="{DE704BAF-DE48-49ED-8FDF-B0B33C2B2067}" id="{D834FCDD-4D65-484C-A5C6-DF42CD5BE135}">
    <text>PWC, EQC, Home Medical CE's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6.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12" Type="http://schemas.openxmlformats.org/officeDocument/2006/relationships/comments" Target="../comments6.xm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vmlDrawing" Target="../drawings/vmlDrawing6.vml"/><Relationship Id="rId5" Type="http://schemas.openxmlformats.org/officeDocument/2006/relationships/hyperlink" Target="http://www.ssc.govt.nz/ce-expenses-disclosure" TargetMode="External"/><Relationship Id="rId10" Type="http://schemas.openxmlformats.org/officeDocument/2006/relationships/customProperty" Target="../customProperty8.bin"/><Relationship Id="rId4" Type="http://schemas.openxmlformats.org/officeDocument/2006/relationships/hyperlink" Target="mailto:info@data.govt.nz"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706C-2AE6-445D-87D6-A1960FC0A666}">
  <dimension ref="A1:N338"/>
  <sheetViews>
    <sheetView topLeftCell="A262" zoomScale="80" zoomScaleNormal="80" workbookViewId="0">
      <selection activeCell="E239" sqref="E239"/>
    </sheetView>
  </sheetViews>
  <sheetFormatPr defaultRowHeight="12.75" x14ac:dyDescent="0.2"/>
  <cols>
    <col min="1" max="1" width="16.140625" style="181" customWidth="1"/>
    <col min="2" max="2" width="11.7109375" style="181" bestFit="1" customWidth="1"/>
    <col min="3" max="3" width="13" style="181" customWidth="1"/>
    <col min="4" max="4" width="9" style="181" customWidth="1"/>
    <col min="5" max="5" width="26.42578125" style="181" customWidth="1"/>
    <col min="6" max="6" width="8.5703125" style="181" customWidth="1"/>
    <col min="7" max="7" width="49" style="181" customWidth="1"/>
    <col min="8" max="8" width="11.85546875" customWidth="1"/>
    <col min="9" max="9" width="39.28515625" customWidth="1"/>
    <col min="10" max="10" width="28.7109375" customWidth="1"/>
    <col min="11" max="11" width="15.140625" customWidth="1"/>
    <col min="13" max="13" width="39.5703125" customWidth="1"/>
  </cols>
  <sheetData>
    <row r="1" spans="1:13" x14ac:dyDescent="0.2">
      <c r="A1" s="176" t="s">
        <v>172</v>
      </c>
      <c r="B1" s="176" t="s">
        <v>173</v>
      </c>
      <c r="C1" s="176" t="s">
        <v>174</v>
      </c>
      <c r="D1" s="176" t="s">
        <v>175</v>
      </c>
      <c r="E1" s="177" t="s">
        <v>176</v>
      </c>
      <c r="F1" s="176" t="s">
        <v>177</v>
      </c>
      <c r="G1" s="176" t="s">
        <v>178</v>
      </c>
      <c r="H1" s="161" t="s">
        <v>179</v>
      </c>
      <c r="I1" s="161" t="s">
        <v>180</v>
      </c>
      <c r="J1" s="161" t="s">
        <v>181</v>
      </c>
      <c r="K1" s="161" t="s">
        <v>182</v>
      </c>
      <c r="L1" s="161" t="s">
        <v>183</v>
      </c>
      <c r="M1" s="161" t="s">
        <v>271</v>
      </c>
    </row>
    <row r="2" spans="1:13" x14ac:dyDescent="0.2">
      <c r="A2" s="178" t="s">
        <v>205</v>
      </c>
      <c r="B2" s="179">
        <v>44041</v>
      </c>
      <c r="C2" s="164">
        <v>1</v>
      </c>
      <c r="D2" s="178" t="s">
        <v>184</v>
      </c>
      <c r="E2" s="164" t="s">
        <v>188</v>
      </c>
      <c r="F2" s="180">
        <v>-127.1</v>
      </c>
      <c r="G2" s="178" t="s">
        <v>187</v>
      </c>
      <c r="H2" s="162">
        <v>43791</v>
      </c>
      <c r="I2" s="164" t="s">
        <v>263</v>
      </c>
      <c r="J2" s="165"/>
      <c r="K2" s="164"/>
    </row>
    <row r="3" spans="1:13" x14ac:dyDescent="0.2">
      <c r="A3" s="178" t="s">
        <v>205</v>
      </c>
      <c r="B3" s="179">
        <v>44041</v>
      </c>
      <c r="C3" s="181">
        <v>1</v>
      </c>
      <c r="D3" s="178" t="s">
        <v>185</v>
      </c>
      <c r="E3" s="164" t="s">
        <v>189</v>
      </c>
      <c r="F3" s="180">
        <v>84</v>
      </c>
      <c r="G3" s="178" t="s">
        <v>210</v>
      </c>
      <c r="H3" s="162">
        <v>44013</v>
      </c>
      <c r="I3" s="164" t="s">
        <v>260</v>
      </c>
      <c r="J3" s="165" t="s">
        <v>268</v>
      </c>
      <c r="K3" s="164" t="s">
        <v>261</v>
      </c>
      <c r="M3" t="s">
        <v>262</v>
      </c>
    </row>
    <row r="4" spans="1:13" s="171" customFormat="1" x14ac:dyDescent="0.2">
      <c r="A4" s="178" t="s">
        <v>205</v>
      </c>
      <c r="B4" s="179">
        <v>44041</v>
      </c>
      <c r="C4" s="181">
        <v>1</v>
      </c>
      <c r="D4" s="178" t="s">
        <v>185</v>
      </c>
      <c r="E4" s="164" t="s">
        <v>189</v>
      </c>
      <c r="F4" s="180">
        <v>97.39</v>
      </c>
      <c r="G4" s="178" t="s">
        <v>211</v>
      </c>
      <c r="H4" s="162">
        <v>44013</v>
      </c>
      <c r="I4" s="164" t="s">
        <v>260</v>
      </c>
      <c r="J4" s="165" t="s">
        <v>268</v>
      </c>
      <c r="K4" s="164" t="s">
        <v>261</v>
      </c>
      <c r="L4"/>
      <c r="M4" t="s">
        <v>262</v>
      </c>
    </row>
    <row r="5" spans="1:13" x14ac:dyDescent="0.2">
      <c r="A5" s="178" t="s">
        <v>204</v>
      </c>
      <c r="B5" s="179">
        <v>44022</v>
      </c>
      <c r="C5" s="181">
        <v>1</v>
      </c>
      <c r="D5" s="178" t="s">
        <v>185</v>
      </c>
      <c r="E5" s="164" t="s">
        <v>189</v>
      </c>
      <c r="F5" s="180">
        <v>5.85</v>
      </c>
      <c r="G5" s="178" t="s">
        <v>191</v>
      </c>
      <c r="H5" s="162">
        <v>44013</v>
      </c>
      <c r="I5" s="164" t="s">
        <v>260</v>
      </c>
      <c r="J5" s="165" t="s">
        <v>268</v>
      </c>
      <c r="K5" s="164" t="s">
        <v>261</v>
      </c>
      <c r="M5" t="s">
        <v>262</v>
      </c>
    </row>
    <row r="6" spans="1:13" x14ac:dyDescent="0.2">
      <c r="A6" s="178" t="s">
        <v>207</v>
      </c>
      <c r="B6" s="179">
        <v>44041</v>
      </c>
      <c r="C6" s="181">
        <v>1</v>
      </c>
      <c r="D6" s="178" t="s">
        <v>185</v>
      </c>
      <c r="E6" s="164" t="s">
        <v>189</v>
      </c>
      <c r="F6" s="180">
        <v>0.5</v>
      </c>
      <c r="G6" s="178" t="s">
        <v>191</v>
      </c>
      <c r="H6" s="162">
        <v>44013</v>
      </c>
      <c r="I6" s="164" t="s">
        <v>260</v>
      </c>
      <c r="J6" s="165" t="s">
        <v>268</v>
      </c>
      <c r="K6" s="164" t="s">
        <v>261</v>
      </c>
      <c r="M6" t="s">
        <v>262</v>
      </c>
    </row>
    <row r="7" spans="1:13" x14ac:dyDescent="0.2">
      <c r="A7" s="178" t="s">
        <v>207</v>
      </c>
      <c r="B7" s="179">
        <v>44041</v>
      </c>
      <c r="C7" s="181">
        <v>1</v>
      </c>
      <c r="D7" s="178" t="s">
        <v>185</v>
      </c>
      <c r="E7" s="164" t="s">
        <v>189</v>
      </c>
      <c r="F7" s="180">
        <v>0.5</v>
      </c>
      <c r="G7" s="178" t="s">
        <v>191</v>
      </c>
      <c r="H7" s="162">
        <v>44013</v>
      </c>
      <c r="I7" s="164" t="s">
        <v>260</v>
      </c>
      <c r="J7" s="165" t="s">
        <v>268</v>
      </c>
      <c r="K7" s="164" t="s">
        <v>261</v>
      </c>
      <c r="M7" t="s">
        <v>262</v>
      </c>
    </row>
    <row r="8" spans="1:13" x14ac:dyDescent="0.2">
      <c r="A8" s="178" t="s">
        <v>207</v>
      </c>
      <c r="B8" s="179">
        <v>44041</v>
      </c>
      <c r="C8" s="181">
        <v>1</v>
      </c>
      <c r="D8" s="178" t="s">
        <v>185</v>
      </c>
      <c r="E8" s="164" t="s">
        <v>189</v>
      </c>
      <c r="F8" s="180">
        <v>0.5</v>
      </c>
      <c r="G8" s="178" t="s">
        <v>191</v>
      </c>
      <c r="H8" s="162">
        <v>44013</v>
      </c>
      <c r="I8" s="164" t="s">
        <v>260</v>
      </c>
      <c r="J8" s="165" t="s">
        <v>268</v>
      </c>
      <c r="K8" s="164" t="s">
        <v>261</v>
      </c>
      <c r="M8" t="s">
        <v>262</v>
      </c>
    </row>
    <row r="9" spans="1:13" x14ac:dyDescent="0.2">
      <c r="A9" s="178" t="s">
        <v>207</v>
      </c>
      <c r="B9" s="179">
        <v>44041</v>
      </c>
      <c r="C9" s="181">
        <v>1</v>
      </c>
      <c r="D9" s="178" t="s">
        <v>185</v>
      </c>
      <c r="E9" s="164" t="s">
        <v>189</v>
      </c>
      <c r="F9" s="180">
        <v>0.5</v>
      </c>
      <c r="G9" s="178" t="s">
        <v>191</v>
      </c>
      <c r="H9" s="162">
        <v>44013</v>
      </c>
      <c r="I9" s="164" t="s">
        <v>260</v>
      </c>
      <c r="J9" s="165" t="s">
        <v>268</v>
      </c>
      <c r="K9" s="164" t="s">
        <v>261</v>
      </c>
      <c r="M9" t="s">
        <v>262</v>
      </c>
    </row>
    <row r="10" spans="1:13" x14ac:dyDescent="0.2">
      <c r="A10" s="178" t="s">
        <v>207</v>
      </c>
      <c r="B10" s="179">
        <v>44041</v>
      </c>
      <c r="C10" s="181">
        <v>1</v>
      </c>
      <c r="D10" s="178" t="s">
        <v>185</v>
      </c>
      <c r="E10" s="164" t="s">
        <v>189</v>
      </c>
      <c r="F10" s="180">
        <v>0.5</v>
      </c>
      <c r="G10" s="178" t="s">
        <v>191</v>
      </c>
      <c r="H10" s="162">
        <v>44013</v>
      </c>
      <c r="I10" s="164" t="s">
        <v>260</v>
      </c>
      <c r="J10" s="165" t="s">
        <v>268</v>
      </c>
      <c r="K10" s="164" t="s">
        <v>261</v>
      </c>
      <c r="M10" t="s">
        <v>262</v>
      </c>
    </row>
    <row r="11" spans="1:13" x14ac:dyDescent="0.2">
      <c r="A11" s="178" t="s">
        <v>205</v>
      </c>
      <c r="B11" s="179">
        <v>44041</v>
      </c>
      <c r="C11" s="181">
        <v>1</v>
      </c>
      <c r="D11" s="178" t="s">
        <v>185</v>
      </c>
      <c r="E11" s="164" t="s">
        <v>189</v>
      </c>
      <c r="F11" s="180">
        <v>58.87</v>
      </c>
      <c r="G11" s="178" t="s">
        <v>212</v>
      </c>
      <c r="H11" s="162">
        <v>44013</v>
      </c>
      <c r="I11" s="164" t="s">
        <v>260</v>
      </c>
      <c r="J11" s="165" t="s">
        <v>268</v>
      </c>
      <c r="K11" s="164" t="s">
        <v>261</v>
      </c>
      <c r="M11" t="s">
        <v>262</v>
      </c>
    </row>
    <row r="12" spans="1:13" x14ac:dyDescent="0.2">
      <c r="A12" s="178" t="s">
        <v>205</v>
      </c>
      <c r="B12" s="179">
        <v>44041</v>
      </c>
      <c r="C12" s="181">
        <v>1</v>
      </c>
      <c r="D12" s="178" t="s">
        <v>185</v>
      </c>
      <c r="E12" s="164" t="s">
        <v>189</v>
      </c>
      <c r="F12" s="180">
        <v>7.5</v>
      </c>
      <c r="G12" s="178" t="s">
        <v>213</v>
      </c>
      <c r="H12" s="162">
        <v>44013</v>
      </c>
      <c r="I12" s="164" t="s">
        <v>260</v>
      </c>
      <c r="J12" s="165" t="s">
        <v>268</v>
      </c>
      <c r="K12" s="164" t="s">
        <v>261</v>
      </c>
      <c r="M12" t="s">
        <v>262</v>
      </c>
    </row>
    <row r="13" spans="1:13" x14ac:dyDescent="0.2">
      <c r="A13" s="178" t="s">
        <v>205</v>
      </c>
      <c r="B13" s="179">
        <v>44041</v>
      </c>
      <c r="C13" s="181">
        <v>1</v>
      </c>
      <c r="D13" s="178" t="s">
        <v>185</v>
      </c>
      <c r="E13" s="164" t="s">
        <v>189</v>
      </c>
      <c r="F13" s="180">
        <v>7.5</v>
      </c>
      <c r="G13" s="178" t="s">
        <v>213</v>
      </c>
      <c r="H13" s="162">
        <v>44013</v>
      </c>
      <c r="I13" s="164" t="s">
        <v>260</v>
      </c>
      <c r="J13" s="165" t="s">
        <v>268</v>
      </c>
      <c r="K13" s="164" t="s">
        <v>261</v>
      </c>
      <c r="M13" t="s">
        <v>262</v>
      </c>
    </row>
    <row r="14" spans="1:13" x14ac:dyDescent="0.2">
      <c r="A14" s="178" t="s">
        <v>205</v>
      </c>
      <c r="B14" s="179">
        <v>44041</v>
      </c>
      <c r="C14" s="181">
        <v>1</v>
      </c>
      <c r="D14" s="178" t="s">
        <v>185</v>
      </c>
      <c r="E14" s="164" t="s">
        <v>189</v>
      </c>
      <c r="F14" s="180">
        <v>7.5</v>
      </c>
      <c r="G14" s="178" t="s">
        <v>213</v>
      </c>
      <c r="H14" s="162">
        <v>44013</v>
      </c>
      <c r="I14" s="164" t="s">
        <v>260</v>
      </c>
      <c r="J14" s="165" t="s">
        <v>268</v>
      </c>
      <c r="K14" s="164" t="s">
        <v>261</v>
      </c>
      <c r="M14" t="s">
        <v>262</v>
      </c>
    </row>
    <row r="15" spans="1:13" x14ac:dyDescent="0.2">
      <c r="A15" s="178" t="s">
        <v>205</v>
      </c>
      <c r="B15" s="179">
        <v>44041</v>
      </c>
      <c r="C15" s="181">
        <v>1</v>
      </c>
      <c r="D15" s="178" t="s">
        <v>185</v>
      </c>
      <c r="E15" s="164" t="s">
        <v>189</v>
      </c>
      <c r="F15" s="180">
        <v>104.35</v>
      </c>
      <c r="G15" s="178" t="s">
        <v>214</v>
      </c>
      <c r="H15" s="162">
        <v>44013</v>
      </c>
      <c r="I15" s="164" t="s">
        <v>260</v>
      </c>
      <c r="J15" s="165" t="s">
        <v>268</v>
      </c>
      <c r="K15" s="164" t="s">
        <v>261</v>
      </c>
      <c r="M15" t="s">
        <v>262</v>
      </c>
    </row>
    <row r="16" spans="1:13" x14ac:dyDescent="0.2">
      <c r="A16" s="178" t="s">
        <v>205</v>
      </c>
      <c r="B16" s="179">
        <v>44041</v>
      </c>
      <c r="C16" s="181">
        <v>1</v>
      </c>
      <c r="D16" s="178" t="s">
        <v>185</v>
      </c>
      <c r="E16" s="164" t="s">
        <v>189</v>
      </c>
      <c r="F16" s="180">
        <v>1.26</v>
      </c>
      <c r="G16" s="178" t="s">
        <v>215</v>
      </c>
      <c r="H16" s="162">
        <v>44013</v>
      </c>
      <c r="I16" s="164" t="s">
        <v>260</v>
      </c>
      <c r="J16" s="165" t="s">
        <v>268</v>
      </c>
      <c r="K16" s="164" t="s">
        <v>261</v>
      </c>
      <c r="M16" t="s">
        <v>262</v>
      </c>
    </row>
    <row r="17" spans="1:14" x14ac:dyDescent="0.2">
      <c r="A17" s="178" t="s">
        <v>205</v>
      </c>
      <c r="B17" s="179">
        <v>44041</v>
      </c>
      <c r="C17" s="181">
        <v>1</v>
      </c>
      <c r="D17" s="178" t="s">
        <v>185</v>
      </c>
      <c r="E17" s="164" t="s">
        <v>189</v>
      </c>
      <c r="F17" s="180">
        <v>40</v>
      </c>
      <c r="G17" s="178" t="s">
        <v>216</v>
      </c>
      <c r="H17" s="162">
        <v>44013</v>
      </c>
      <c r="I17" s="164" t="s">
        <v>260</v>
      </c>
      <c r="J17" s="165" t="s">
        <v>268</v>
      </c>
      <c r="K17" s="164" t="s">
        <v>261</v>
      </c>
      <c r="M17" t="s">
        <v>262</v>
      </c>
    </row>
    <row r="18" spans="1:14" x14ac:dyDescent="0.2">
      <c r="A18" s="178" t="s">
        <v>204</v>
      </c>
      <c r="B18" s="179">
        <v>44022</v>
      </c>
      <c r="C18" s="164">
        <v>1</v>
      </c>
      <c r="D18" s="178" t="s">
        <v>184</v>
      </c>
      <c r="E18" s="164" t="s">
        <v>188</v>
      </c>
      <c r="F18" s="180">
        <v>492.46</v>
      </c>
      <c r="G18" s="178" t="s">
        <v>190</v>
      </c>
      <c r="H18" s="162">
        <v>44013</v>
      </c>
      <c r="I18" s="164" t="s">
        <v>260</v>
      </c>
      <c r="J18" s="165" t="s">
        <v>268</v>
      </c>
      <c r="K18" s="164" t="s">
        <v>261</v>
      </c>
      <c r="M18" t="s">
        <v>262</v>
      </c>
    </row>
    <row r="19" spans="1:14" x14ac:dyDescent="0.2">
      <c r="A19" s="178" t="s">
        <v>204</v>
      </c>
      <c r="B19" s="179">
        <v>44022</v>
      </c>
      <c r="C19" s="181">
        <v>1</v>
      </c>
      <c r="D19" s="178" t="s">
        <v>185</v>
      </c>
      <c r="E19" s="164" t="s">
        <v>189</v>
      </c>
      <c r="F19" s="180">
        <v>21.35</v>
      </c>
      <c r="G19" s="178" t="s">
        <v>192</v>
      </c>
      <c r="H19" s="162">
        <v>44015</v>
      </c>
      <c r="I19" s="164" t="s">
        <v>300</v>
      </c>
      <c r="J19" s="170" t="s">
        <v>268</v>
      </c>
      <c r="K19" t="s">
        <v>273</v>
      </c>
      <c r="M19" t="s">
        <v>275</v>
      </c>
    </row>
    <row r="20" spans="1:14" x14ac:dyDescent="0.2">
      <c r="A20" s="178" t="s">
        <v>207</v>
      </c>
      <c r="B20" s="179">
        <v>44041</v>
      </c>
      <c r="C20" s="181">
        <v>1</v>
      </c>
      <c r="D20" s="178" t="s">
        <v>185</v>
      </c>
      <c r="E20" s="164" t="s">
        <v>189</v>
      </c>
      <c r="F20" s="180">
        <v>0.5</v>
      </c>
      <c r="G20" s="178" t="s">
        <v>192</v>
      </c>
      <c r="H20" s="162">
        <v>44015</v>
      </c>
      <c r="I20" s="164" t="s">
        <v>300</v>
      </c>
      <c r="J20" s="170" t="s">
        <v>268</v>
      </c>
      <c r="K20" t="s">
        <v>273</v>
      </c>
      <c r="M20" t="s">
        <v>275</v>
      </c>
    </row>
    <row r="21" spans="1:14" x14ac:dyDescent="0.2">
      <c r="A21" s="178" t="s">
        <v>205</v>
      </c>
      <c r="B21" s="179">
        <v>44041</v>
      </c>
      <c r="C21" s="181">
        <v>1</v>
      </c>
      <c r="D21" s="178" t="s">
        <v>185</v>
      </c>
      <c r="E21" s="164" t="s">
        <v>189</v>
      </c>
      <c r="F21" s="180">
        <v>476.31</v>
      </c>
      <c r="G21" s="178" t="s">
        <v>217</v>
      </c>
      <c r="H21" s="162">
        <v>44015</v>
      </c>
      <c r="I21" s="164" t="s">
        <v>300</v>
      </c>
      <c r="J21" s="170" t="s">
        <v>268</v>
      </c>
      <c r="K21" t="s">
        <v>273</v>
      </c>
      <c r="M21" t="s">
        <v>275</v>
      </c>
    </row>
    <row r="22" spans="1:14" x14ac:dyDescent="0.2">
      <c r="A22" s="178" t="s">
        <v>205</v>
      </c>
      <c r="B22" s="179">
        <v>44041</v>
      </c>
      <c r="C22" s="181">
        <v>1</v>
      </c>
      <c r="D22" s="178" t="s">
        <v>185</v>
      </c>
      <c r="E22" s="164" t="s">
        <v>189</v>
      </c>
      <c r="F22" s="180">
        <v>7.5</v>
      </c>
      <c r="G22" s="178" t="s">
        <v>218</v>
      </c>
      <c r="H22" s="162">
        <v>44015</v>
      </c>
      <c r="I22" s="164" t="s">
        <v>300</v>
      </c>
      <c r="J22" s="170" t="s">
        <v>268</v>
      </c>
      <c r="K22" t="s">
        <v>273</v>
      </c>
      <c r="M22" t="s">
        <v>275</v>
      </c>
    </row>
    <row r="23" spans="1:14" x14ac:dyDescent="0.2">
      <c r="A23" s="178" t="s">
        <v>206</v>
      </c>
      <c r="B23" s="179">
        <v>44041</v>
      </c>
      <c r="C23" s="181">
        <v>1</v>
      </c>
      <c r="D23" s="178" t="s">
        <v>185</v>
      </c>
      <c r="E23" s="164" t="s">
        <v>189</v>
      </c>
      <c r="F23" s="180">
        <v>15.01</v>
      </c>
      <c r="G23" s="178" t="s">
        <v>218</v>
      </c>
      <c r="H23" s="162">
        <v>44015</v>
      </c>
      <c r="I23" s="164" t="s">
        <v>300</v>
      </c>
      <c r="J23" s="170" t="s">
        <v>268</v>
      </c>
      <c r="K23" t="s">
        <v>273</v>
      </c>
      <c r="M23" t="s">
        <v>275</v>
      </c>
    </row>
    <row r="24" spans="1:14" x14ac:dyDescent="0.2">
      <c r="A24" s="178" t="s">
        <v>206</v>
      </c>
      <c r="B24" s="179">
        <v>44041</v>
      </c>
      <c r="C24" s="181">
        <v>1</v>
      </c>
      <c r="D24" s="178" t="s">
        <v>184</v>
      </c>
      <c r="E24" s="164" t="s">
        <v>188</v>
      </c>
      <c r="F24" s="180">
        <v>152.16999999999999</v>
      </c>
      <c r="G24" s="178" t="s">
        <v>274</v>
      </c>
      <c r="H24" s="162">
        <v>44015</v>
      </c>
      <c r="I24" s="164" t="s">
        <v>300</v>
      </c>
      <c r="J24" s="170" t="s">
        <v>268</v>
      </c>
      <c r="K24" t="s">
        <v>273</v>
      </c>
      <c r="M24" t="s">
        <v>275</v>
      </c>
    </row>
    <row r="25" spans="1:14" x14ac:dyDescent="0.2">
      <c r="A25" s="178" t="s">
        <v>206</v>
      </c>
      <c r="B25" s="179">
        <v>44041</v>
      </c>
      <c r="C25" s="181">
        <v>1</v>
      </c>
      <c r="D25" s="178" t="s">
        <v>184</v>
      </c>
      <c r="E25" s="164" t="s">
        <v>188</v>
      </c>
      <c r="F25" s="180">
        <v>152.16999999999999</v>
      </c>
      <c r="G25" s="178" t="s">
        <v>203</v>
      </c>
      <c r="H25" s="162">
        <v>44015</v>
      </c>
      <c r="I25" s="164" t="s">
        <v>300</v>
      </c>
      <c r="J25" s="170" t="s">
        <v>268</v>
      </c>
      <c r="K25" t="s">
        <v>273</v>
      </c>
      <c r="M25" t="s">
        <v>275</v>
      </c>
    </row>
    <row r="26" spans="1:14" x14ac:dyDescent="0.2">
      <c r="A26" s="178" t="s">
        <v>205</v>
      </c>
      <c r="B26" s="179">
        <v>44041</v>
      </c>
      <c r="C26" s="181">
        <v>1</v>
      </c>
      <c r="D26" s="178" t="s">
        <v>185</v>
      </c>
      <c r="E26" s="164" t="s">
        <v>189</v>
      </c>
      <c r="F26" s="180">
        <v>21.35</v>
      </c>
      <c r="G26" s="178" t="s">
        <v>219</v>
      </c>
      <c r="H26" s="162">
        <v>44036</v>
      </c>
      <c r="I26" s="168" t="s">
        <v>264</v>
      </c>
      <c r="J26" s="170" t="s">
        <v>268</v>
      </c>
      <c r="K26" s="168" t="s">
        <v>265</v>
      </c>
      <c r="L26" s="171"/>
      <c r="M26" s="171" t="s">
        <v>266</v>
      </c>
      <c r="N26" s="171"/>
    </row>
    <row r="27" spans="1:14" x14ac:dyDescent="0.2">
      <c r="A27" s="178" t="s">
        <v>205</v>
      </c>
      <c r="B27" s="179">
        <v>44041</v>
      </c>
      <c r="C27" s="181">
        <v>1</v>
      </c>
      <c r="D27" s="178" t="s">
        <v>185</v>
      </c>
      <c r="E27" s="164" t="s">
        <v>189</v>
      </c>
      <c r="F27" s="180">
        <v>10</v>
      </c>
      <c r="G27" s="178" t="s">
        <v>219</v>
      </c>
      <c r="H27" s="162">
        <v>44036</v>
      </c>
      <c r="I27" s="168" t="s">
        <v>264</v>
      </c>
      <c r="J27" s="170" t="s">
        <v>268</v>
      </c>
      <c r="K27" s="168" t="s">
        <v>265</v>
      </c>
      <c r="L27" s="171"/>
      <c r="M27" s="171" t="s">
        <v>266</v>
      </c>
      <c r="N27" s="171"/>
    </row>
    <row r="28" spans="1:14" x14ac:dyDescent="0.2">
      <c r="A28" s="182" t="s">
        <v>205</v>
      </c>
      <c r="B28" s="183">
        <v>44041</v>
      </c>
      <c r="C28" s="168">
        <v>1</v>
      </c>
      <c r="D28" s="182" t="s">
        <v>184</v>
      </c>
      <c r="E28" s="169" t="s">
        <v>188</v>
      </c>
      <c r="F28" s="184">
        <v>411.77</v>
      </c>
      <c r="G28" s="182" t="s">
        <v>196</v>
      </c>
      <c r="H28" s="162">
        <v>44036</v>
      </c>
      <c r="I28" s="168" t="s">
        <v>264</v>
      </c>
      <c r="J28" s="170" t="s">
        <v>268</v>
      </c>
      <c r="K28" s="168" t="s">
        <v>265</v>
      </c>
      <c r="L28" s="171"/>
      <c r="M28" s="171" t="s">
        <v>266</v>
      </c>
    </row>
    <row r="29" spans="1:14" x14ac:dyDescent="0.2">
      <c r="A29" s="178" t="s">
        <v>205</v>
      </c>
      <c r="B29" s="179">
        <v>44041</v>
      </c>
      <c r="C29" s="181">
        <v>1</v>
      </c>
      <c r="D29" s="178" t="s">
        <v>184</v>
      </c>
      <c r="E29" s="164" t="s">
        <v>188</v>
      </c>
      <c r="F29" s="180">
        <v>342</v>
      </c>
      <c r="G29" s="178" t="s">
        <v>197</v>
      </c>
      <c r="H29" s="162">
        <v>44021</v>
      </c>
      <c r="I29" t="s">
        <v>267</v>
      </c>
      <c r="J29" s="170" t="s">
        <v>268</v>
      </c>
      <c r="K29" t="s">
        <v>269</v>
      </c>
      <c r="M29" s="172" t="s">
        <v>270</v>
      </c>
    </row>
    <row r="30" spans="1:14" x14ac:dyDescent="0.2">
      <c r="A30" s="178" t="s">
        <v>205</v>
      </c>
      <c r="B30" s="179">
        <v>44041</v>
      </c>
      <c r="C30" s="181">
        <v>1</v>
      </c>
      <c r="D30" s="178" t="s">
        <v>184</v>
      </c>
      <c r="E30" s="164" t="s">
        <v>188</v>
      </c>
      <c r="F30" s="180">
        <v>221.47</v>
      </c>
      <c r="G30" s="178" t="s">
        <v>198</v>
      </c>
      <c r="H30" s="162">
        <v>44021</v>
      </c>
      <c r="I30" t="s">
        <v>267</v>
      </c>
      <c r="J30" s="170" t="s">
        <v>268</v>
      </c>
      <c r="K30" t="s">
        <v>269</v>
      </c>
      <c r="M30" s="172" t="s">
        <v>270</v>
      </c>
    </row>
    <row r="31" spans="1:14" x14ac:dyDescent="0.2">
      <c r="A31" s="178" t="s">
        <v>205</v>
      </c>
      <c r="B31" s="179">
        <v>44041</v>
      </c>
      <c r="C31" s="181">
        <v>1</v>
      </c>
      <c r="D31" s="178" t="s">
        <v>185</v>
      </c>
      <c r="E31" s="164" t="s">
        <v>189</v>
      </c>
      <c r="F31" s="180">
        <v>10</v>
      </c>
      <c r="G31" s="178" t="s">
        <v>220</v>
      </c>
      <c r="H31" s="162">
        <v>44022</v>
      </c>
      <c r="I31" t="s">
        <v>267</v>
      </c>
      <c r="J31" s="170" t="s">
        <v>268</v>
      </c>
      <c r="K31" t="s">
        <v>269</v>
      </c>
      <c r="M31" s="172" t="s">
        <v>270</v>
      </c>
    </row>
    <row r="32" spans="1:14" x14ac:dyDescent="0.2">
      <c r="A32" s="178" t="s">
        <v>205</v>
      </c>
      <c r="B32" s="179">
        <v>44041</v>
      </c>
      <c r="C32" s="181">
        <v>1</v>
      </c>
      <c r="D32" s="178" t="s">
        <v>185</v>
      </c>
      <c r="E32" s="164" t="s">
        <v>189</v>
      </c>
      <c r="F32" s="180">
        <v>10</v>
      </c>
      <c r="G32" s="178" t="s">
        <v>220</v>
      </c>
      <c r="H32" s="162">
        <v>44022</v>
      </c>
      <c r="I32" t="s">
        <v>267</v>
      </c>
      <c r="J32" s="170" t="s">
        <v>268</v>
      </c>
      <c r="K32" t="s">
        <v>269</v>
      </c>
      <c r="M32" s="172" t="s">
        <v>270</v>
      </c>
    </row>
    <row r="33" spans="1:13" x14ac:dyDescent="0.2">
      <c r="A33" s="178" t="s">
        <v>206</v>
      </c>
      <c r="B33" s="179">
        <v>44041</v>
      </c>
      <c r="C33" s="181">
        <v>1</v>
      </c>
      <c r="D33" s="178" t="s">
        <v>185</v>
      </c>
      <c r="E33" s="164" t="s">
        <v>189</v>
      </c>
      <c r="F33" s="180">
        <v>5.85</v>
      </c>
      <c r="G33" s="178" t="s">
        <v>220</v>
      </c>
      <c r="H33" s="162">
        <v>44022</v>
      </c>
      <c r="I33" t="s">
        <v>267</v>
      </c>
      <c r="J33" s="170" t="s">
        <v>268</v>
      </c>
      <c r="K33" t="s">
        <v>269</v>
      </c>
      <c r="M33" s="172" t="s">
        <v>270</v>
      </c>
    </row>
    <row r="34" spans="1:13" x14ac:dyDescent="0.2">
      <c r="A34" s="178" t="s">
        <v>205</v>
      </c>
      <c r="B34" s="179">
        <v>44041</v>
      </c>
      <c r="C34" s="181">
        <v>1</v>
      </c>
      <c r="D34" s="178" t="s">
        <v>184</v>
      </c>
      <c r="E34" s="164" t="s">
        <v>188</v>
      </c>
      <c r="F34" s="180">
        <v>92.79</v>
      </c>
      <c r="G34" s="178" t="s">
        <v>199</v>
      </c>
      <c r="H34" s="162">
        <v>44022</v>
      </c>
      <c r="I34" t="s">
        <v>267</v>
      </c>
      <c r="J34" s="170" t="s">
        <v>268</v>
      </c>
      <c r="K34" t="s">
        <v>269</v>
      </c>
      <c r="M34" s="172" t="s">
        <v>270</v>
      </c>
    </row>
    <row r="35" spans="1:13" x14ac:dyDescent="0.2">
      <c r="A35" s="178" t="s">
        <v>205</v>
      </c>
      <c r="B35" s="179">
        <v>44041</v>
      </c>
      <c r="C35" s="181">
        <v>1</v>
      </c>
      <c r="D35" s="178" t="s">
        <v>185</v>
      </c>
      <c r="E35" s="164" t="s">
        <v>189</v>
      </c>
      <c r="F35" s="180">
        <v>10</v>
      </c>
      <c r="G35" s="178" t="s">
        <v>221</v>
      </c>
      <c r="H35" s="162">
        <v>44029</v>
      </c>
      <c r="I35" t="s">
        <v>557</v>
      </c>
      <c r="J35" s="170" t="s">
        <v>268</v>
      </c>
      <c r="K35" t="s">
        <v>272</v>
      </c>
    </row>
    <row r="36" spans="1:13" x14ac:dyDescent="0.2">
      <c r="A36" s="178" t="s">
        <v>205</v>
      </c>
      <c r="B36" s="179">
        <v>44041</v>
      </c>
      <c r="C36" s="181">
        <v>1</v>
      </c>
      <c r="D36" s="178" t="s">
        <v>185</v>
      </c>
      <c r="E36" s="164" t="s">
        <v>189</v>
      </c>
      <c r="F36" s="180">
        <v>10.85</v>
      </c>
      <c r="G36" s="178" t="s">
        <v>221</v>
      </c>
      <c r="H36" s="162">
        <v>44029</v>
      </c>
      <c r="I36" t="s">
        <v>557</v>
      </c>
      <c r="J36" s="170" t="s">
        <v>268</v>
      </c>
      <c r="K36" t="s">
        <v>272</v>
      </c>
    </row>
    <row r="37" spans="1:13" x14ac:dyDescent="0.2">
      <c r="A37" s="178" t="s">
        <v>207</v>
      </c>
      <c r="B37" s="179">
        <v>44041</v>
      </c>
      <c r="C37" s="181">
        <v>1</v>
      </c>
      <c r="D37" s="178" t="s">
        <v>185</v>
      </c>
      <c r="E37" s="164" t="s">
        <v>189</v>
      </c>
      <c r="F37" s="180">
        <v>0.5</v>
      </c>
      <c r="G37" s="178" t="s">
        <v>221</v>
      </c>
      <c r="H37" s="162">
        <v>44029</v>
      </c>
      <c r="I37" t="s">
        <v>557</v>
      </c>
      <c r="J37" s="170" t="s">
        <v>268</v>
      </c>
      <c r="K37" t="s">
        <v>272</v>
      </c>
    </row>
    <row r="38" spans="1:13" x14ac:dyDescent="0.2">
      <c r="A38" s="178" t="s">
        <v>206</v>
      </c>
      <c r="B38" s="179">
        <v>44041</v>
      </c>
      <c r="C38" s="181">
        <v>1</v>
      </c>
      <c r="D38" s="178" t="s">
        <v>185</v>
      </c>
      <c r="E38" s="164" t="s">
        <v>189</v>
      </c>
      <c r="F38" s="180">
        <v>7.5</v>
      </c>
      <c r="G38" s="178" t="s">
        <v>223</v>
      </c>
      <c r="H38" s="162">
        <v>44029</v>
      </c>
      <c r="I38" t="s">
        <v>557</v>
      </c>
      <c r="J38" s="170" t="s">
        <v>268</v>
      </c>
      <c r="K38" t="s">
        <v>272</v>
      </c>
    </row>
    <row r="39" spans="1:13" x14ac:dyDescent="0.2">
      <c r="A39" s="178" t="s">
        <v>206</v>
      </c>
      <c r="B39" s="179">
        <v>44041</v>
      </c>
      <c r="C39" s="181">
        <v>1</v>
      </c>
      <c r="D39" s="178" t="s">
        <v>185</v>
      </c>
      <c r="E39" s="164" t="s">
        <v>189</v>
      </c>
      <c r="F39" s="180">
        <v>0.95</v>
      </c>
      <c r="G39" s="178" t="s">
        <v>224</v>
      </c>
      <c r="H39" s="162">
        <v>44029</v>
      </c>
      <c r="I39" t="s">
        <v>557</v>
      </c>
      <c r="J39" s="170" t="s">
        <v>268</v>
      </c>
      <c r="K39" t="s">
        <v>272</v>
      </c>
    </row>
    <row r="40" spans="1:13" x14ac:dyDescent="0.2">
      <c r="A40" s="178" t="s">
        <v>206</v>
      </c>
      <c r="B40" s="179">
        <v>44041</v>
      </c>
      <c r="C40" s="181">
        <v>1</v>
      </c>
      <c r="D40" s="178" t="s">
        <v>185</v>
      </c>
      <c r="E40" s="164" t="s">
        <v>189</v>
      </c>
      <c r="F40" s="180">
        <v>63</v>
      </c>
      <c r="G40" s="178" t="s">
        <v>225</v>
      </c>
      <c r="H40" s="162">
        <v>44029</v>
      </c>
      <c r="I40" t="s">
        <v>557</v>
      </c>
      <c r="J40" s="170" t="s">
        <v>268</v>
      </c>
      <c r="K40" t="s">
        <v>272</v>
      </c>
    </row>
    <row r="41" spans="1:13" x14ac:dyDescent="0.2">
      <c r="A41" s="178" t="s">
        <v>205</v>
      </c>
      <c r="B41" s="179">
        <v>44041</v>
      </c>
      <c r="C41" s="181">
        <v>1</v>
      </c>
      <c r="D41" s="178" t="s">
        <v>184</v>
      </c>
      <c r="E41" s="164" t="s">
        <v>188</v>
      </c>
      <c r="F41" s="180">
        <v>259.61</v>
      </c>
      <c r="G41" s="178" t="s">
        <v>200</v>
      </c>
      <c r="H41" s="162">
        <v>44029</v>
      </c>
      <c r="I41" t="s">
        <v>557</v>
      </c>
      <c r="J41" s="170" t="s">
        <v>268</v>
      </c>
      <c r="K41" t="s">
        <v>272</v>
      </c>
    </row>
    <row r="42" spans="1:13" x14ac:dyDescent="0.2">
      <c r="A42" s="178" t="s">
        <v>205</v>
      </c>
      <c r="B42" s="179">
        <v>44041</v>
      </c>
      <c r="C42" s="181">
        <v>1</v>
      </c>
      <c r="D42" s="178" t="s">
        <v>184</v>
      </c>
      <c r="E42" s="164" t="s">
        <v>188</v>
      </c>
      <c r="F42" s="180">
        <v>147.08000000000001</v>
      </c>
      <c r="G42" s="178" t="s">
        <v>201</v>
      </c>
      <c r="H42" s="162">
        <v>44029</v>
      </c>
      <c r="I42" t="s">
        <v>557</v>
      </c>
      <c r="J42" s="170" t="s">
        <v>268</v>
      </c>
      <c r="K42" t="s">
        <v>272</v>
      </c>
    </row>
    <row r="43" spans="1:13" x14ac:dyDescent="0.2">
      <c r="A43" s="178" t="s">
        <v>205</v>
      </c>
      <c r="B43" s="179">
        <v>44041</v>
      </c>
      <c r="C43" s="181">
        <v>1</v>
      </c>
      <c r="D43" s="178" t="s">
        <v>185</v>
      </c>
      <c r="E43" s="164" t="s">
        <v>189</v>
      </c>
      <c r="F43" s="180">
        <v>10.85</v>
      </c>
      <c r="G43" s="178" t="s">
        <v>222</v>
      </c>
      <c r="H43" s="162">
        <v>44051</v>
      </c>
      <c r="I43" t="s">
        <v>278</v>
      </c>
      <c r="J43" s="170" t="s">
        <v>268</v>
      </c>
      <c r="K43" t="s">
        <v>276</v>
      </c>
    </row>
    <row r="44" spans="1:13" x14ac:dyDescent="0.2">
      <c r="A44" s="178" t="s">
        <v>205</v>
      </c>
      <c r="B44" s="179">
        <v>44041</v>
      </c>
      <c r="C44" s="181">
        <v>1</v>
      </c>
      <c r="D44" s="178" t="s">
        <v>184</v>
      </c>
      <c r="E44" s="164" t="s">
        <v>188</v>
      </c>
      <c r="F44" s="180">
        <v>426.9</v>
      </c>
      <c r="G44" s="178" t="s">
        <v>202</v>
      </c>
      <c r="H44" s="162">
        <v>44051</v>
      </c>
      <c r="I44" t="s">
        <v>278</v>
      </c>
      <c r="J44" s="170" t="s">
        <v>268</v>
      </c>
      <c r="K44" t="s">
        <v>276</v>
      </c>
      <c r="M44" t="s">
        <v>277</v>
      </c>
    </row>
    <row r="45" spans="1:13" x14ac:dyDescent="0.2">
      <c r="A45" s="178" t="s">
        <v>209</v>
      </c>
      <c r="B45" s="179">
        <v>44043</v>
      </c>
      <c r="C45" s="181">
        <v>1</v>
      </c>
      <c r="D45" s="178" t="s">
        <v>185</v>
      </c>
      <c r="E45" s="164" t="s">
        <v>189</v>
      </c>
      <c r="F45" s="180">
        <v>74.78</v>
      </c>
      <c r="G45" s="178" t="s">
        <v>228</v>
      </c>
      <c r="H45" s="162">
        <v>44036</v>
      </c>
      <c r="I45" s="164" t="s">
        <v>370</v>
      </c>
      <c r="J45" s="165" t="s">
        <v>287</v>
      </c>
      <c r="K45" s="164" t="s">
        <v>306</v>
      </c>
      <c r="L45" t="s">
        <v>298</v>
      </c>
    </row>
    <row r="46" spans="1:13" x14ac:dyDescent="0.2">
      <c r="A46" s="178" t="s">
        <v>209</v>
      </c>
      <c r="B46" s="179">
        <v>44043</v>
      </c>
      <c r="C46" s="181">
        <v>1</v>
      </c>
      <c r="D46" s="178" t="s">
        <v>185</v>
      </c>
      <c r="E46" s="164" t="s">
        <v>189</v>
      </c>
      <c r="F46" s="180">
        <v>19.13</v>
      </c>
      <c r="G46" s="178" t="s">
        <v>229</v>
      </c>
      <c r="H46" s="162">
        <v>44043</v>
      </c>
      <c r="I46" s="164" t="s">
        <v>370</v>
      </c>
      <c r="J46" s="165" t="s">
        <v>305</v>
      </c>
      <c r="K46" t="s">
        <v>306</v>
      </c>
    </row>
    <row r="47" spans="1:13" x14ac:dyDescent="0.2">
      <c r="A47" s="178" t="s">
        <v>208</v>
      </c>
      <c r="B47" s="179">
        <v>44042</v>
      </c>
      <c r="C47" s="181">
        <v>1</v>
      </c>
      <c r="D47" s="178" t="s">
        <v>186</v>
      </c>
      <c r="E47" s="164" t="s">
        <v>233</v>
      </c>
      <c r="F47" s="180">
        <v>23.65</v>
      </c>
      <c r="G47" s="178" t="s">
        <v>234</v>
      </c>
      <c r="H47" s="162">
        <v>44042</v>
      </c>
      <c r="I47" t="s">
        <v>292</v>
      </c>
      <c r="J47" t="s">
        <v>287</v>
      </c>
      <c r="K47" t="s">
        <v>272</v>
      </c>
      <c r="L47" t="s">
        <v>293</v>
      </c>
      <c r="M47" t="s">
        <v>291</v>
      </c>
    </row>
    <row r="48" spans="1:13" x14ac:dyDescent="0.2">
      <c r="A48" s="178" t="s">
        <v>208</v>
      </c>
      <c r="B48" s="179">
        <v>44042</v>
      </c>
      <c r="C48" s="181">
        <v>1</v>
      </c>
      <c r="D48" s="178" t="s">
        <v>186</v>
      </c>
      <c r="E48" s="164" t="s">
        <v>233</v>
      </c>
      <c r="F48" s="180">
        <v>27.83</v>
      </c>
      <c r="G48" s="178" t="s">
        <v>235</v>
      </c>
      <c r="H48" s="162">
        <v>44042</v>
      </c>
      <c r="I48" t="s">
        <v>294</v>
      </c>
      <c r="J48" t="s">
        <v>287</v>
      </c>
      <c r="K48" t="s">
        <v>170</v>
      </c>
      <c r="L48" t="s">
        <v>293</v>
      </c>
      <c r="M48" t="s">
        <v>295</v>
      </c>
    </row>
    <row r="49" spans="1:13" x14ac:dyDescent="0.2">
      <c r="A49" s="178" t="s">
        <v>208</v>
      </c>
      <c r="B49" s="179">
        <v>44042</v>
      </c>
      <c r="C49" s="181">
        <v>1</v>
      </c>
      <c r="D49" s="178" t="s">
        <v>185</v>
      </c>
      <c r="E49" s="164" t="s">
        <v>189</v>
      </c>
      <c r="F49" s="180">
        <v>175.74</v>
      </c>
      <c r="G49" s="178" t="s">
        <v>226</v>
      </c>
      <c r="H49" s="162">
        <v>44042</v>
      </c>
      <c r="I49" s="164" t="s">
        <v>300</v>
      </c>
      <c r="J49" s="165" t="s">
        <v>287</v>
      </c>
      <c r="K49" s="164" t="s">
        <v>273</v>
      </c>
      <c r="L49" t="s">
        <v>298</v>
      </c>
      <c r="M49" t="s">
        <v>301</v>
      </c>
    </row>
    <row r="50" spans="1:13" x14ac:dyDescent="0.2">
      <c r="A50" s="178" t="s">
        <v>230</v>
      </c>
      <c r="B50" s="179">
        <v>44025</v>
      </c>
      <c r="C50" s="181">
        <v>1</v>
      </c>
      <c r="D50" s="178" t="s">
        <v>193</v>
      </c>
      <c r="E50" s="164" t="s">
        <v>195</v>
      </c>
      <c r="F50" s="180">
        <v>-19.559999999999999</v>
      </c>
      <c r="G50" s="178" t="s">
        <v>194</v>
      </c>
      <c r="H50" s="162">
        <v>44012</v>
      </c>
      <c r="I50" t="s">
        <v>288</v>
      </c>
      <c r="J50" t="s">
        <v>289</v>
      </c>
    </row>
    <row r="51" spans="1:13" x14ac:dyDescent="0.2">
      <c r="A51" s="178" t="s">
        <v>208</v>
      </c>
      <c r="B51" s="179">
        <v>44042</v>
      </c>
      <c r="C51" s="181">
        <v>1</v>
      </c>
      <c r="D51" s="178" t="s">
        <v>193</v>
      </c>
      <c r="E51" s="164" t="s">
        <v>195</v>
      </c>
      <c r="F51" s="180">
        <v>19.559999999999999</v>
      </c>
      <c r="G51" s="178" t="s">
        <v>231</v>
      </c>
      <c r="H51" s="162">
        <v>44042</v>
      </c>
      <c r="I51" t="s">
        <v>288</v>
      </c>
    </row>
    <row r="52" spans="1:13" x14ac:dyDescent="0.2">
      <c r="A52" s="178" t="s">
        <v>209</v>
      </c>
      <c r="B52" s="179">
        <v>44043</v>
      </c>
      <c r="C52" s="181">
        <v>1</v>
      </c>
      <c r="D52" s="178" t="s">
        <v>193</v>
      </c>
      <c r="E52" s="164" t="s">
        <v>195</v>
      </c>
      <c r="F52" s="180">
        <v>11.99</v>
      </c>
      <c r="G52" s="178" t="s">
        <v>232</v>
      </c>
      <c r="H52" s="162">
        <v>44043</v>
      </c>
      <c r="I52" t="s">
        <v>299</v>
      </c>
      <c r="J52" t="s">
        <v>286</v>
      </c>
      <c r="K52" t="s">
        <v>170</v>
      </c>
    </row>
    <row r="53" spans="1:13" x14ac:dyDescent="0.2">
      <c r="A53" s="178" t="s">
        <v>208</v>
      </c>
      <c r="B53" s="179">
        <v>44042</v>
      </c>
      <c r="C53" s="181">
        <v>1</v>
      </c>
      <c r="D53" s="178" t="s">
        <v>185</v>
      </c>
      <c r="E53" s="164" t="s">
        <v>189</v>
      </c>
      <c r="F53" s="180">
        <v>80.430000000000007</v>
      </c>
      <c r="G53" s="178" t="s">
        <v>227</v>
      </c>
      <c r="H53" s="162">
        <v>44042</v>
      </c>
      <c r="I53" s="164" t="s">
        <v>302</v>
      </c>
      <c r="J53" s="165" t="s">
        <v>287</v>
      </c>
      <c r="K53" s="164" t="s">
        <v>303</v>
      </c>
      <c r="L53" t="s">
        <v>298</v>
      </c>
      <c r="M53" t="s">
        <v>304</v>
      </c>
    </row>
    <row r="54" spans="1:13" x14ac:dyDescent="0.2">
      <c r="A54" s="178" t="s">
        <v>209</v>
      </c>
      <c r="B54" s="179">
        <v>44043</v>
      </c>
      <c r="C54" s="181">
        <v>1</v>
      </c>
      <c r="D54" s="178" t="s">
        <v>186</v>
      </c>
      <c r="E54" s="164" t="s">
        <v>233</v>
      </c>
      <c r="F54" s="180">
        <v>17.649999999999999</v>
      </c>
      <c r="G54" s="178" t="s">
        <v>236</v>
      </c>
      <c r="H54" s="162">
        <v>44043</v>
      </c>
      <c r="I54" t="s">
        <v>372</v>
      </c>
      <c r="J54" t="s">
        <v>287</v>
      </c>
      <c r="K54" t="s">
        <v>170</v>
      </c>
      <c r="L54" t="s">
        <v>371</v>
      </c>
    </row>
    <row r="55" spans="1:13" x14ac:dyDescent="0.2">
      <c r="A55" s="178" t="s">
        <v>239</v>
      </c>
      <c r="B55" s="179">
        <v>44070</v>
      </c>
      <c r="C55" s="181">
        <v>2</v>
      </c>
      <c r="D55" s="178" t="s">
        <v>184</v>
      </c>
      <c r="E55" s="164" t="s">
        <v>188</v>
      </c>
      <c r="F55" s="180">
        <v>223.9</v>
      </c>
      <c r="G55" s="178" t="s">
        <v>244</v>
      </c>
      <c r="H55" s="162">
        <v>44051</v>
      </c>
      <c r="I55" t="s">
        <v>278</v>
      </c>
      <c r="J55" s="170" t="s">
        <v>268</v>
      </c>
      <c r="K55" t="s">
        <v>276</v>
      </c>
    </row>
    <row r="56" spans="1:13" x14ac:dyDescent="0.2">
      <c r="A56" s="178" t="s">
        <v>239</v>
      </c>
      <c r="B56" s="179">
        <v>44070</v>
      </c>
      <c r="C56" s="181">
        <v>2</v>
      </c>
      <c r="D56" s="178" t="s">
        <v>185</v>
      </c>
      <c r="E56" s="164" t="s">
        <v>189</v>
      </c>
      <c r="F56" s="180">
        <v>10</v>
      </c>
      <c r="G56" s="178" t="s">
        <v>222</v>
      </c>
      <c r="H56" s="162">
        <v>44051</v>
      </c>
      <c r="I56" t="s">
        <v>278</v>
      </c>
      <c r="J56" s="170" t="s">
        <v>268</v>
      </c>
      <c r="K56" t="s">
        <v>276</v>
      </c>
    </row>
    <row r="57" spans="1:13" x14ac:dyDescent="0.2">
      <c r="A57" s="178" t="s">
        <v>238</v>
      </c>
      <c r="B57" s="179">
        <v>44070</v>
      </c>
      <c r="C57" s="181">
        <v>2</v>
      </c>
      <c r="D57" s="178" t="s">
        <v>185</v>
      </c>
      <c r="E57" s="164" t="s">
        <v>189</v>
      </c>
      <c r="F57" s="180">
        <v>23.45</v>
      </c>
      <c r="G57" s="178" t="s">
        <v>252</v>
      </c>
      <c r="H57" s="162">
        <v>44061</v>
      </c>
      <c r="I57" t="s">
        <v>280</v>
      </c>
    </row>
    <row r="58" spans="1:13" x14ac:dyDescent="0.2">
      <c r="A58" s="178" t="s">
        <v>240</v>
      </c>
      <c r="B58" s="179">
        <v>44070</v>
      </c>
      <c r="C58" s="181">
        <v>2</v>
      </c>
      <c r="D58" s="178" t="s">
        <v>185</v>
      </c>
      <c r="E58" s="164" t="s">
        <v>189</v>
      </c>
      <c r="F58" s="180">
        <v>10</v>
      </c>
      <c r="G58" s="178" t="s">
        <v>252</v>
      </c>
      <c r="H58" s="162">
        <v>44061</v>
      </c>
      <c r="I58" t="s">
        <v>280</v>
      </c>
    </row>
    <row r="59" spans="1:13" x14ac:dyDescent="0.2">
      <c r="A59" s="178" t="s">
        <v>238</v>
      </c>
      <c r="B59" s="179">
        <v>44070</v>
      </c>
      <c r="C59" s="181">
        <v>2</v>
      </c>
      <c r="D59" s="178" t="s">
        <v>184</v>
      </c>
      <c r="E59" s="164" t="s">
        <v>188</v>
      </c>
      <c r="F59" s="180">
        <v>315.52</v>
      </c>
      <c r="G59" s="178" t="s">
        <v>242</v>
      </c>
      <c r="H59" s="162">
        <v>44061</v>
      </c>
      <c r="I59" t="s">
        <v>280</v>
      </c>
    </row>
    <row r="60" spans="1:13" x14ac:dyDescent="0.2">
      <c r="A60" s="178" t="s">
        <v>238</v>
      </c>
      <c r="B60" s="179">
        <v>44070</v>
      </c>
      <c r="C60" s="181">
        <v>2</v>
      </c>
      <c r="D60" s="178" t="s">
        <v>185</v>
      </c>
      <c r="E60" s="164" t="s">
        <v>189</v>
      </c>
      <c r="F60" s="180">
        <v>10.85</v>
      </c>
      <c r="G60" s="178" t="s">
        <v>253</v>
      </c>
      <c r="H60" s="162">
        <v>44077</v>
      </c>
      <c r="I60" t="s">
        <v>280</v>
      </c>
    </row>
    <row r="61" spans="1:13" x14ac:dyDescent="0.2">
      <c r="A61" s="178" t="s">
        <v>240</v>
      </c>
      <c r="B61" s="179">
        <v>44070</v>
      </c>
      <c r="C61" s="181">
        <v>2</v>
      </c>
      <c r="D61" s="178" t="s">
        <v>185</v>
      </c>
      <c r="E61" s="164" t="s">
        <v>189</v>
      </c>
      <c r="F61" s="180">
        <v>10</v>
      </c>
      <c r="G61" s="178" t="s">
        <v>253</v>
      </c>
      <c r="H61" s="162">
        <v>44077</v>
      </c>
      <c r="I61" t="s">
        <v>280</v>
      </c>
    </row>
    <row r="62" spans="1:13" x14ac:dyDescent="0.2">
      <c r="A62" s="178" t="s">
        <v>238</v>
      </c>
      <c r="B62" s="179">
        <v>44070</v>
      </c>
      <c r="C62" s="181">
        <v>2</v>
      </c>
      <c r="D62" s="178" t="s">
        <v>184</v>
      </c>
      <c r="E62" s="164" t="s">
        <v>188</v>
      </c>
      <c r="F62" s="180">
        <v>284.33999999999997</v>
      </c>
      <c r="G62" s="178" t="s">
        <v>243</v>
      </c>
      <c r="H62" s="162">
        <v>44077</v>
      </c>
      <c r="I62" t="s">
        <v>280</v>
      </c>
    </row>
    <row r="63" spans="1:13" x14ac:dyDescent="0.2">
      <c r="A63" s="178" t="s">
        <v>239</v>
      </c>
      <c r="B63" s="179">
        <v>44070</v>
      </c>
      <c r="C63" s="181">
        <v>2</v>
      </c>
      <c r="D63" s="178" t="s">
        <v>185</v>
      </c>
      <c r="E63" s="164" t="s">
        <v>189</v>
      </c>
      <c r="F63" s="180">
        <v>10.85</v>
      </c>
      <c r="G63" s="178" t="s">
        <v>254</v>
      </c>
      <c r="H63" s="162">
        <v>44064</v>
      </c>
      <c r="I63" t="s">
        <v>280</v>
      </c>
    </row>
    <row r="64" spans="1:13" x14ac:dyDescent="0.2">
      <c r="A64" s="178" t="s">
        <v>239</v>
      </c>
      <c r="B64" s="179">
        <v>44070</v>
      </c>
      <c r="C64" s="181">
        <v>2</v>
      </c>
      <c r="D64" s="178" t="s">
        <v>185</v>
      </c>
      <c r="E64" s="164" t="s">
        <v>189</v>
      </c>
      <c r="F64" s="180">
        <v>10</v>
      </c>
      <c r="G64" s="178" t="s">
        <v>254</v>
      </c>
      <c r="H64" s="162">
        <v>44064</v>
      </c>
      <c r="I64" t="s">
        <v>280</v>
      </c>
    </row>
    <row r="65" spans="1:13" x14ac:dyDescent="0.2">
      <c r="A65" s="178" t="s">
        <v>239</v>
      </c>
      <c r="B65" s="179">
        <v>44070</v>
      </c>
      <c r="C65" s="181">
        <v>2</v>
      </c>
      <c r="D65" s="178" t="s">
        <v>184</v>
      </c>
      <c r="E65" s="164" t="s">
        <v>188</v>
      </c>
      <c r="F65" s="180">
        <v>635.46</v>
      </c>
      <c r="G65" s="178" t="s">
        <v>245</v>
      </c>
      <c r="H65" s="162">
        <v>44064</v>
      </c>
      <c r="I65" t="s">
        <v>280</v>
      </c>
    </row>
    <row r="66" spans="1:13" x14ac:dyDescent="0.2">
      <c r="A66" s="178" t="s">
        <v>240</v>
      </c>
      <c r="B66" s="179">
        <v>44070</v>
      </c>
      <c r="C66" s="181">
        <v>2</v>
      </c>
      <c r="D66" s="178" t="s">
        <v>185</v>
      </c>
      <c r="E66" s="164" t="s">
        <v>189</v>
      </c>
      <c r="F66" s="180">
        <v>10.85</v>
      </c>
      <c r="G66" s="178" t="s">
        <v>255</v>
      </c>
      <c r="H66" s="162">
        <v>44070</v>
      </c>
      <c r="I66" t="s">
        <v>281</v>
      </c>
      <c r="J66" t="s">
        <v>268</v>
      </c>
      <c r="K66" t="s">
        <v>282</v>
      </c>
    </row>
    <row r="67" spans="1:13" x14ac:dyDescent="0.2">
      <c r="A67" s="178" t="s">
        <v>240</v>
      </c>
      <c r="B67" s="179">
        <v>44070</v>
      </c>
      <c r="C67" s="181">
        <v>2</v>
      </c>
      <c r="D67" s="178" t="s">
        <v>184</v>
      </c>
      <c r="E67" s="164" t="s">
        <v>188</v>
      </c>
      <c r="F67" s="180">
        <v>147.08000000000001</v>
      </c>
      <c r="G67" s="178" t="s">
        <v>246</v>
      </c>
      <c r="H67" s="162">
        <v>44070</v>
      </c>
      <c r="I67" t="s">
        <v>281</v>
      </c>
      <c r="J67" t="s">
        <v>268</v>
      </c>
      <c r="K67" t="s">
        <v>282</v>
      </c>
    </row>
    <row r="68" spans="1:13" x14ac:dyDescent="0.2">
      <c r="A68" s="178" t="s">
        <v>240</v>
      </c>
      <c r="B68" s="179">
        <v>44070</v>
      </c>
      <c r="C68" s="181">
        <v>2</v>
      </c>
      <c r="D68" s="178" t="s">
        <v>184</v>
      </c>
      <c r="E68" s="164" t="s">
        <v>188</v>
      </c>
      <c r="F68" s="180">
        <v>207.86</v>
      </c>
      <c r="G68" s="178" t="s">
        <v>247</v>
      </c>
      <c r="H68" s="162">
        <v>44070</v>
      </c>
      <c r="I68" t="s">
        <v>281</v>
      </c>
      <c r="J68" t="s">
        <v>268</v>
      </c>
      <c r="K68" t="s">
        <v>282</v>
      </c>
    </row>
    <row r="69" spans="1:13" x14ac:dyDescent="0.2">
      <c r="A69" s="178" t="s">
        <v>240</v>
      </c>
      <c r="B69" s="179">
        <v>44070</v>
      </c>
      <c r="C69" s="181">
        <v>2</v>
      </c>
      <c r="D69" s="178" t="s">
        <v>185</v>
      </c>
      <c r="E69" s="164" t="s">
        <v>189</v>
      </c>
      <c r="F69" s="180">
        <v>10</v>
      </c>
      <c r="G69" s="178" t="s">
        <v>256</v>
      </c>
      <c r="H69" s="162">
        <v>44126</v>
      </c>
      <c r="I69" t="s">
        <v>283</v>
      </c>
      <c r="J69" t="s">
        <v>268</v>
      </c>
      <c r="K69" t="s">
        <v>284</v>
      </c>
    </row>
    <row r="70" spans="1:13" x14ac:dyDescent="0.2">
      <c r="A70" s="178" t="s">
        <v>240</v>
      </c>
      <c r="B70" s="179">
        <v>44070</v>
      </c>
      <c r="C70" s="181">
        <v>2</v>
      </c>
      <c r="D70" s="178" t="s">
        <v>185</v>
      </c>
      <c r="E70" s="164" t="s">
        <v>189</v>
      </c>
      <c r="F70" s="180">
        <v>10.85</v>
      </c>
      <c r="G70" s="178" t="s">
        <v>256</v>
      </c>
      <c r="H70" s="162">
        <v>44126</v>
      </c>
      <c r="I70" t="s">
        <v>283</v>
      </c>
      <c r="J70" t="s">
        <v>268</v>
      </c>
      <c r="K70" t="s">
        <v>284</v>
      </c>
    </row>
    <row r="71" spans="1:13" x14ac:dyDescent="0.2">
      <c r="A71" s="178" t="s">
        <v>240</v>
      </c>
      <c r="B71" s="179">
        <v>44070</v>
      </c>
      <c r="C71" s="181">
        <v>2</v>
      </c>
      <c r="D71" s="178" t="s">
        <v>184</v>
      </c>
      <c r="E71" s="164" t="s">
        <v>188</v>
      </c>
      <c r="F71" s="180">
        <v>312.63</v>
      </c>
      <c r="G71" s="178" t="s">
        <v>248</v>
      </c>
      <c r="H71" s="162">
        <v>44126</v>
      </c>
      <c r="I71" t="s">
        <v>283</v>
      </c>
      <c r="J71" t="s">
        <v>268</v>
      </c>
      <c r="K71" t="s">
        <v>284</v>
      </c>
    </row>
    <row r="72" spans="1:13" x14ac:dyDescent="0.2">
      <c r="A72" s="178" t="s">
        <v>240</v>
      </c>
      <c r="B72" s="179">
        <v>44070</v>
      </c>
      <c r="C72" s="181">
        <v>2</v>
      </c>
      <c r="D72" s="178" t="s">
        <v>184</v>
      </c>
      <c r="E72" s="164" t="s">
        <v>188</v>
      </c>
      <c r="F72" s="180">
        <v>48.05</v>
      </c>
      <c r="G72" s="178" t="s">
        <v>249</v>
      </c>
      <c r="H72" s="162">
        <v>44126</v>
      </c>
      <c r="I72" t="s">
        <v>283</v>
      </c>
      <c r="J72" t="s">
        <v>268</v>
      </c>
      <c r="K72" t="s">
        <v>284</v>
      </c>
      <c r="M72" t="s">
        <v>285</v>
      </c>
    </row>
    <row r="73" spans="1:13" x14ac:dyDescent="0.2">
      <c r="A73" s="178" t="s">
        <v>240</v>
      </c>
      <c r="B73" s="179">
        <v>44070</v>
      </c>
      <c r="C73" s="181">
        <v>2</v>
      </c>
      <c r="D73" s="178" t="s">
        <v>184</v>
      </c>
      <c r="E73" s="164" t="s">
        <v>188</v>
      </c>
      <c r="F73" s="180">
        <v>507.54</v>
      </c>
      <c r="G73" s="178" t="s">
        <v>250</v>
      </c>
      <c r="H73" s="162">
        <v>44078</v>
      </c>
      <c r="I73" t="s">
        <v>280</v>
      </c>
    </row>
    <row r="74" spans="1:13" x14ac:dyDescent="0.2">
      <c r="A74" s="178" t="s">
        <v>240</v>
      </c>
      <c r="B74" s="179">
        <v>44070</v>
      </c>
      <c r="C74" s="181">
        <v>2</v>
      </c>
      <c r="D74" s="178" t="s">
        <v>185</v>
      </c>
      <c r="E74" s="164" t="s">
        <v>189</v>
      </c>
      <c r="F74" s="180">
        <v>10.85</v>
      </c>
      <c r="G74" s="178" t="s">
        <v>257</v>
      </c>
      <c r="H74" s="162">
        <v>44097</v>
      </c>
      <c r="I74" t="s">
        <v>559</v>
      </c>
      <c r="J74" t="s">
        <v>268</v>
      </c>
      <c r="K74" t="s">
        <v>269</v>
      </c>
      <c r="M74" t="s">
        <v>558</v>
      </c>
    </row>
    <row r="75" spans="1:13" x14ac:dyDescent="0.2">
      <c r="A75" s="178" t="s">
        <v>240</v>
      </c>
      <c r="B75" s="179">
        <v>44070</v>
      </c>
      <c r="C75" s="181">
        <v>2</v>
      </c>
      <c r="D75" s="178" t="s">
        <v>184</v>
      </c>
      <c r="E75" s="164" t="s">
        <v>188</v>
      </c>
      <c r="F75" s="180">
        <v>314.93</v>
      </c>
      <c r="G75" s="178" t="s">
        <v>251</v>
      </c>
      <c r="H75" s="162">
        <v>44097</v>
      </c>
      <c r="I75" t="s">
        <v>559</v>
      </c>
      <c r="J75" t="s">
        <v>268</v>
      </c>
      <c r="K75" t="s">
        <v>269</v>
      </c>
      <c r="M75" t="s">
        <v>558</v>
      </c>
    </row>
    <row r="76" spans="1:13" x14ac:dyDescent="0.2">
      <c r="A76" s="178" t="s">
        <v>241</v>
      </c>
      <c r="B76" s="179">
        <v>44071</v>
      </c>
      <c r="C76" s="181">
        <v>2</v>
      </c>
      <c r="D76" s="178" t="s">
        <v>186</v>
      </c>
      <c r="E76" s="164" t="s">
        <v>233</v>
      </c>
      <c r="F76" s="180">
        <v>188.03</v>
      </c>
      <c r="G76" s="178" t="s">
        <v>259</v>
      </c>
      <c r="H76" s="162">
        <v>44071</v>
      </c>
      <c r="I76" t="s">
        <v>296</v>
      </c>
      <c r="J76" t="s">
        <v>287</v>
      </c>
      <c r="K76" t="s">
        <v>170</v>
      </c>
      <c r="L76" t="s">
        <v>298</v>
      </c>
      <c r="M76" t="s">
        <v>290</v>
      </c>
    </row>
    <row r="77" spans="1:13" x14ac:dyDescent="0.2">
      <c r="A77" s="178" t="s">
        <v>241</v>
      </c>
      <c r="B77" s="179">
        <v>44071</v>
      </c>
      <c r="C77" s="181">
        <v>2</v>
      </c>
      <c r="D77" s="178" t="s">
        <v>193</v>
      </c>
      <c r="E77" s="164" t="s">
        <v>195</v>
      </c>
      <c r="F77" s="180">
        <v>25.76</v>
      </c>
      <c r="G77" s="178" t="s">
        <v>258</v>
      </c>
      <c r="H77" s="162">
        <v>44071</v>
      </c>
      <c r="I77" t="s">
        <v>297</v>
      </c>
      <c r="J77" t="s">
        <v>286</v>
      </c>
      <c r="K77" t="s">
        <v>170</v>
      </c>
      <c r="M77" t="s">
        <v>289</v>
      </c>
    </row>
    <row r="78" spans="1:13" x14ac:dyDescent="0.2">
      <c r="A78" s="178" t="s">
        <v>317</v>
      </c>
      <c r="B78" s="179">
        <v>44103</v>
      </c>
      <c r="C78" s="181">
        <v>3</v>
      </c>
      <c r="D78" s="178" t="s">
        <v>184</v>
      </c>
      <c r="E78" s="164" t="s">
        <v>188</v>
      </c>
      <c r="F78" s="180">
        <v>-315.52</v>
      </c>
      <c r="G78" s="178" t="s">
        <v>242</v>
      </c>
      <c r="H78" s="162">
        <v>44061</v>
      </c>
      <c r="I78" t="s">
        <v>280</v>
      </c>
    </row>
    <row r="79" spans="1:13" x14ac:dyDescent="0.2">
      <c r="A79" s="178" t="s">
        <v>317</v>
      </c>
      <c r="B79" s="179">
        <v>44103</v>
      </c>
      <c r="C79" s="181">
        <v>3</v>
      </c>
      <c r="D79" s="178" t="s">
        <v>184</v>
      </c>
      <c r="E79" s="164" t="s">
        <v>188</v>
      </c>
      <c r="F79" s="180">
        <v>-284.33999999999997</v>
      </c>
      <c r="G79" s="178" t="s">
        <v>243</v>
      </c>
      <c r="H79" s="162">
        <v>44077</v>
      </c>
      <c r="I79" t="s">
        <v>280</v>
      </c>
    </row>
    <row r="80" spans="1:13" x14ac:dyDescent="0.2">
      <c r="A80" s="178" t="s">
        <v>317</v>
      </c>
      <c r="B80" s="179">
        <v>44103</v>
      </c>
      <c r="C80" s="181">
        <v>3</v>
      </c>
      <c r="D80" s="178" t="s">
        <v>185</v>
      </c>
      <c r="E80" s="164" t="s">
        <v>189</v>
      </c>
      <c r="F80" s="180">
        <v>10</v>
      </c>
      <c r="G80" s="178" t="s">
        <v>254</v>
      </c>
      <c r="H80" s="162">
        <v>44064</v>
      </c>
      <c r="I80" t="s">
        <v>280</v>
      </c>
    </row>
    <row r="81" spans="1:13" x14ac:dyDescent="0.2">
      <c r="A81" s="178" t="s">
        <v>317</v>
      </c>
      <c r="B81" s="179">
        <v>44103</v>
      </c>
      <c r="C81" s="181">
        <v>3</v>
      </c>
      <c r="D81" s="178" t="s">
        <v>184</v>
      </c>
      <c r="E81" s="164" t="s">
        <v>188</v>
      </c>
      <c r="F81" s="180">
        <v>-635.46</v>
      </c>
      <c r="G81" s="178" t="s">
        <v>245</v>
      </c>
      <c r="H81" s="162">
        <v>44064</v>
      </c>
      <c r="I81" t="s">
        <v>280</v>
      </c>
    </row>
    <row r="82" spans="1:13" x14ac:dyDescent="0.2">
      <c r="A82" s="178" t="s">
        <v>317</v>
      </c>
      <c r="B82" s="179">
        <v>44103</v>
      </c>
      <c r="C82" s="181">
        <v>3</v>
      </c>
      <c r="D82" s="178" t="s">
        <v>185</v>
      </c>
      <c r="E82" s="164" t="s">
        <v>189</v>
      </c>
      <c r="F82" s="180">
        <v>10</v>
      </c>
      <c r="G82" s="178" t="s">
        <v>256</v>
      </c>
      <c r="H82" s="162">
        <v>44126</v>
      </c>
      <c r="I82" t="s">
        <v>283</v>
      </c>
      <c r="J82" t="s">
        <v>268</v>
      </c>
      <c r="K82" t="s">
        <v>284</v>
      </c>
    </row>
    <row r="83" spans="1:13" x14ac:dyDescent="0.2">
      <c r="A83" s="178" t="s">
        <v>318</v>
      </c>
      <c r="B83" s="179">
        <v>44103</v>
      </c>
      <c r="C83" s="181">
        <v>3</v>
      </c>
      <c r="D83" s="178" t="s">
        <v>185</v>
      </c>
      <c r="E83" s="164" t="s">
        <v>189</v>
      </c>
      <c r="F83" s="180">
        <v>10</v>
      </c>
      <c r="G83" s="178" t="s">
        <v>256</v>
      </c>
      <c r="H83" s="162">
        <v>44126</v>
      </c>
      <c r="I83" t="s">
        <v>283</v>
      </c>
      <c r="J83" t="s">
        <v>268</v>
      </c>
      <c r="K83" t="s">
        <v>284</v>
      </c>
    </row>
    <row r="84" spans="1:13" x14ac:dyDescent="0.2">
      <c r="A84" s="178" t="s">
        <v>317</v>
      </c>
      <c r="B84" s="179">
        <v>44103</v>
      </c>
      <c r="C84" s="181">
        <v>3</v>
      </c>
      <c r="D84" s="178" t="s">
        <v>185</v>
      </c>
      <c r="E84" s="164" t="s">
        <v>189</v>
      </c>
      <c r="F84" s="180">
        <v>23.45</v>
      </c>
      <c r="G84" s="178" t="s">
        <v>328</v>
      </c>
      <c r="H84" s="162">
        <v>44078</v>
      </c>
      <c r="I84" t="s">
        <v>280</v>
      </c>
    </row>
    <row r="85" spans="1:13" x14ac:dyDescent="0.2">
      <c r="A85" s="178" t="s">
        <v>317</v>
      </c>
      <c r="B85" s="179">
        <v>44103</v>
      </c>
      <c r="C85" s="181">
        <v>3</v>
      </c>
      <c r="D85" s="178" t="s">
        <v>185</v>
      </c>
      <c r="E85" s="164" t="s">
        <v>189</v>
      </c>
      <c r="F85" s="180">
        <v>10</v>
      </c>
      <c r="G85" s="178" t="s">
        <v>328</v>
      </c>
      <c r="H85" s="162">
        <v>44078</v>
      </c>
      <c r="I85" t="s">
        <v>280</v>
      </c>
    </row>
    <row r="86" spans="1:13" x14ac:dyDescent="0.2">
      <c r="A86" s="178" t="s">
        <v>317</v>
      </c>
      <c r="B86" s="179">
        <v>44103</v>
      </c>
      <c r="C86" s="181">
        <v>3</v>
      </c>
      <c r="D86" s="178" t="s">
        <v>184</v>
      </c>
      <c r="E86" s="164" t="s">
        <v>188</v>
      </c>
      <c r="F86" s="180">
        <v>-507.54</v>
      </c>
      <c r="G86" s="178" t="s">
        <v>250</v>
      </c>
      <c r="H86" s="162">
        <v>44078</v>
      </c>
      <c r="I86" t="s">
        <v>280</v>
      </c>
    </row>
    <row r="87" spans="1:13" x14ac:dyDescent="0.2">
      <c r="A87" s="178" t="s">
        <v>317</v>
      </c>
      <c r="B87" s="179">
        <v>44103</v>
      </c>
      <c r="C87" s="181">
        <v>3</v>
      </c>
      <c r="D87" s="178" t="s">
        <v>185</v>
      </c>
      <c r="E87" s="164" t="s">
        <v>189</v>
      </c>
      <c r="F87" s="180">
        <v>10</v>
      </c>
      <c r="G87" s="178" t="s">
        <v>257</v>
      </c>
      <c r="H87" s="162">
        <v>44097</v>
      </c>
      <c r="I87" t="s">
        <v>559</v>
      </c>
      <c r="J87" t="s">
        <v>268</v>
      </c>
      <c r="K87" t="s">
        <v>269</v>
      </c>
      <c r="M87" t="s">
        <v>558</v>
      </c>
    </row>
    <row r="88" spans="1:13" x14ac:dyDescent="0.2">
      <c r="A88" s="178" t="s">
        <v>317</v>
      </c>
      <c r="B88" s="179">
        <v>44103</v>
      </c>
      <c r="C88" s="181">
        <v>3</v>
      </c>
      <c r="D88" s="178" t="s">
        <v>185</v>
      </c>
      <c r="E88" s="164" t="s">
        <v>189</v>
      </c>
      <c r="F88" s="180">
        <v>10</v>
      </c>
      <c r="G88" s="178" t="s">
        <v>257</v>
      </c>
      <c r="H88" s="162">
        <v>44097</v>
      </c>
      <c r="I88" t="s">
        <v>559</v>
      </c>
      <c r="J88" t="s">
        <v>268</v>
      </c>
      <c r="K88" t="s">
        <v>269</v>
      </c>
      <c r="M88" t="s">
        <v>558</v>
      </c>
    </row>
    <row r="89" spans="1:13" x14ac:dyDescent="0.2">
      <c r="A89" s="178" t="s">
        <v>317</v>
      </c>
      <c r="B89" s="179">
        <v>44103</v>
      </c>
      <c r="C89" s="181">
        <v>3</v>
      </c>
      <c r="D89" s="178" t="s">
        <v>184</v>
      </c>
      <c r="E89" s="164" t="s">
        <v>188</v>
      </c>
      <c r="F89" s="180">
        <v>118.88</v>
      </c>
      <c r="G89" s="178" t="s">
        <v>251</v>
      </c>
      <c r="H89" s="162">
        <v>44097</v>
      </c>
      <c r="I89" t="s">
        <v>559</v>
      </c>
      <c r="J89" t="s">
        <v>268</v>
      </c>
      <c r="K89" t="s">
        <v>269</v>
      </c>
      <c r="M89" t="s">
        <v>558</v>
      </c>
    </row>
    <row r="90" spans="1:13" x14ac:dyDescent="0.2">
      <c r="A90" s="178" t="s">
        <v>318</v>
      </c>
      <c r="B90" s="179">
        <v>44103</v>
      </c>
      <c r="C90" s="181">
        <v>3</v>
      </c>
      <c r="D90" s="178" t="s">
        <v>185</v>
      </c>
      <c r="E90" s="164" t="s">
        <v>189</v>
      </c>
      <c r="F90" s="180">
        <v>10</v>
      </c>
      <c r="G90" s="178" t="s">
        <v>338</v>
      </c>
      <c r="H90" s="162">
        <v>44099</v>
      </c>
      <c r="I90" t="s">
        <v>367</v>
      </c>
      <c r="J90" t="s">
        <v>268</v>
      </c>
      <c r="K90" t="s">
        <v>269</v>
      </c>
    </row>
    <row r="91" spans="1:13" x14ac:dyDescent="0.2">
      <c r="A91" s="178" t="s">
        <v>318</v>
      </c>
      <c r="B91" s="179">
        <v>44103</v>
      </c>
      <c r="C91" s="181">
        <v>3</v>
      </c>
      <c r="D91" s="178" t="s">
        <v>184</v>
      </c>
      <c r="E91" s="164" t="s">
        <v>188</v>
      </c>
      <c r="F91" s="180">
        <v>103.05</v>
      </c>
      <c r="G91" s="178" t="s">
        <v>315</v>
      </c>
      <c r="H91" s="162">
        <v>44099</v>
      </c>
      <c r="I91" t="s">
        <v>367</v>
      </c>
      <c r="J91" t="s">
        <v>268</v>
      </c>
      <c r="K91" t="s">
        <v>269</v>
      </c>
    </row>
    <row r="92" spans="1:13" x14ac:dyDescent="0.2">
      <c r="A92" s="178" t="s">
        <v>317</v>
      </c>
      <c r="B92" s="179">
        <v>44103</v>
      </c>
      <c r="C92" s="181">
        <v>3</v>
      </c>
      <c r="D92" s="178" t="s">
        <v>185</v>
      </c>
      <c r="E92" s="164" t="s">
        <v>189</v>
      </c>
      <c r="F92" s="180">
        <v>10.85</v>
      </c>
      <c r="G92" s="178" t="s">
        <v>329</v>
      </c>
      <c r="H92" s="162">
        <v>44085</v>
      </c>
      <c r="I92" t="s">
        <v>358</v>
      </c>
      <c r="J92" t="s">
        <v>268</v>
      </c>
      <c r="K92" t="s">
        <v>359</v>
      </c>
      <c r="M92" t="s">
        <v>560</v>
      </c>
    </row>
    <row r="93" spans="1:13" x14ac:dyDescent="0.2">
      <c r="A93" s="178" t="s">
        <v>317</v>
      </c>
      <c r="B93" s="179">
        <v>44103</v>
      </c>
      <c r="C93" s="181">
        <v>3</v>
      </c>
      <c r="D93" s="178" t="s">
        <v>184</v>
      </c>
      <c r="E93" s="164" t="s">
        <v>188</v>
      </c>
      <c r="F93" s="180">
        <v>552.5</v>
      </c>
      <c r="G93" s="178" t="s">
        <v>307</v>
      </c>
      <c r="H93" s="162">
        <v>44085</v>
      </c>
      <c r="I93" t="s">
        <v>358</v>
      </c>
      <c r="J93" t="s">
        <v>268</v>
      </c>
      <c r="K93" t="s">
        <v>359</v>
      </c>
      <c r="M93" t="s">
        <v>560</v>
      </c>
    </row>
    <row r="94" spans="1:13" x14ac:dyDescent="0.2">
      <c r="A94" s="178" t="s">
        <v>317</v>
      </c>
      <c r="B94" s="179">
        <v>44103</v>
      </c>
      <c r="C94" s="181">
        <v>3</v>
      </c>
      <c r="D94" s="178" t="s">
        <v>185</v>
      </c>
      <c r="E94" s="164" t="s">
        <v>189</v>
      </c>
      <c r="F94" s="180">
        <v>10.85</v>
      </c>
      <c r="G94" s="178" t="s">
        <v>330</v>
      </c>
      <c r="H94" s="162">
        <v>44085</v>
      </c>
      <c r="I94" t="s">
        <v>358</v>
      </c>
      <c r="J94" t="s">
        <v>268</v>
      </c>
      <c r="K94" t="s">
        <v>359</v>
      </c>
      <c r="M94" t="s">
        <v>560</v>
      </c>
    </row>
    <row r="95" spans="1:13" x14ac:dyDescent="0.2">
      <c r="A95" s="178" t="s">
        <v>317</v>
      </c>
      <c r="B95" s="179">
        <v>44103</v>
      </c>
      <c r="C95" s="181">
        <v>3</v>
      </c>
      <c r="D95" s="178" t="s">
        <v>185</v>
      </c>
      <c r="E95" s="164" t="s">
        <v>189</v>
      </c>
      <c r="F95" s="180">
        <v>10</v>
      </c>
      <c r="G95" s="178" t="s">
        <v>330</v>
      </c>
      <c r="H95" s="162">
        <v>44085</v>
      </c>
      <c r="I95" t="s">
        <v>358</v>
      </c>
      <c r="J95" t="s">
        <v>268</v>
      </c>
      <c r="K95" t="s">
        <v>359</v>
      </c>
      <c r="M95" t="s">
        <v>560</v>
      </c>
    </row>
    <row r="96" spans="1:13" x14ac:dyDescent="0.2">
      <c r="A96" s="178" t="s">
        <v>317</v>
      </c>
      <c r="B96" s="179">
        <v>44103</v>
      </c>
      <c r="C96" s="181">
        <v>3</v>
      </c>
      <c r="D96" s="178" t="s">
        <v>185</v>
      </c>
      <c r="E96" s="164" t="s">
        <v>189</v>
      </c>
      <c r="F96" s="180">
        <v>10</v>
      </c>
      <c r="G96" s="178" t="s">
        <v>330</v>
      </c>
      <c r="H96" s="162">
        <v>44085</v>
      </c>
      <c r="I96" t="s">
        <v>358</v>
      </c>
      <c r="J96" t="s">
        <v>268</v>
      </c>
      <c r="K96" t="s">
        <v>359</v>
      </c>
      <c r="M96" t="s">
        <v>560</v>
      </c>
    </row>
    <row r="97" spans="1:13" x14ac:dyDescent="0.2">
      <c r="A97" s="178" t="s">
        <v>317</v>
      </c>
      <c r="B97" s="179">
        <v>44103</v>
      </c>
      <c r="C97" s="181">
        <v>3</v>
      </c>
      <c r="D97" s="178" t="s">
        <v>184</v>
      </c>
      <c r="E97" s="164" t="s">
        <v>188</v>
      </c>
      <c r="F97" s="180">
        <v>415.38</v>
      </c>
      <c r="G97" s="178" t="s">
        <v>308</v>
      </c>
      <c r="H97" s="162">
        <v>44085</v>
      </c>
      <c r="I97" t="s">
        <v>358</v>
      </c>
      <c r="J97" t="s">
        <v>268</v>
      </c>
      <c r="K97" t="s">
        <v>359</v>
      </c>
      <c r="M97" t="s">
        <v>560</v>
      </c>
    </row>
    <row r="98" spans="1:13" x14ac:dyDescent="0.2">
      <c r="A98" s="178" t="s">
        <v>317</v>
      </c>
      <c r="B98" s="179">
        <v>44103</v>
      </c>
      <c r="C98" s="181">
        <v>3</v>
      </c>
      <c r="D98" s="178" t="s">
        <v>185</v>
      </c>
      <c r="E98" s="164" t="s">
        <v>189</v>
      </c>
      <c r="F98" s="180">
        <v>10.85</v>
      </c>
      <c r="G98" s="178" t="s">
        <v>331</v>
      </c>
      <c r="H98" s="162">
        <v>44180</v>
      </c>
      <c r="I98" t="s">
        <v>561</v>
      </c>
      <c r="J98" t="s">
        <v>268</v>
      </c>
      <c r="K98" t="s">
        <v>361</v>
      </c>
      <c r="M98" t="s">
        <v>562</v>
      </c>
    </row>
    <row r="99" spans="1:13" x14ac:dyDescent="0.2">
      <c r="A99" s="178" t="s">
        <v>317</v>
      </c>
      <c r="B99" s="179">
        <v>44103</v>
      </c>
      <c r="C99" s="181">
        <v>3</v>
      </c>
      <c r="D99" s="178" t="s">
        <v>184</v>
      </c>
      <c r="E99" s="164" t="s">
        <v>188</v>
      </c>
      <c r="F99" s="180">
        <v>218.34</v>
      </c>
      <c r="G99" s="178" t="s">
        <v>309</v>
      </c>
      <c r="H99" s="162">
        <v>44180</v>
      </c>
      <c r="I99" t="s">
        <v>360</v>
      </c>
      <c r="J99" t="s">
        <v>268</v>
      </c>
      <c r="K99" t="s">
        <v>361</v>
      </c>
      <c r="M99" t="s">
        <v>562</v>
      </c>
    </row>
    <row r="100" spans="1:13" x14ac:dyDescent="0.2">
      <c r="A100" s="178" t="s">
        <v>317</v>
      </c>
      <c r="B100" s="179">
        <v>44103</v>
      </c>
      <c r="C100" s="181">
        <v>3</v>
      </c>
      <c r="D100" s="178" t="s">
        <v>185</v>
      </c>
      <c r="E100" s="164" t="s">
        <v>189</v>
      </c>
      <c r="F100" s="180">
        <v>10</v>
      </c>
      <c r="G100" s="178" t="s">
        <v>332</v>
      </c>
      <c r="H100" s="162">
        <v>44181</v>
      </c>
      <c r="I100" t="s">
        <v>360</v>
      </c>
      <c r="J100" t="s">
        <v>268</v>
      </c>
      <c r="K100" t="s">
        <v>361</v>
      </c>
      <c r="M100" t="s">
        <v>562</v>
      </c>
    </row>
    <row r="101" spans="1:13" x14ac:dyDescent="0.2">
      <c r="A101" s="178" t="s">
        <v>317</v>
      </c>
      <c r="B101" s="179">
        <v>44103</v>
      </c>
      <c r="C101" s="181">
        <v>3</v>
      </c>
      <c r="D101" s="178" t="s">
        <v>185</v>
      </c>
      <c r="E101" s="164" t="s">
        <v>189</v>
      </c>
      <c r="F101" s="180">
        <v>10.85</v>
      </c>
      <c r="G101" s="178" t="s">
        <v>333</v>
      </c>
      <c r="H101" s="162">
        <v>44154</v>
      </c>
      <c r="I101" t="s">
        <v>362</v>
      </c>
      <c r="J101" t="s">
        <v>268</v>
      </c>
      <c r="K101" t="s">
        <v>359</v>
      </c>
    </row>
    <row r="102" spans="1:13" x14ac:dyDescent="0.2">
      <c r="A102" s="178" t="s">
        <v>317</v>
      </c>
      <c r="B102" s="179">
        <v>44103</v>
      </c>
      <c r="C102" s="181">
        <v>3</v>
      </c>
      <c r="D102" s="178" t="s">
        <v>184</v>
      </c>
      <c r="E102" s="164" t="s">
        <v>188</v>
      </c>
      <c r="F102" s="180">
        <v>594.04999999999995</v>
      </c>
      <c r="G102" s="178" t="s">
        <v>310</v>
      </c>
      <c r="H102" s="162">
        <v>44154</v>
      </c>
      <c r="I102" t="s">
        <v>362</v>
      </c>
      <c r="J102" t="s">
        <v>268</v>
      </c>
      <c r="K102" t="s">
        <v>359</v>
      </c>
    </row>
    <row r="103" spans="1:13" x14ac:dyDescent="0.2">
      <c r="A103" s="178" t="s">
        <v>317</v>
      </c>
      <c r="B103" s="179">
        <v>44103</v>
      </c>
      <c r="C103" s="181">
        <v>3</v>
      </c>
      <c r="D103" s="178" t="s">
        <v>185</v>
      </c>
      <c r="E103" s="164" t="s">
        <v>189</v>
      </c>
      <c r="F103" s="180">
        <v>10.85</v>
      </c>
      <c r="G103" s="178" t="s">
        <v>334</v>
      </c>
      <c r="H103" s="162">
        <v>44092</v>
      </c>
      <c r="I103" t="s">
        <v>363</v>
      </c>
      <c r="J103" t="s">
        <v>268</v>
      </c>
      <c r="K103" t="s">
        <v>364</v>
      </c>
    </row>
    <row r="104" spans="1:13" x14ac:dyDescent="0.2">
      <c r="A104" s="178" t="s">
        <v>317</v>
      </c>
      <c r="B104" s="179">
        <v>44103</v>
      </c>
      <c r="C104" s="181">
        <v>3</v>
      </c>
      <c r="D104" s="178" t="s">
        <v>185</v>
      </c>
      <c r="E104" s="164" t="s">
        <v>189</v>
      </c>
      <c r="F104" s="180">
        <v>10</v>
      </c>
      <c r="G104" s="178" t="s">
        <v>334</v>
      </c>
      <c r="H104" s="162">
        <v>44092</v>
      </c>
      <c r="I104" t="s">
        <v>363</v>
      </c>
      <c r="J104" t="s">
        <v>268</v>
      </c>
      <c r="K104" t="s">
        <v>364</v>
      </c>
    </row>
    <row r="105" spans="1:13" x14ac:dyDescent="0.2">
      <c r="A105" s="178" t="s">
        <v>317</v>
      </c>
      <c r="B105" s="179">
        <v>44103</v>
      </c>
      <c r="C105" s="181">
        <v>3</v>
      </c>
      <c r="D105" s="178" t="s">
        <v>184</v>
      </c>
      <c r="E105" s="164" t="s">
        <v>188</v>
      </c>
      <c r="F105" s="180">
        <v>294.16000000000003</v>
      </c>
      <c r="G105" s="178" t="s">
        <v>311</v>
      </c>
      <c r="H105" s="162">
        <v>44092</v>
      </c>
      <c r="I105" t="s">
        <v>363</v>
      </c>
      <c r="J105" t="s">
        <v>268</v>
      </c>
      <c r="K105" t="s">
        <v>364</v>
      </c>
    </row>
    <row r="106" spans="1:13" x14ac:dyDescent="0.2">
      <c r="A106" s="178" t="s">
        <v>317</v>
      </c>
      <c r="B106" s="179">
        <v>44103</v>
      </c>
      <c r="C106" s="181">
        <v>3</v>
      </c>
      <c r="D106" s="178" t="s">
        <v>185</v>
      </c>
      <c r="E106" s="164" t="s">
        <v>189</v>
      </c>
      <c r="F106" s="180">
        <v>29.75</v>
      </c>
      <c r="G106" s="178" t="s">
        <v>335</v>
      </c>
      <c r="H106" s="162">
        <v>44092</v>
      </c>
      <c r="I106" t="s">
        <v>363</v>
      </c>
      <c r="J106" t="s">
        <v>268</v>
      </c>
      <c r="K106" t="s">
        <v>364</v>
      </c>
    </row>
    <row r="107" spans="1:13" x14ac:dyDescent="0.2">
      <c r="A107" s="178" t="s">
        <v>317</v>
      </c>
      <c r="B107" s="179">
        <v>44103</v>
      </c>
      <c r="C107" s="181">
        <v>3</v>
      </c>
      <c r="D107" s="178" t="s">
        <v>184</v>
      </c>
      <c r="E107" s="164" t="s">
        <v>188</v>
      </c>
      <c r="F107" s="180">
        <v>436.68</v>
      </c>
      <c r="G107" s="178" t="s">
        <v>312</v>
      </c>
      <c r="H107" s="162">
        <v>44092</v>
      </c>
      <c r="I107" t="s">
        <v>363</v>
      </c>
      <c r="J107" t="s">
        <v>268</v>
      </c>
      <c r="K107" t="s">
        <v>364</v>
      </c>
    </row>
    <row r="108" spans="1:13" x14ac:dyDescent="0.2">
      <c r="A108" s="178" t="s">
        <v>317</v>
      </c>
      <c r="B108" s="179">
        <v>44103</v>
      </c>
      <c r="C108" s="181">
        <v>3</v>
      </c>
      <c r="D108" s="178" t="s">
        <v>185</v>
      </c>
      <c r="E108" s="164" t="s">
        <v>189</v>
      </c>
      <c r="F108" s="180">
        <v>29.75</v>
      </c>
      <c r="G108" s="178" t="s">
        <v>336</v>
      </c>
      <c r="H108" s="162">
        <v>44092</v>
      </c>
      <c r="I108" t="s">
        <v>363</v>
      </c>
      <c r="J108" t="s">
        <v>268</v>
      </c>
      <c r="K108" t="s">
        <v>364</v>
      </c>
    </row>
    <row r="109" spans="1:13" x14ac:dyDescent="0.2">
      <c r="A109" s="178" t="s">
        <v>318</v>
      </c>
      <c r="B109" s="179">
        <v>44103</v>
      </c>
      <c r="C109" s="181">
        <v>3</v>
      </c>
      <c r="D109" s="178" t="s">
        <v>185</v>
      </c>
      <c r="E109" s="164" t="s">
        <v>189</v>
      </c>
      <c r="F109" s="180">
        <v>10</v>
      </c>
      <c r="G109" s="178" t="s">
        <v>336</v>
      </c>
      <c r="H109" s="162">
        <v>44092</v>
      </c>
      <c r="I109" t="s">
        <v>363</v>
      </c>
      <c r="J109" t="s">
        <v>268</v>
      </c>
      <c r="K109" t="s">
        <v>364</v>
      </c>
    </row>
    <row r="110" spans="1:13" x14ac:dyDescent="0.2">
      <c r="A110" s="178" t="s">
        <v>318</v>
      </c>
      <c r="B110" s="179">
        <v>44103</v>
      </c>
      <c r="C110" s="181">
        <v>3</v>
      </c>
      <c r="D110" s="178" t="s">
        <v>185</v>
      </c>
      <c r="E110" s="164" t="s">
        <v>189</v>
      </c>
      <c r="F110" s="180">
        <v>10</v>
      </c>
      <c r="G110" s="178" t="s">
        <v>336</v>
      </c>
      <c r="H110" s="162">
        <v>44092</v>
      </c>
      <c r="I110" t="s">
        <v>363</v>
      </c>
      <c r="J110" t="s">
        <v>268</v>
      </c>
      <c r="K110" t="s">
        <v>364</v>
      </c>
    </row>
    <row r="111" spans="1:13" x14ac:dyDescent="0.2">
      <c r="A111" s="178" t="s">
        <v>318</v>
      </c>
      <c r="B111" s="179">
        <v>44103</v>
      </c>
      <c r="C111" s="181">
        <v>3</v>
      </c>
      <c r="D111" s="178" t="s">
        <v>185</v>
      </c>
      <c r="E111" s="164" t="s">
        <v>189</v>
      </c>
      <c r="F111" s="180">
        <v>30</v>
      </c>
      <c r="G111" s="178" t="s">
        <v>336</v>
      </c>
      <c r="H111" s="162">
        <v>44092</v>
      </c>
      <c r="I111" t="s">
        <v>363</v>
      </c>
      <c r="J111" t="s">
        <v>268</v>
      </c>
      <c r="K111" t="s">
        <v>364</v>
      </c>
    </row>
    <row r="112" spans="1:13" x14ac:dyDescent="0.2">
      <c r="A112" s="178" t="s">
        <v>321</v>
      </c>
      <c r="B112" s="179">
        <v>44103</v>
      </c>
      <c r="C112" s="181">
        <v>3</v>
      </c>
      <c r="D112" s="178" t="s">
        <v>185</v>
      </c>
      <c r="E112" s="164" t="s">
        <v>189</v>
      </c>
      <c r="F112" s="180">
        <v>0.5</v>
      </c>
      <c r="G112" s="178" t="s">
        <v>336</v>
      </c>
      <c r="H112" s="162">
        <v>44092</v>
      </c>
      <c r="I112" t="s">
        <v>363</v>
      </c>
      <c r="J112" t="s">
        <v>268</v>
      </c>
      <c r="K112" t="s">
        <v>364</v>
      </c>
    </row>
    <row r="113" spans="1:13" x14ac:dyDescent="0.2">
      <c r="A113" s="178" t="s">
        <v>322</v>
      </c>
      <c r="B113" s="179">
        <v>44103</v>
      </c>
      <c r="C113" s="181">
        <v>3</v>
      </c>
      <c r="D113" s="178" t="s">
        <v>185</v>
      </c>
      <c r="E113" s="164" t="s">
        <v>189</v>
      </c>
      <c r="F113" s="180">
        <v>0.5</v>
      </c>
      <c r="G113" s="178" t="s">
        <v>336</v>
      </c>
      <c r="H113" s="162">
        <v>44092</v>
      </c>
      <c r="I113" t="s">
        <v>363</v>
      </c>
      <c r="J113" t="s">
        <v>268</v>
      </c>
      <c r="K113" t="s">
        <v>364</v>
      </c>
    </row>
    <row r="114" spans="1:13" x14ac:dyDescent="0.2">
      <c r="A114" s="178" t="s">
        <v>318</v>
      </c>
      <c r="B114" s="179">
        <v>44103</v>
      </c>
      <c r="C114" s="181">
        <v>3</v>
      </c>
      <c r="D114" s="178" t="s">
        <v>185</v>
      </c>
      <c r="E114" s="164" t="s">
        <v>189</v>
      </c>
      <c r="F114" s="180">
        <v>7.5</v>
      </c>
      <c r="G114" s="178" t="s">
        <v>339</v>
      </c>
      <c r="H114" s="162">
        <v>44092</v>
      </c>
      <c r="I114" t="s">
        <v>363</v>
      </c>
      <c r="J114" t="s">
        <v>268</v>
      </c>
      <c r="K114" t="s">
        <v>364</v>
      </c>
    </row>
    <row r="115" spans="1:13" x14ac:dyDescent="0.2">
      <c r="A115" s="178" t="s">
        <v>321</v>
      </c>
      <c r="B115" s="179">
        <v>44103</v>
      </c>
      <c r="C115" s="181">
        <v>3</v>
      </c>
      <c r="D115" s="178" t="s">
        <v>185</v>
      </c>
      <c r="E115" s="164" t="s">
        <v>189</v>
      </c>
      <c r="F115" s="180">
        <v>7.5</v>
      </c>
      <c r="G115" s="178" t="s">
        <v>339</v>
      </c>
      <c r="H115" s="162">
        <v>44092</v>
      </c>
      <c r="I115" t="s">
        <v>363</v>
      </c>
      <c r="J115" t="s">
        <v>268</v>
      </c>
      <c r="K115" t="s">
        <v>364</v>
      </c>
    </row>
    <row r="116" spans="1:13" x14ac:dyDescent="0.2">
      <c r="A116" s="178" t="s">
        <v>321</v>
      </c>
      <c r="B116" s="179">
        <v>44103</v>
      </c>
      <c r="C116" s="181">
        <v>3</v>
      </c>
      <c r="D116" s="178" t="s">
        <v>185</v>
      </c>
      <c r="E116" s="164" t="s">
        <v>189</v>
      </c>
      <c r="F116" s="180">
        <v>2.0699999999999998</v>
      </c>
      <c r="G116" s="178" t="s">
        <v>342</v>
      </c>
      <c r="H116" s="162">
        <v>44092</v>
      </c>
      <c r="I116" t="s">
        <v>363</v>
      </c>
      <c r="J116" t="s">
        <v>268</v>
      </c>
      <c r="K116" t="s">
        <v>364</v>
      </c>
    </row>
    <row r="117" spans="1:13" x14ac:dyDescent="0.2">
      <c r="A117" s="178" t="s">
        <v>318</v>
      </c>
      <c r="B117" s="179">
        <v>44103</v>
      </c>
      <c r="C117" s="181">
        <v>3</v>
      </c>
      <c r="D117" s="178" t="s">
        <v>185</v>
      </c>
      <c r="E117" s="164" t="s">
        <v>189</v>
      </c>
      <c r="F117" s="180">
        <v>98.26</v>
      </c>
      <c r="G117" s="178" t="s">
        <v>340</v>
      </c>
      <c r="H117" s="162">
        <v>44092</v>
      </c>
      <c r="I117" t="s">
        <v>363</v>
      </c>
      <c r="J117" t="s">
        <v>268</v>
      </c>
      <c r="K117" t="s">
        <v>364</v>
      </c>
    </row>
    <row r="118" spans="1:13" x14ac:dyDescent="0.2">
      <c r="A118" s="178" t="s">
        <v>317</v>
      </c>
      <c r="B118" s="179">
        <v>44103</v>
      </c>
      <c r="C118" s="181">
        <v>3</v>
      </c>
      <c r="D118" s="178" t="s">
        <v>184</v>
      </c>
      <c r="E118" s="164" t="s">
        <v>188</v>
      </c>
      <c r="F118" s="180">
        <v>436.68</v>
      </c>
      <c r="G118" s="178" t="s">
        <v>313</v>
      </c>
      <c r="H118" s="162">
        <v>44092</v>
      </c>
      <c r="I118" t="s">
        <v>363</v>
      </c>
      <c r="J118" t="s">
        <v>268</v>
      </c>
      <c r="K118" t="s">
        <v>364</v>
      </c>
    </row>
    <row r="119" spans="1:13" x14ac:dyDescent="0.2">
      <c r="A119" s="178" t="s">
        <v>318</v>
      </c>
      <c r="B119" s="179">
        <v>44103</v>
      </c>
      <c r="C119" s="181">
        <v>3</v>
      </c>
      <c r="D119" s="178" t="s">
        <v>184</v>
      </c>
      <c r="E119" s="164" t="s">
        <v>188</v>
      </c>
      <c r="F119" s="180">
        <v>24.26</v>
      </c>
      <c r="G119" s="178" t="s">
        <v>313</v>
      </c>
      <c r="H119" s="162">
        <v>44092</v>
      </c>
      <c r="I119" t="s">
        <v>363</v>
      </c>
      <c r="J119" t="s">
        <v>268</v>
      </c>
      <c r="K119" t="s">
        <v>364</v>
      </c>
    </row>
    <row r="120" spans="1:13" x14ac:dyDescent="0.2">
      <c r="A120" s="178" t="s">
        <v>321</v>
      </c>
      <c r="B120" s="179">
        <v>44103</v>
      </c>
      <c r="C120" s="181">
        <v>3</v>
      </c>
      <c r="D120" s="178" t="s">
        <v>185</v>
      </c>
      <c r="E120" s="164" t="s">
        <v>189</v>
      </c>
      <c r="F120" s="180">
        <v>138</v>
      </c>
      <c r="G120" s="178" t="s">
        <v>343</v>
      </c>
      <c r="H120" s="162">
        <v>44092</v>
      </c>
      <c r="I120" t="s">
        <v>363</v>
      </c>
      <c r="J120" t="s">
        <v>268</v>
      </c>
      <c r="K120" t="s">
        <v>364</v>
      </c>
    </row>
    <row r="121" spans="1:13" x14ac:dyDescent="0.2">
      <c r="A121" s="178" t="s">
        <v>317</v>
      </c>
      <c r="B121" s="179">
        <v>44103</v>
      </c>
      <c r="C121" s="181">
        <v>3</v>
      </c>
      <c r="D121" s="178" t="s">
        <v>185</v>
      </c>
      <c r="E121" s="164" t="s">
        <v>189</v>
      </c>
      <c r="F121" s="180">
        <v>10.85</v>
      </c>
      <c r="G121" s="178" t="s">
        <v>337</v>
      </c>
      <c r="H121" s="162">
        <v>44106</v>
      </c>
      <c r="I121" t="s">
        <v>365</v>
      </c>
      <c r="J121" t="s">
        <v>268</v>
      </c>
      <c r="K121" t="s">
        <v>366</v>
      </c>
    </row>
    <row r="122" spans="1:13" x14ac:dyDescent="0.2">
      <c r="A122" s="178" t="s">
        <v>317</v>
      </c>
      <c r="B122" s="179">
        <v>44103</v>
      </c>
      <c r="C122" s="181">
        <v>3</v>
      </c>
      <c r="D122" s="178" t="s">
        <v>184</v>
      </c>
      <c r="E122" s="164" t="s">
        <v>188</v>
      </c>
      <c r="F122" s="180">
        <v>282.14</v>
      </c>
      <c r="G122" s="178" t="s">
        <v>314</v>
      </c>
      <c r="H122" s="162">
        <v>44106</v>
      </c>
      <c r="I122" t="s">
        <v>365</v>
      </c>
      <c r="J122" t="s">
        <v>268</v>
      </c>
      <c r="K122" t="s">
        <v>366</v>
      </c>
    </row>
    <row r="123" spans="1:13" x14ac:dyDescent="0.2">
      <c r="A123" s="178" t="s">
        <v>318</v>
      </c>
      <c r="B123" s="179">
        <v>44103</v>
      </c>
      <c r="C123" s="181">
        <v>3</v>
      </c>
      <c r="D123" s="178" t="s">
        <v>185</v>
      </c>
      <c r="E123" s="164" t="s">
        <v>189</v>
      </c>
      <c r="F123" s="180">
        <v>10.85</v>
      </c>
      <c r="G123" s="178" t="s">
        <v>341</v>
      </c>
      <c r="H123" s="162">
        <v>44113</v>
      </c>
      <c r="I123" t="s">
        <v>368</v>
      </c>
      <c r="J123" t="s">
        <v>268</v>
      </c>
      <c r="K123" t="s">
        <v>369</v>
      </c>
    </row>
    <row r="124" spans="1:13" x14ac:dyDescent="0.2">
      <c r="A124" s="178" t="s">
        <v>318</v>
      </c>
      <c r="B124" s="179">
        <v>44103</v>
      </c>
      <c r="C124" s="181">
        <v>3</v>
      </c>
      <c r="D124" s="178" t="s">
        <v>184</v>
      </c>
      <c r="E124" s="164" t="s">
        <v>188</v>
      </c>
      <c r="F124" s="180">
        <v>399.38</v>
      </c>
      <c r="G124" s="178" t="s">
        <v>316</v>
      </c>
      <c r="H124" s="162">
        <v>44113</v>
      </c>
      <c r="I124" t="s">
        <v>368</v>
      </c>
      <c r="J124" t="s">
        <v>268</v>
      </c>
      <c r="K124" t="s">
        <v>369</v>
      </c>
    </row>
    <row r="125" spans="1:13" x14ac:dyDescent="0.2">
      <c r="A125" s="178" t="s">
        <v>320</v>
      </c>
      <c r="B125" s="179">
        <v>44103</v>
      </c>
      <c r="C125" s="181">
        <v>3</v>
      </c>
      <c r="D125" s="178" t="s">
        <v>186</v>
      </c>
      <c r="E125" s="164" t="s">
        <v>233</v>
      </c>
      <c r="F125" s="180">
        <v>20.43</v>
      </c>
      <c r="G125" s="178" t="s">
        <v>355</v>
      </c>
      <c r="H125" s="162">
        <v>44084</v>
      </c>
      <c r="I125" t="s">
        <v>390</v>
      </c>
      <c r="J125" t="s">
        <v>287</v>
      </c>
      <c r="K125" t="s">
        <v>170</v>
      </c>
      <c r="L125" t="s">
        <v>293</v>
      </c>
      <c r="M125" t="s">
        <v>473</v>
      </c>
    </row>
    <row r="126" spans="1:13" x14ac:dyDescent="0.2">
      <c r="A126" s="178" t="s">
        <v>320</v>
      </c>
      <c r="B126" s="179">
        <v>44103</v>
      </c>
      <c r="C126" s="181">
        <v>3</v>
      </c>
      <c r="D126" s="178" t="s">
        <v>185</v>
      </c>
      <c r="E126" s="164" t="s">
        <v>189</v>
      </c>
      <c r="F126" s="180">
        <v>46.77</v>
      </c>
      <c r="G126" s="178" t="s">
        <v>324</v>
      </c>
      <c r="H126" s="162">
        <v>44094</v>
      </c>
      <c r="I126" t="s">
        <v>363</v>
      </c>
      <c r="J126" t="s">
        <v>268</v>
      </c>
      <c r="K126" t="s">
        <v>364</v>
      </c>
    </row>
    <row r="127" spans="1:13" x14ac:dyDescent="0.2">
      <c r="A127" s="178" t="s">
        <v>319</v>
      </c>
      <c r="B127" s="179">
        <v>44103</v>
      </c>
      <c r="C127" s="181">
        <v>3</v>
      </c>
      <c r="D127" s="178" t="s">
        <v>186</v>
      </c>
      <c r="E127" s="164" t="s">
        <v>233</v>
      </c>
      <c r="F127" s="180">
        <v>24.78</v>
      </c>
      <c r="G127" s="178" t="s">
        <v>351</v>
      </c>
      <c r="H127" s="162">
        <v>44047</v>
      </c>
      <c r="I127" t="s">
        <v>382</v>
      </c>
      <c r="J127" t="s">
        <v>287</v>
      </c>
      <c r="K127" t="s">
        <v>170</v>
      </c>
      <c r="L127">
        <v>2</v>
      </c>
      <c r="M127" t="s">
        <v>383</v>
      </c>
    </row>
    <row r="128" spans="1:13" x14ac:dyDescent="0.2">
      <c r="A128" s="178" t="s">
        <v>320</v>
      </c>
      <c r="B128" s="179">
        <v>44103</v>
      </c>
      <c r="C128" s="181">
        <v>3</v>
      </c>
      <c r="D128" s="178" t="s">
        <v>185</v>
      </c>
      <c r="E128" s="164" t="s">
        <v>189</v>
      </c>
      <c r="F128" s="180">
        <v>49.57</v>
      </c>
      <c r="G128" s="178" t="s">
        <v>325</v>
      </c>
      <c r="H128" s="162">
        <v>44093</v>
      </c>
      <c r="I128" t="s">
        <v>374</v>
      </c>
      <c r="J128" t="s">
        <v>268</v>
      </c>
      <c r="K128" t="s">
        <v>364</v>
      </c>
      <c r="L128">
        <v>2</v>
      </c>
    </row>
    <row r="129" spans="1:13" x14ac:dyDescent="0.2">
      <c r="A129" s="178" t="s">
        <v>320</v>
      </c>
      <c r="B129" s="179">
        <v>44103</v>
      </c>
      <c r="C129" s="181">
        <v>3</v>
      </c>
      <c r="D129" s="178" t="s">
        <v>185</v>
      </c>
      <c r="E129" s="164" t="s">
        <v>189</v>
      </c>
      <c r="F129" s="180">
        <v>110</v>
      </c>
      <c r="G129" s="178" t="s">
        <v>326</v>
      </c>
      <c r="H129" s="162">
        <v>44085</v>
      </c>
      <c r="I129" t="s">
        <v>375</v>
      </c>
      <c r="J129" t="s">
        <v>268</v>
      </c>
      <c r="K129" t="s">
        <v>359</v>
      </c>
    </row>
    <row r="130" spans="1:13" x14ac:dyDescent="0.2">
      <c r="A130" s="178" t="s">
        <v>319</v>
      </c>
      <c r="B130" s="179">
        <v>44103</v>
      </c>
      <c r="C130" s="181">
        <v>3</v>
      </c>
      <c r="D130" s="178" t="s">
        <v>186</v>
      </c>
      <c r="E130" s="164" t="s">
        <v>233</v>
      </c>
      <c r="F130" s="180">
        <v>246.09</v>
      </c>
      <c r="G130" s="178" t="s">
        <v>352</v>
      </c>
      <c r="H130" s="162">
        <v>44047</v>
      </c>
      <c r="I130" t="s">
        <v>384</v>
      </c>
      <c r="J130" t="s">
        <v>287</v>
      </c>
      <c r="K130" t="s">
        <v>170</v>
      </c>
      <c r="L130" t="s">
        <v>385</v>
      </c>
      <c r="M130" t="s">
        <v>386</v>
      </c>
    </row>
    <row r="131" spans="1:13" x14ac:dyDescent="0.2">
      <c r="A131" s="178" t="s">
        <v>319</v>
      </c>
      <c r="B131" s="179">
        <v>44103</v>
      </c>
      <c r="C131" s="181">
        <v>3</v>
      </c>
      <c r="D131" s="178" t="s">
        <v>185</v>
      </c>
      <c r="E131" s="164" t="s">
        <v>189</v>
      </c>
      <c r="F131" s="180">
        <v>23.48</v>
      </c>
      <c r="G131" s="178" t="s">
        <v>323</v>
      </c>
      <c r="H131" s="162">
        <v>44051</v>
      </c>
      <c r="I131" t="s">
        <v>373</v>
      </c>
      <c r="J131" t="s">
        <v>286</v>
      </c>
      <c r="K131" t="s">
        <v>269</v>
      </c>
    </row>
    <row r="132" spans="1:13" x14ac:dyDescent="0.2">
      <c r="A132" s="178" t="s">
        <v>320</v>
      </c>
      <c r="B132" s="179">
        <v>44103</v>
      </c>
      <c r="C132" s="181">
        <v>3</v>
      </c>
      <c r="D132" s="178" t="s">
        <v>185</v>
      </c>
      <c r="E132" s="164" t="s">
        <v>189</v>
      </c>
      <c r="F132" s="180">
        <v>31.03</v>
      </c>
      <c r="G132" s="178" t="s">
        <v>327</v>
      </c>
      <c r="H132" s="162">
        <v>44094</v>
      </c>
      <c r="I132" t="s">
        <v>363</v>
      </c>
      <c r="J132" t="s">
        <v>268</v>
      </c>
      <c r="K132" t="s">
        <v>364</v>
      </c>
    </row>
    <row r="133" spans="1:13" x14ac:dyDescent="0.2">
      <c r="A133" s="178" t="s">
        <v>319</v>
      </c>
      <c r="B133" s="179">
        <v>44103</v>
      </c>
      <c r="C133" s="181">
        <v>3</v>
      </c>
      <c r="D133" s="178" t="s">
        <v>186</v>
      </c>
      <c r="E133" s="164" t="s">
        <v>233</v>
      </c>
      <c r="F133" s="180">
        <v>89.57</v>
      </c>
      <c r="G133" s="178" t="s">
        <v>353</v>
      </c>
      <c r="H133" s="162">
        <v>44067</v>
      </c>
      <c r="I133" t="s">
        <v>387</v>
      </c>
      <c r="J133" t="s">
        <v>287</v>
      </c>
      <c r="K133" t="s">
        <v>170</v>
      </c>
      <c r="L133" t="s">
        <v>388</v>
      </c>
      <c r="M133" t="s">
        <v>389</v>
      </c>
    </row>
    <row r="134" spans="1:13" x14ac:dyDescent="0.2">
      <c r="A134" s="178" t="s">
        <v>320</v>
      </c>
      <c r="B134" s="179">
        <v>44103</v>
      </c>
      <c r="C134" s="181">
        <v>3</v>
      </c>
      <c r="D134" s="178" t="s">
        <v>186</v>
      </c>
      <c r="E134" s="164" t="s">
        <v>233</v>
      </c>
      <c r="F134" s="180">
        <v>80</v>
      </c>
      <c r="G134" s="178" t="s">
        <v>356</v>
      </c>
      <c r="H134" s="162">
        <v>44067</v>
      </c>
      <c r="I134" t="s">
        <v>387</v>
      </c>
      <c r="J134" t="s">
        <v>287</v>
      </c>
      <c r="K134" t="s">
        <v>170</v>
      </c>
      <c r="L134" t="s">
        <v>388</v>
      </c>
      <c r="M134" t="s">
        <v>389</v>
      </c>
    </row>
    <row r="135" spans="1:13" x14ac:dyDescent="0.2">
      <c r="A135" s="178" t="s">
        <v>320</v>
      </c>
      <c r="B135" s="179">
        <v>44103</v>
      </c>
      <c r="C135" s="181">
        <v>3</v>
      </c>
      <c r="D135" s="178" t="s">
        <v>186</v>
      </c>
      <c r="E135" s="164" t="s">
        <v>233</v>
      </c>
      <c r="F135" s="180">
        <v>48.26</v>
      </c>
      <c r="G135" s="178" t="s">
        <v>357</v>
      </c>
      <c r="H135" s="162">
        <v>44094</v>
      </c>
      <c r="I135" t="s">
        <v>391</v>
      </c>
      <c r="J135" t="s">
        <v>287</v>
      </c>
      <c r="K135" t="s">
        <v>361</v>
      </c>
      <c r="L135" t="s">
        <v>293</v>
      </c>
      <c r="M135" t="s">
        <v>392</v>
      </c>
    </row>
    <row r="136" spans="1:13" x14ac:dyDescent="0.2">
      <c r="A136" s="178" t="s">
        <v>320</v>
      </c>
      <c r="B136" s="179">
        <v>44103</v>
      </c>
      <c r="C136" s="181">
        <v>3</v>
      </c>
      <c r="D136" s="178" t="s">
        <v>193</v>
      </c>
      <c r="E136" s="164" t="s">
        <v>195</v>
      </c>
      <c r="F136" s="180">
        <v>43.31</v>
      </c>
      <c r="G136" s="178" t="s">
        <v>347</v>
      </c>
      <c r="H136" s="162">
        <v>44084</v>
      </c>
      <c r="I136" t="s">
        <v>379</v>
      </c>
      <c r="J136" t="s">
        <v>286</v>
      </c>
      <c r="K136" t="s">
        <v>359</v>
      </c>
    </row>
    <row r="137" spans="1:13" x14ac:dyDescent="0.2">
      <c r="A137" s="178" t="s">
        <v>320</v>
      </c>
      <c r="B137" s="179">
        <v>44103</v>
      </c>
      <c r="C137" s="181">
        <v>3</v>
      </c>
      <c r="D137" s="178" t="s">
        <v>193</v>
      </c>
      <c r="E137" s="164" t="s">
        <v>195</v>
      </c>
      <c r="F137" s="180">
        <v>20.22</v>
      </c>
      <c r="G137" s="178" t="s">
        <v>346</v>
      </c>
      <c r="H137" s="162">
        <v>44085</v>
      </c>
      <c r="I137" t="s">
        <v>378</v>
      </c>
      <c r="J137" t="s">
        <v>286</v>
      </c>
      <c r="K137" t="s">
        <v>359</v>
      </c>
    </row>
    <row r="138" spans="1:13" x14ac:dyDescent="0.2">
      <c r="A138" s="178" t="s">
        <v>320</v>
      </c>
      <c r="B138" s="179">
        <v>44103</v>
      </c>
      <c r="C138" s="181">
        <v>3</v>
      </c>
      <c r="D138" s="178" t="s">
        <v>193</v>
      </c>
      <c r="E138" s="164" t="s">
        <v>195</v>
      </c>
      <c r="F138" s="180">
        <v>19.27</v>
      </c>
      <c r="G138" s="178" t="s">
        <v>348</v>
      </c>
      <c r="H138" s="162">
        <v>44084</v>
      </c>
      <c r="I138" t="s">
        <v>380</v>
      </c>
      <c r="J138" t="s">
        <v>286</v>
      </c>
      <c r="K138" t="s">
        <v>359</v>
      </c>
    </row>
    <row r="139" spans="1:13" x14ac:dyDescent="0.2">
      <c r="A139" s="178" t="s">
        <v>320</v>
      </c>
      <c r="B139" s="179">
        <v>44103</v>
      </c>
      <c r="C139" s="181">
        <v>3</v>
      </c>
      <c r="D139" s="178" t="s">
        <v>193</v>
      </c>
      <c r="E139" s="164" t="s">
        <v>195</v>
      </c>
      <c r="F139" s="180">
        <v>16.53</v>
      </c>
      <c r="G139" s="178" t="s">
        <v>349</v>
      </c>
      <c r="H139" s="162">
        <v>44091</v>
      </c>
      <c r="I139" t="s">
        <v>381</v>
      </c>
      <c r="J139" t="s">
        <v>286</v>
      </c>
      <c r="K139" t="s">
        <v>364</v>
      </c>
    </row>
    <row r="140" spans="1:13" x14ac:dyDescent="0.2">
      <c r="A140" s="178" t="s">
        <v>319</v>
      </c>
      <c r="B140" s="179">
        <v>44103</v>
      </c>
      <c r="C140" s="181">
        <v>3</v>
      </c>
      <c r="D140" s="178" t="s">
        <v>193</v>
      </c>
      <c r="E140" s="164" t="s">
        <v>195</v>
      </c>
      <c r="F140" s="180">
        <v>16</v>
      </c>
      <c r="G140" s="178" t="s">
        <v>344</v>
      </c>
      <c r="H140" s="162">
        <v>44059</v>
      </c>
      <c r="I140" t="s">
        <v>376</v>
      </c>
      <c r="J140" t="s">
        <v>286</v>
      </c>
      <c r="K140" t="s">
        <v>170</v>
      </c>
    </row>
    <row r="141" spans="1:13" x14ac:dyDescent="0.2">
      <c r="A141" s="178" t="s">
        <v>319</v>
      </c>
      <c r="B141" s="179">
        <v>44103</v>
      </c>
      <c r="C141" s="181">
        <v>3</v>
      </c>
      <c r="D141" s="178" t="s">
        <v>193</v>
      </c>
      <c r="E141" s="164" t="s">
        <v>195</v>
      </c>
      <c r="F141" s="180">
        <v>29.17</v>
      </c>
      <c r="G141" s="178" t="s">
        <v>345</v>
      </c>
      <c r="H141" s="162">
        <v>44047</v>
      </c>
      <c r="I141" t="s">
        <v>377</v>
      </c>
      <c r="J141" t="s">
        <v>286</v>
      </c>
      <c r="K141" t="s">
        <v>170</v>
      </c>
    </row>
    <row r="142" spans="1:13" x14ac:dyDescent="0.2">
      <c r="A142" s="178" t="s">
        <v>320</v>
      </c>
      <c r="B142" s="179">
        <v>44103</v>
      </c>
      <c r="C142" s="181">
        <v>3</v>
      </c>
      <c r="D142" s="178" t="s">
        <v>193</v>
      </c>
      <c r="E142" s="164" t="s">
        <v>195</v>
      </c>
      <c r="F142" s="180">
        <v>19.68</v>
      </c>
      <c r="G142" s="178" t="s">
        <v>350</v>
      </c>
      <c r="H142" s="162">
        <v>44070</v>
      </c>
      <c r="I142" t="s">
        <v>381</v>
      </c>
      <c r="J142" t="s">
        <v>286</v>
      </c>
      <c r="K142" t="s">
        <v>282</v>
      </c>
    </row>
    <row r="143" spans="1:13" x14ac:dyDescent="0.2">
      <c r="A143" s="178" t="s">
        <v>319</v>
      </c>
      <c r="B143" s="179">
        <v>44103</v>
      </c>
      <c r="C143" s="181">
        <v>3</v>
      </c>
      <c r="D143" s="178" t="s">
        <v>186</v>
      </c>
      <c r="E143" s="164" t="s">
        <v>233</v>
      </c>
      <c r="F143" s="180">
        <v>218.7</v>
      </c>
      <c r="G143" s="178" t="s">
        <v>354</v>
      </c>
      <c r="H143" s="162">
        <v>44049</v>
      </c>
      <c r="I143" t="s">
        <v>278</v>
      </c>
      <c r="J143" t="s">
        <v>287</v>
      </c>
      <c r="K143" t="s">
        <v>276</v>
      </c>
      <c r="L143" t="s">
        <v>298</v>
      </c>
      <c r="M143" t="s">
        <v>472</v>
      </c>
    </row>
    <row r="144" spans="1:13" x14ac:dyDescent="0.2">
      <c r="A144" s="178" t="s">
        <v>394</v>
      </c>
      <c r="B144" s="179">
        <v>44134</v>
      </c>
      <c r="C144" s="178">
        <v>4</v>
      </c>
      <c r="D144" s="178" t="s">
        <v>185</v>
      </c>
      <c r="E144" s="181" t="str">
        <f t="shared" ref="E144:E175" si="0">IF(D144="62101","Travel - Domestic Flights",IF(D144="62102","Travel - Domestic Expenses",IF(D144="62104","Taxi - Cab Services",IF(D144="62511","Hospitality/Events",""))))</f>
        <v>Travel - Domestic Expenses</v>
      </c>
      <c r="F144" s="180">
        <v>10</v>
      </c>
      <c r="G144" s="178" t="s">
        <v>256</v>
      </c>
      <c r="H144" s="173">
        <v>44126</v>
      </c>
      <c r="I144" t="s">
        <v>283</v>
      </c>
      <c r="J144" t="s">
        <v>268</v>
      </c>
      <c r="K144" t="s">
        <v>284</v>
      </c>
    </row>
    <row r="145" spans="1:13" x14ac:dyDescent="0.2">
      <c r="A145" s="178" t="s">
        <v>396</v>
      </c>
      <c r="B145" s="179">
        <v>44134</v>
      </c>
      <c r="C145" s="178">
        <v>4</v>
      </c>
      <c r="D145" s="178" t="s">
        <v>185</v>
      </c>
      <c r="E145" s="181" t="str">
        <f t="shared" si="0"/>
        <v>Travel - Domestic Expenses</v>
      </c>
      <c r="F145" s="180">
        <v>10</v>
      </c>
      <c r="G145" s="178" t="s">
        <v>338</v>
      </c>
      <c r="H145" s="173">
        <v>44099</v>
      </c>
      <c r="I145" t="s">
        <v>367</v>
      </c>
      <c r="J145" t="s">
        <v>268</v>
      </c>
      <c r="K145" t="s">
        <v>269</v>
      </c>
    </row>
    <row r="146" spans="1:13" x14ac:dyDescent="0.2">
      <c r="A146" s="178" t="s">
        <v>396</v>
      </c>
      <c r="B146" s="179">
        <v>44134</v>
      </c>
      <c r="C146" s="178">
        <v>4</v>
      </c>
      <c r="D146" s="178" t="s">
        <v>185</v>
      </c>
      <c r="E146" s="181" t="str">
        <f t="shared" si="0"/>
        <v>Travel - Domestic Expenses</v>
      </c>
      <c r="F146" s="180">
        <v>10</v>
      </c>
      <c r="G146" s="178" t="s">
        <v>338</v>
      </c>
      <c r="H146" s="173">
        <v>44099</v>
      </c>
      <c r="I146" t="s">
        <v>367</v>
      </c>
      <c r="J146" t="s">
        <v>268</v>
      </c>
      <c r="K146" t="s">
        <v>269</v>
      </c>
    </row>
    <row r="147" spans="1:13" x14ac:dyDescent="0.2">
      <c r="A147" s="178" t="s">
        <v>394</v>
      </c>
      <c r="B147" s="179">
        <v>44134</v>
      </c>
      <c r="C147" s="178">
        <v>4</v>
      </c>
      <c r="D147" s="178" t="s">
        <v>185</v>
      </c>
      <c r="E147" s="181" t="str">
        <f t="shared" si="0"/>
        <v>Travel - Domestic Expenses</v>
      </c>
      <c r="F147" s="180">
        <v>7.5</v>
      </c>
      <c r="G147" s="178" t="s">
        <v>429</v>
      </c>
      <c r="H147" s="173">
        <v>44085</v>
      </c>
      <c r="I147" t="s">
        <v>358</v>
      </c>
      <c r="J147" t="s">
        <v>268</v>
      </c>
      <c r="K147" t="s">
        <v>359</v>
      </c>
      <c r="M147" t="s">
        <v>560</v>
      </c>
    </row>
    <row r="148" spans="1:13" x14ac:dyDescent="0.2">
      <c r="A148" s="178" t="s">
        <v>393</v>
      </c>
      <c r="B148" s="179">
        <v>44134</v>
      </c>
      <c r="C148" s="178">
        <v>4</v>
      </c>
      <c r="D148" s="178" t="s">
        <v>185</v>
      </c>
      <c r="E148" s="181" t="str">
        <f t="shared" si="0"/>
        <v>Travel - Domestic Expenses</v>
      </c>
      <c r="F148" s="180">
        <v>10</v>
      </c>
      <c r="G148" s="178" t="s">
        <v>333</v>
      </c>
      <c r="H148" s="173">
        <v>44154</v>
      </c>
      <c r="I148" t="s">
        <v>362</v>
      </c>
      <c r="J148" t="s">
        <v>268</v>
      </c>
      <c r="K148" t="s">
        <v>359</v>
      </c>
    </row>
    <row r="149" spans="1:13" x14ac:dyDescent="0.2">
      <c r="A149" s="178" t="s">
        <v>394</v>
      </c>
      <c r="B149" s="179">
        <v>44134</v>
      </c>
      <c r="C149" s="178">
        <v>4</v>
      </c>
      <c r="D149" s="178" t="s">
        <v>185</v>
      </c>
      <c r="E149" s="181" t="str">
        <f t="shared" si="0"/>
        <v>Travel - Domestic Expenses</v>
      </c>
      <c r="F149" s="180">
        <v>7.5</v>
      </c>
      <c r="G149" s="178" t="s">
        <v>430</v>
      </c>
      <c r="H149" s="173">
        <v>44092</v>
      </c>
      <c r="I149" t="s">
        <v>363</v>
      </c>
      <c r="J149" t="s">
        <v>268</v>
      </c>
      <c r="K149" t="s">
        <v>364</v>
      </c>
    </row>
    <row r="150" spans="1:13" x14ac:dyDescent="0.2">
      <c r="A150" s="178" t="s">
        <v>393</v>
      </c>
      <c r="B150" s="179">
        <v>44134</v>
      </c>
      <c r="C150" s="178">
        <v>4</v>
      </c>
      <c r="D150" s="178" t="s">
        <v>185</v>
      </c>
      <c r="E150" s="181" t="str">
        <f t="shared" si="0"/>
        <v>Travel - Domestic Expenses</v>
      </c>
      <c r="F150" s="180">
        <v>10</v>
      </c>
      <c r="G150" s="178" t="s">
        <v>337</v>
      </c>
      <c r="H150" s="173">
        <v>44106</v>
      </c>
      <c r="I150" t="s">
        <v>365</v>
      </c>
      <c r="J150" t="s">
        <v>268</v>
      </c>
      <c r="K150" t="s">
        <v>366</v>
      </c>
    </row>
    <row r="151" spans="1:13" x14ac:dyDescent="0.2">
      <c r="A151" s="178" t="s">
        <v>402</v>
      </c>
      <c r="B151" s="179">
        <v>44134</v>
      </c>
      <c r="C151" s="178">
        <v>4</v>
      </c>
      <c r="D151" s="178" t="s">
        <v>185</v>
      </c>
      <c r="E151" s="181" t="str">
        <f t="shared" si="0"/>
        <v>Travel - Domestic Expenses</v>
      </c>
      <c r="F151" s="180">
        <v>0.5</v>
      </c>
      <c r="G151" s="178" t="s">
        <v>337</v>
      </c>
      <c r="H151" s="173">
        <v>44106</v>
      </c>
      <c r="I151" t="s">
        <v>365</v>
      </c>
      <c r="J151" t="s">
        <v>268</v>
      </c>
      <c r="K151" t="s">
        <v>366</v>
      </c>
    </row>
    <row r="152" spans="1:13" x14ac:dyDescent="0.2">
      <c r="A152" s="178" t="s">
        <v>396</v>
      </c>
      <c r="B152" s="179">
        <v>44134</v>
      </c>
      <c r="C152" s="178">
        <v>4</v>
      </c>
      <c r="D152" s="178" t="s">
        <v>185</v>
      </c>
      <c r="E152" s="181" t="str">
        <f t="shared" si="0"/>
        <v>Travel - Domestic Expenses</v>
      </c>
      <c r="F152" s="180">
        <v>10</v>
      </c>
      <c r="G152" s="178" t="s">
        <v>337</v>
      </c>
      <c r="H152" s="173">
        <v>44106</v>
      </c>
      <c r="I152" t="s">
        <v>365</v>
      </c>
      <c r="J152" t="s">
        <v>268</v>
      </c>
      <c r="K152" t="s">
        <v>366</v>
      </c>
    </row>
    <row r="153" spans="1:13" x14ac:dyDescent="0.2">
      <c r="A153" s="178" t="s">
        <v>393</v>
      </c>
      <c r="B153" s="179">
        <v>44134</v>
      </c>
      <c r="C153" s="178">
        <v>4</v>
      </c>
      <c r="D153" s="178" t="s">
        <v>185</v>
      </c>
      <c r="E153" s="181" t="str">
        <f t="shared" si="0"/>
        <v>Travel - Domestic Expenses</v>
      </c>
      <c r="F153" s="180">
        <v>126.09</v>
      </c>
      <c r="G153" s="178" t="s">
        <v>424</v>
      </c>
      <c r="H153" s="173">
        <v>44106</v>
      </c>
      <c r="I153" t="s">
        <v>365</v>
      </c>
      <c r="J153" t="s">
        <v>268</v>
      </c>
      <c r="K153" t="s">
        <v>366</v>
      </c>
    </row>
    <row r="154" spans="1:13" x14ac:dyDescent="0.2">
      <c r="A154" s="178" t="s">
        <v>393</v>
      </c>
      <c r="B154" s="179">
        <v>44134</v>
      </c>
      <c r="C154" s="178">
        <v>4</v>
      </c>
      <c r="D154" s="178" t="s">
        <v>185</v>
      </c>
      <c r="E154" s="181" t="str">
        <f t="shared" si="0"/>
        <v>Travel - Domestic Expenses</v>
      </c>
      <c r="F154" s="180">
        <v>7.5</v>
      </c>
      <c r="G154" s="178" t="s">
        <v>425</v>
      </c>
      <c r="H154" s="173">
        <v>44106</v>
      </c>
      <c r="I154" t="s">
        <v>365</v>
      </c>
      <c r="J154" t="s">
        <v>268</v>
      </c>
      <c r="K154" t="s">
        <v>366</v>
      </c>
    </row>
    <row r="155" spans="1:13" x14ac:dyDescent="0.2">
      <c r="A155" s="178" t="s">
        <v>396</v>
      </c>
      <c r="B155" s="179">
        <v>44134</v>
      </c>
      <c r="C155" s="178">
        <v>4</v>
      </c>
      <c r="D155" s="178" t="s">
        <v>184</v>
      </c>
      <c r="E155" s="181" t="str">
        <f t="shared" si="0"/>
        <v>Travel - Domestic Flights</v>
      </c>
      <c r="F155" s="180">
        <v>327.9</v>
      </c>
      <c r="G155" s="178" t="s">
        <v>415</v>
      </c>
      <c r="H155" s="173">
        <v>44115</v>
      </c>
      <c r="I155" t="s">
        <v>368</v>
      </c>
      <c r="J155" t="s">
        <v>268</v>
      </c>
      <c r="K155" t="s">
        <v>369</v>
      </c>
    </row>
    <row r="156" spans="1:13" x14ac:dyDescent="0.2">
      <c r="A156" s="178" t="s">
        <v>396</v>
      </c>
      <c r="B156" s="179">
        <v>44134</v>
      </c>
      <c r="C156" s="178">
        <v>4</v>
      </c>
      <c r="D156" s="178" t="s">
        <v>185</v>
      </c>
      <c r="E156" s="181" t="str">
        <f t="shared" si="0"/>
        <v>Travel - Domestic Expenses</v>
      </c>
      <c r="F156" s="180">
        <v>10</v>
      </c>
      <c r="G156" s="178" t="s">
        <v>433</v>
      </c>
      <c r="H156" s="173">
        <v>44115</v>
      </c>
      <c r="I156" t="s">
        <v>368</v>
      </c>
      <c r="J156" t="s">
        <v>268</v>
      </c>
      <c r="K156" t="s">
        <v>369</v>
      </c>
    </row>
    <row r="157" spans="1:13" x14ac:dyDescent="0.2">
      <c r="A157" s="178" t="s">
        <v>402</v>
      </c>
      <c r="B157" s="179">
        <v>44134</v>
      </c>
      <c r="C157" s="178">
        <v>4</v>
      </c>
      <c r="D157" s="178" t="s">
        <v>185</v>
      </c>
      <c r="E157" s="181" t="str">
        <f t="shared" si="0"/>
        <v>Travel - Domestic Expenses</v>
      </c>
      <c r="F157" s="180">
        <v>10</v>
      </c>
      <c r="G157" s="178" t="s">
        <v>432</v>
      </c>
      <c r="H157" s="173">
        <v>44123</v>
      </c>
      <c r="I157" t="s">
        <v>484</v>
      </c>
      <c r="J157" t="s">
        <v>268</v>
      </c>
      <c r="K157" t="s">
        <v>269</v>
      </c>
      <c r="M157" t="s">
        <v>563</v>
      </c>
    </row>
    <row r="158" spans="1:13" x14ac:dyDescent="0.2">
      <c r="A158" s="178" t="s">
        <v>396</v>
      </c>
      <c r="B158" s="179">
        <v>44134</v>
      </c>
      <c r="C158" s="178">
        <v>4</v>
      </c>
      <c r="D158" s="178" t="s">
        <v>185</v>
      </c>
      <c r="E158" s="181" t="str">
        <f t="shared" si="0"/>
        <v>Travel - Domestic Expenses</v>
      </c>
      <c r="F158" s="180">
        <v>16.850000000000001</v>
      </c>
      <c r="G158" s="178" t="s">
        <v>432</v>
      </c>
      <c r="H158" s="173">
        <v>44123</v>
      </c>
      <c r="I158" t="s">
        <v>484</v>
      </c>
      <c r="J158" t="s">
        <v>268</v>
      </c>
      <c r="K158" t="s">
        <v>269</v>
      </c>
      <c r="M158" t="s">
        <v>563</v>
      </c>
    </row>
    <row r="159" spans="1:13" x14ac:dyDescent="0.2">
      <c r="A159" s="178" t="s">
        <v>393</v>
      </c>
      <c r="B159" s="179">
        <v>44134</v>
      </c>
      <c r="C159" s="178">
        <v>4</v>
      </c>
      <c r="D159" s="178" t="s">
        <v>185</v>
      </c>
      <c r="E159" s="181" t="str">
        <f t="shared" si="0"/>
        <v>Travel - Domestic Expenses</v>
      </c>
      <c r="F159" s="180">
        <v>10</v>
      </c>
      <c r="G159" s="178" t="s">
        <v>426</v>
      </c>
      <c r="H159" s="173">
        <v>44112</v>
      </c>
      <c r="I159" t="s">
        <v>568</v>
      </c>
      <c r="J159" t="s">
        <v>268</v>
      </c>
      <c r="K159" t="s">
        <v>369</v>
      </c>
      <c r="M159" t="s">
        <v>567</v>
      </c>
    </row>
    <row r="160" spans="1:13" x14ac:dyDescent="0.2">
      <c r="A160" s="178" t="s">
        <v>396</v>
      </c>
      <c r="B160" s="179">
        <v>44134</v>
      </c>
      <c r="C160" s="178">
        <v>4</v>
      </c>
      <c r="D160" s="178" t="s">
        <v>185</v>
      </c>
      <c r="E160" s="181" t="str">
        <f t="shared" si="0"/>
        <v>Travel - Domestic Expenses</v>
      </c>
      <c r="F160" s="180">
        <v>10.85</v>
      </c>
      <c r="G160" s="178" t="s">
        <v>426</v>
      </c>
      <c r="H160" s="173">
        <v>44112</v>
      </c>
      <c r="I160" t="s">
        <v>568</v>
      </c>
      <c r="J160" t="s">
        <v>268</v>
      </c>
      <c r="K160" t="s">
        <v>369</v>
      </c>
    </row>
    <row r="161" spans="1:13" x14ac:dyDescent="0.2">
      <c r="A161" s="178" t="s">
        <v>396</v>
      </c>
      <c r="B161" s="179">
        <v>44134</v>
      </c>
      <c r="C161" s="178">
        <v>4</v>
      </c>
      <c r="D161" s="178" t="s">
        <v>184</v>
      </c>
      <c r="E161" s="181" t="str">
        <f t="shared" si="0"/>
        <v>Travel - Domestic Flights</v>
      </c>
      <c r="F161" s="180">
        <v>578.49</v>
      </c>
      <c r="G161" s="178" t="s">
        <v>416</v>
      </c>
      <c r="H161" s="173">
        <v>44112</v>
      </c>
      <c r="I161" t="s">
        <v>568</v>
      </c>
      <c r="J161" t="s">
        <v>268</v>
      </c>
      <c r="K161" t="s">
        <v>369</v>
      </c>
    </row>
    <row r="162" spans="1:13" x14ac:dyDescent="0.2">
      <c r="A162" s="178" t="s">
        <v>393</v>
      </c>
      <c r="B162" s="179">
        <v>44134</v>
      </c>
      <c r="C162" s="178">
        <v>4</v>
      </c>
      <c r="D162" s="178" t="s">
        <v>185</v>
      </c>
      <c r="E162" s="181" t="str">
        <f t="shared" si="0"/>
        <v>Travel - Domestic Expenses</v>
      </c>
      <c r="F162" s="180">
        <v>10.85</v>
      </c>
      <c r="G162" s="178" t="s">
        <v>427</v>
      </c>
      <c r="H162" s="173">
        <v>44118</v>
      </c>
      <c r="I162" t="s">
        <v>474</v>
      </c>
      <c r="J162" t="s">
        <v>268</v>
      </c>
      <c r="K162" t="s">
        <v>282</v>
      </c>
      <c r="M162" t="s">
        <v>564</v>
      </c>
    </row>
    <row r="163" spans="1:13" x14ac:dyDescent="0.2">
      <c r="A163" s="178" t="s">
        <v>393</v>
      </c>
      <c r="B163" s="179">
        <v>44134</v>
      </c>
      <c r="C163" s="178">
        <v>4</v>
      </c>
      <c r="D163" s="178" t="s">
        <v>184</v>
      </c>
      <c r="E163" s="181" t="str">
        <f t="shared" si="0"/>
        <v>Travel - Domestic Flights</v>
      </c>
      <c r="F163" s="180">
        <v>379.48</v>
      </c>
      <c r="G163" s="178" t="s">
        <v>409</v>
      </c>
      <c r="H163" s="173">
        <v>44118</v>
      </c>
      <c r="I163" t="s">
        <v>474</v>
      </c>
      <c r="J163" t="s">
        <v>268</v>
      </c>
      <c r="K163" t="s">
        <v>282</v>
      </c>
      <c r="M163" t="s">
        <v>564</v>
      </c>
    </row>
    <row r="164" spans="1:13" x14ac:dyDescent="0.2">
      <c r="A164" s="178" t="s">
        <v>393</v>
      </c>
      <c r="B164" s="179">
        <v>44134</v>
      </c>
      <c r="C164" s="178">
        <v>4</v>
      </c>
      <c r="D164" s="178" t="s">
        <v>185</v>
      </c>
      <c r="E164" s="181" t="str">
        <f t="shared" si="0"/>
        <v>Travel - Domestic Expenses</v>
      </c>
      <c r="F164" s="180">
        <v>10.85</v>
      </c>
      <c r="G164" s="178" t="s">
        <v>428</v>
      </c>
      <c r="H164" s="173">
        <v>44133</v>
      </c>
      <c r="I164" t="s">
        <v>475</v>
      </c>
      <c r="J164" t="s">
        <v>268</v>
      </c>
      <c r="K164" t="s">
        <v>269</v>
      </c>
      <c r="M164" t="s">
        <v>476</v>
      </c>
    </row>
    <row r="165" spans="1:13" x14ac:dyDescent="0.2">
      <c r="A165" s="178" t="s">
        <v>393</v>
      </c>
      <c r="B165" s="179">
        <v>44134</v>
      </c>
      <c r="C165" s="178">
        <v>4</v>
      </c>
      <c r="D165" s="178" t="s">
        <v>184</v>
      </c>
      <c r="E165" s="181" t="str">
        <f t="shared" si="0"/>
        <v>Travel - Domestic Flights</v>
      </c>
      <c r="F165" s="180">
        <v>457.55</v>
      </c>
      <c r="G165" s="178" t="s">
        <v>410</v>
      </c>
      <c r="H165" s="173">
        <v>44133</v>
      </c>
      <c r="I165" t="s">
        <v>475</v>
      </c>
      <c r="J165" t="s">
        <v>268</v>
      </c>
      <c r="K165" t="s">
        <v>269</v>
      </c>
      <c r="M165" t="s">
        <v>476</v>
      </c>
    </row>
    <row r="166" spans="1:13" x14ac:dyDescent="0.2">
      <c r="A166" s="178" t="s">
        <v>394</v>
      </c>
      <c r="B166" s="179">
        <v>44134</v>
      </c>
      <c r="C166" s="178">
        <v>4</v>
      </c>
      <c r="D166" s="178" t="s">
        <v>185</v>
      </c>
      <c r="E166" s="181" t="str">
        <f t="shared" si="0"/>
        <v>Travel - Domestic Expenses</v>
      </c>
      <c r="F166" s="180">
        <v>10.85</v>
      </c>
      <c r="G166" s="178" t="s">
        <v>431</v>
      </c>
      <c r="H166" s="173">
        <v>44137</v>
      </c>
      <c r="I166" t="s">
        <v>478</v>
      </c>
      <c r="J166" t="s">
        <v>268</v>
      </c>
      <c r="K166" t="s">
        <v>477</v>
      </c>
      <c r="M166" t="s">
        <v>565</v>
      </c>
    </row>
    <row r="167" spans="1:13" x14ac:dyDescent="0.2">
      <c r="A167" s="178" t="s">
        <v>394</v>
      </c>
      <c r="B167" s="179">
        <v>44134</v>
      </c>
      <c r="C167" s="178">
        <v>4</v>
      </c>
      <c r="D167" s="178" t="s">
        <v>184</v>
      </c>
      <c r="E167" s="181" t="str">
        <f t="shared" si="0"/>
        <v>Travel - Domestic Flights</v>
      </c>
      <c r="F167" s="180">
        <v>298.83</v>
      </c>
      <c r="G167" s="178" t="s">
        <v>411</v>
      </c>
      <c r="H167" s="173">
        <v>44137</v>
      </c>
      <c r="I167" t="s">
        <v>478</v>
      </c>
      <c r="J167" t="s">
        <v>268</v>
      </c>
      <c r="K167" t="s">
        <v>477</v>
      </c>
      <c r="M167" t="s">
        <v>565</v>
      </c>
    </row>
    <row r="168" spans="1:13" x14ac:dyDescent="0.2">
      <c r="A168" s="178" t="s">
        <v>400</v>
      </c>
      <c r="B168" s="179">
        <v>44133</v>
      </c>
      <c r="C168" s="178">
        <v>4</v>
      </c>
      <c r="D168" s="178" t="s">
        <v>185</v>
      </c>
      <c r="E168" s="181" t="str">
        <f t="shared" si="0"/>
        <v>Travel - Domestic Expenses</v>
      </c>
      <c r="F168" s="180">
        <v>194.78</v>
      </c>
      <c r="G168" s="178" t="s">
        <v>422</v>
      </c>
      <c r="H168" s="173">
        <v>44105</v>
      </c>
      <c r="I168" t="s">
        <v>365</v>
      </c>
      <c r="J168" t="s">
        <v>485</v>
      </c>
      <c r="K168" t="s">
        <v>366</v>
      </c>
    </row>
    <row r="169" spans="1:13" x14ac:dyDescent="0.2">
      <c r="A169" s="178" t="s">
        <v>395</v>
      </c>
      <c r="B169" s="179">
        <v>44134</v>
      </c>
      <c r="C169" s="178">
        <v>4</v>
      </c>
      <c r="D169" s="178" t="s">
        <v>184</v>
      </c>
      <c r="E169" s="181" t="str">
        <f t="shared" si="0"/>
        <v>Travel - Domestic Flights</v>
      </c>
      <c r="F169" s="180">
        <v>-552.5</v>
      </c>
      <c r="G169" s="178" t="s">
        <v>412</v>
      </c>
      <c r="H169" s="173">
        <v>44085</v>
      </c>
      <c r="I169" t="s">
        <v>263</v>
      </c>
      <c r="J169" t="s">
        <v>289</v>
      </c>
      <c r="K169" t="s">
        <v>289</v>
      </c>
    </row>
    <row r="170" spans="1:13" x14ac:dyDescent="0.2">
      <c r="A170" s="178" t="s">
        <v>395</v>
      </c>
      <c r="B170" s="179">
        <v>44134</v>
      </c>
      <c r="C170" s="178">
        <v>4</v>
      </c>
      <c r="D170" s="178" t="s">
        <v>184</v>
      </c>
      <c r="E170" s="181" t="str">
        <f t="shared" si="0"/>
        <v>Travel - Domestic Flights</v>
      </c>
      <c r="F170" s="180">
        <v>-436.68</v>
      </c>
      <c r="G170" s="178" t="s">
        <v>413</v>
      </c>
      <c r="H170" s="173">
        <v>44092</v>
      </c>
      <c r="I170" t="s">
        <v>263</v>
      </c>
      <c r="J170" t="s">
        <v>289</v>
      </c>
      <c r="K170" t="s">
        <v>289</v>
      </c>
    </row>
    <row r="171" spans="1:13" x14ac:dyDescent="0.2">
      <c r="A171" s="178" t="s">
        <v>395</v>
      </c>
      <c r="B171" s="179">
        <v>44134</v>
      </c>
      <c r="C171" s="178">
        <v>4</v>
      </c>
      <c r="D171" s="178" t="s">
        <v>184</v>
      </c>
      <c r="E171" s="181" t="str">
        <f t="shared" si="0"/>
        <v>Travel - Domestic Flights</v>
      </c>
      <c r="F171" s="180">
        <v>-399.38</v>
      </c>
      <c r="G171" s="178" t="s">
        <v>414</v>
      </c>
      <c r="H171" s="173">
        <v>44115</v>
      </c>
      <c r="I171" t="s">
        <v>263</v>
      </c>
    </row>
    <row r="172" spans="1:13" x14ac:dyDescent="0.2">
      <c r="A172" s="178" t="s">
        <v>401</v>
      </c>
      <c r="B172" s="179">
        <v>44134</v>
      </c>
      <c r="C172" s="178">
        <v>4</v>
      </c>
      <c r="D172" s="178" t="s">
        <v>185</v>
      </c>
      <c r="E172" s="181" t="str">
        <f t="shared" si="0"/>
        <v>Travel - Domestic Expenses</v>
      </c>
      <c r="F172" s="180">
        <v>32.17</v>
      </c>
      <c r="G172" s="178" t="s">
        <v>423</v>
      </c>
      <c r="H172" s="173">
        <v>44129</v>
      </c>
      <c r="I172" t="s">
        <v>486</v>
      </c>
      <c r="J172" t="s">
        <v>485</v>
      </c>
      <c r="K172" t="s">
        <v>487</v>
      </c>
    </row>
    <row r="173" spans="1:13" x14ac:dyDescent="0.2">
      <c r="A173" s="178" t="s">
        <v>400</v>
      </c>
      <c r="B173" s="179">
        <v>44133</v>
      </c>
      <c r="C173" s="178">
        <v>4</v>
      </c>
      <c r="D173" s="178" t="s">
        <v>186</v>
      </c>
      <c r="E173" s="181" t="str">
        <f t="shared" si="0"/>
        <v>Hospitality/Events</v>
      </c>
      <c r="F173" s="180">
        <v>22.61</v>
      </c>
      <c r="G173" s="178" t="s">
        <v>464</v>
      </c>
      <c r="H173" s="173">
        <v>44105</v>
      </c>
      <c r="I173" t="s">
        <v>497</v>
      </c>
      <c r="J173" t="s">
        <v>287</v>
      </c>
      <c r="K173" t="s">
        <v>170</v>
      </c>
      <c r="L173" t="s">
        <v>293</v>
      </c>
      <c r="M173" t="s">
        <v>496</v>
      </c>
    </row>
    <row r="174" spans="1:13" x14ac:dyDescent="0.2">
      <c r="A174" s="178" t="s">
        <v>400</v>
      </c>
      <c r="B174" s="179">
        <v>44133</v>
      </c>
      <c r="C174" s="178">
        <v>4</v>
      </c>
      <c r="D174" s="178" t="s">
        <v>186</v>
      </c>
      <c r="E174" s="181" t="str">
        <f t="shared" si="0"/>
        <v>Hospitality/Events</v>
      </c>
      <c r="F174" s="180">
        <v>50</v>
      </c>
      <c r="G174" s="178" t="s">
        <v>465</v>
      </c>
      <c r="H174" s="173">
        <v>44110</v>
      </c>
      <c r="I174" t="s">
        <v>498</v>
      </c>
      <c r="J174" t="s">
        <v>287</v>
      </c>
      <c r="K174" t="s">
        <v>170</v>
      </c>
      <c r="L174" t="s">
        <v>371</v>
      </c>
      <c r="M174" t="s">
        <v>499</v>
      </c>
    </row>
    <row r="175" spans="1:13" x14ac:dyDescent="0.2">
      <c r="A175" s="178" t="s">
        <v>400</v>
      </c>
      <c r="B175" s="179">
        <v>44133</v>
      </c>
      <c r="C175" s="178">
        <v>4</v>
      </c>
      <c r="D175" s="178" t="s">
        <v>186</v>
      </c>
      <c r="E175" s="181" t="str">
        <f t="shared" si="0"/>
        <v>Hospitality/Events</v>
      </c>
      <c r="F175" s="180">
        <v>36.520000000000003</v>
      </c>
      <c r="G175" s="178" t="s">
        <v>466</v>
      </c>
      <c r="H175" s="173">
        <v>44112</v>
      </c>
      <c r="I175" t="s">
        <v>493</v>
      </c>
      <c r="J175" t="s">
        <v>287</v>
      </c>
      <c r="K175" t="s">
        <v>170</v>
      </c>
      <c r="L175" t="s">
        <v>293</v>
      </c>
      <c r="M175" t="s">
        <v>494</v>
      </c>
    </row>
    <row r="176" spans="1:13" x14ac:dyDescent="0.2">
      <c r="A176" s="178" t="s">
        <v>400</v>
      </c>
      <c r="B176" s="179">
        <v>44133</v>
      </c>
      <c r="C176" s="178">
        <v>4</v>
      </c>
      <c r="D176" s="178" t="s">
        <v>193</v>
      </c>
      <c r="E176" s="181" t="str">
        <f t="shared" ref="E176:E207" si="1">IF(D176="62101","Travel - Domestic Flights",IF(D176="62102","Travel - Domestic Expenses",IF(D176="62104","Taxi - Cab Services",IF(D176="62511","Hospitality/Events",""))))</f>
        <v>Taxi - Cab Services</v>
      </c>
      <c r="F176" s="180">
        <v>13.17</v>
      </c>
      <c r="G176" s="178" t="s">
        <v>454</v>
      </c>
      <c r="H176" s="173">
        <v>44105</v>
      </c>
      <c r="I176" t="s">
        <v>365</v>
      </c>
      <c r="J176" t="s">
        <v>286</v>
      </c>
      <c r="K176" t="s">
        <v>170</v>
      </c>
    </row>
    <row r="177" spans="1:13" x14ac:dyDescent="0.2">
      <c r="A177" s="178" t="s">
        <v>400</v>
      </c>
      <c r="B177" s="179">
        <v>44133</v>
      </c>
      <c r="C177" s="178">
        <v>4</v>
      </c>
      <c r="D177" s="178" t="s">
        <v>193</v>
      </c>
      <c r="E177" s="181" t="str">
        <f t="shared" si="1"/>
        <v>Taxi - Cab Services</v>
      </c>
      <c r="F177" s="180">
        <v>20.170000000000002</v>
      </c>
      <c r="G177" s="178" t="s">
        <v>455</v>
      </c>
      <c r="H177" s="173">
        <v>44112</v>
      </c>
      <c r="I177" t="s">
        <v>495</v>
      </c>
      <c r="J177" t="s">
        <v>286</v>
      </c>
      <c r="K177" t="s">
        <v>170</v>
      </c>
    </row>
    <row r="178" spans="1:13" x14ac:dyDescent="0.2">
      <c r="A178" s="178" t="s">
        <v>405</v>
      </c>
      <c r="B178" s="179">
        <v>44165</v>
      </c>
      <c r="C178" s="178">
        <v>5</v>
      </c>
      <c r="D178" s="178" t="s">
        <v>185</v>
      </c>
      <c r="E178" s="181" t="str">
        <f t="shared" si="1"/>
        <v>Travel - Domestic Expenses</v>
      </c>
      <c r="F178" s="180">
        <v>0.5</v>
      </c>
      <c r="G178" s="178" t="s">
        <v>256</v>
      </c>
      <c r="H178" s="173">
        <v>44126</v>
      </c>
      <c r="I178" t="s">
        <v>283</v>
      </c>
      <c r="J178" t="s">
        <v>268</v>
      </c>
      <c r="K178" t="s">
        <v>284</v>
      </c>
    </row>
    <row r="179" spans="1:13" x14ac:dyDescent="0.2">
      <c r="A179" s="178" t="s">
        <v>397</v>
      </c>
      <c r="B179" s="179">
        <v>44165</v>
      </c>
      <c r="C179" s="178">
        <v>5</v>
      </c>
      <c r="D179" s="178" t="s">
        <v>185</v>
      </c>
      <c r="E179" s="181" t="str">
        <f t="shared" si="1"/>
        <v>Travel - Domestic Expenses</v>
      </c>
      <c r="F179" s="180">
        <v>113.04</v>
      </c>
      <c r="G179" s="178" t="s">
        <v>435</v>
      </c>
      <c r="H179" s="173">
        <v>44126</v>
      </c>
      <c r="I179" t="s">
        <v>283</v>
      </c>
      <c r="J179" t="s">
        <v>268</v>
      </c>
      <c r="K179" t="s">
        <v>284</v>
      </c>
    </row>
    <row r="180" spans="1:13" x14ac:dyDescent="0.2">
      <c r="A180" s="178" t="s">
        <v>397</v>
      </c>
      <c r="B180" s="179">
        <v>44165</v>
      </c>
      <c r="C180" s="178">
        <v>5</v>
      </c>
      <c r="D180" s="178" t="s">
        <v>185</v>
      </c>
      <c r="E180" s="181" t="str">
        <f t="shared" si="1"/>
        <v>Travel - Domestic Expenses</v>
      </c>
      <c r="F180" s="180">
        <v>7.5</v>
      </c>
      <c r="G180" s="178" t="s">
        <v>436</v>
      </c>
      <c r="H180" s="173">
        <v>44126</v>
      </c>
      <c r="I180" t="s">
        <v>283</v>
      </c>
      <c r="J180" t="s">
        <v>268</v>
      </c>
      <c r="K180" t="s">
        <v>284</v>
      </c>
    </row>
    <row r="181" spans="1:13" x14ac:dyDescent="0.2">
      <c r="A181" s="178" t="s">
        <v>398</v>
      </c>
      <c r="B181" s="179">
        <v>44165</v>
      </c>
      <c r="C181" s="178">
        <v>5</v>
      </c>
      <c r="D181" s="178" t="s">
        <v>184</v>
      </c>
      <c r="E181" s="181" t="str">
        <f t="shared" si="1"/>
        <v>Travel - Domestic Flights</v>
      </c>
      <c r="F181" s="180">
        <v>260</v>
      </c>
      <c r="G181" s="178" t="s">
        <v>248</v>
      </c>
      <c r="H181" s="173">
        <v>44126</v>
      </c>
      <c r="I181" t="s">
        <v>283</v>
      </c>
      <c r="J181" t="s">
        <v>268</v>
      </c>
      <c r="K181" t="s">
        <v>284</v>
      </c>
    </row>
    <row r="182" spans="1:13" x14ac:dyDescent="0.2">
      <c r="A182" s="178" t="s">
        <v>398</v>
      </c>
      <c r="B182" s="179">
        <v>44165</v>
      </c>
      <c r="C182" s="178">
        <v>5</v>
      </c>
      <c r="D182" s="178" t="s">
        <v>185</v>
      </c>
      <c r="E182" s="181" t="str">
        <f t="shared" si="1"/>
        <v>Travel - Domestic Expenses</v>
      </c>
      <c r="F182" s="180">
        <v>127.89</v>
      </c>
      <c r="G182" s="178" t="s">
        <v>438</v>
      </c>
      <c r="H182" s="173">
        <v>44099</v>
      </c>
      <c r="I182" t="s">
        <v>367</v>
      </c>
      <c r="J182" t="s">
        <v>268</v>
      </c>
      <c r="K182" t="s">
        <v>269</v>
      </c>
    </row>
    <row r="183" spans="1:13" x14ac:dyDescent="0.2">
      <c r="A183" s="178" t="s">
        <v>405</v>
      </c>
      <c r="B183" s="179">
        <v>44165</v>
      </c>
      <c r="C183" s="178">
        <v>5</v>
      </c>
      <c r="D183" s="178" t="s">
        <v>185</v>
      </c>
      <c r="E183" s="181" t="str">
        <f t="shared" si="1"/>
        <v>Travel - Domestic Expenses</v>
      </c>
      <c r="F183" s="180">
        <v>0.5</v>
      </c>
      <c r="G183" s="178" t="s">
        <v>338</v>
      </c>
      <c r="H183" s="173">
        <v>44099</v>
      </c>
      <c r="I183" t="s">
        <v>367</v>
      </c>
      <c r="J183" t="s">
        <v>268</v>
      </c>
      <c r="K183" t="s">
        <v>269</v>
      </c>
    </row>
    <row r="184" spans="1:13" x14ac:dyDescent="0.2">
      <c r="A184" s="178" t="s">
        <v>398</v>
      </c>
      <c r="B184" s="179">
        <v>44165</v>
      </c>
      <c r="C184" s="178">
        <v>5</v>
      </c>
      <c r="D184" s="178" t="s">
        <v>185</v>
      </c>
      <c r="E184" s="181" t="str">
        <f t="shared" si="1"/>
        <v>Travel - Domestic Expenses</v>
      </c>
      <c r="F184" s="180">
        <v>7.5</v>
      </c>
      <c r="G184" s="178" t="s">
        <v>439</v>
      </c>
      <c r="H184" s="173">
        <v>44099</v>
      </c>
      <c r="I184" t="s">
        <v>367</v>
      </c>
      <c r="J184" t="s">
        <v>268</v>
      </c>
      <c r="K184" t="s">
        <v>269</v>
      </c>
    </row>
    <row r="185" spans="1:13" x14ac:dyDescent="0.2">
      <c r="A185" s="178" t="s">
        <v>404</v>
      </c>
      <c r="B185" s="179">
        <v>44165</v>
      </c>
      <c r="C185" s="178">
        <v>5</v>
      </c>
      <c r="D185" s="178" t="s">
        <v>185</v>
      </c>
      <c r="E185" s="181" t="str">
        <f t="shared" si="1"/>
        <v>Travel - Domestic Expenses</v>
      </c>
      <c r="F185" s="180">
        <v>98.26</v>
      </c>
      <c r="G185" s="178" t="s">
        <v>451</v>
      </c>
      <c r="H185" s="173">
        <v>44154</v>
      </c>
      <c r="I185" t="s">
        <v>362</v>
      </c>
      <c r="J185" t="s">
        <v>268</v>
      </c>
      <c r="K185" t="s">
        <v>359</v>
      </c>
    </row>
    <row r="186" spans="1:13" x14ac:dyDescent="0.2">
      <c r="A186" s="178" t="s">
        <v>397</v>
      </c>
      <c r="B186" s="179">
        <v>44165</v>
      </c>
      <c r="C186" s="178">
        <v>5</v>
      </c>
      <c r="D186" s="178" t="s">
        <v>185</v>
      </c>
      <c r="E186" s="181" t="str">
        <f t="shared" si="1"/>
        <v>Travel - Domestic Expenses</v>
      </c>
      <c r="F186" s="180">
        <v>10</v>
      </c>
      <c r="G186" s="178" t="s">
        <v>333</v>
      </c>
      <c r="H186" s="173">
        <v>44154</v>
      </c>
      <c r="I186" t="s">
        <v>362</v>
      </c>
      <c r="J186" t="s">
        <v>268</v>
      </c>
      <c r="K186" t="s">
        <v>359</v>
      </c>
    </row>
    <row r="187" spans="1:13" x14ac:dyDescent="0.2">
      <c r="A187" s="178" t="s">
        <v>406</v>
      </c>
      <c r="B187" s="179">
        <v>44165</v>
      </c>
      <c r="C187" s="178">
        <v>5</v>
      </c>
      <c r="D187" s="178" t="s">
        <v>185</v>
      </c>
      <c r="E187" s="181" t="str">
        <f t="shared" si="1"/>
        <v>Travel - Domestic Expenses</v>
      </c>
      <c r="F187" s="180">
        <v>0.5</v>
      </c>
      <c r="G187" s="178" t="s">
        <v>333</v>
      </c>
      <c r="H187" s="173">
        <v>44154</v>
      </c>
      <c r="I187" t="s">
        <v>362</v>
      </c>
      <c r="J187" t="s">
        <v>268</v>
      </c>
      <c r="K187" t="s">
        <v>359</v>
      </c>
    </row>
    <row r="188" spans="1:13" x14ac:dyDescent="0.2">
      <c r="A188" s="178" t="s">
        <v>404</v>
      </c>
      <c r="B188" s="179">
        <v>44165</v>
      </c>
      <c r="C188" s="178">
        <v>5</v>
      </c>
      <c r="D188" s="178" t="s">
        <v>185</v>
      </c>
      <c r="E188" s="181" t="str">
        <f t="shared" si="1"/>
        <v>Travel - Domestic Expenses</v>
      </c>
      <c r="F188" s="180">
        <v>7.5</v>
      </c>
      <c r="G188" s="178" t="s">
        <v>452</v>
      </c>
      <c r="H188" s="173">
        <v>44154</v>
      </c>
      <c r="I188" t="s">
        <v>362</v>
      </c>
      <c r="J188" t="s">
        <v>268</v>
      </c>
      <c r="K188" t="s">
        <v>359</v>
      </c>
    </row>
    <row r="189" spans="1:13" x14ac:dyDescent="0.2">
      <c r="A189" s="178" t="s">
        <v>397</v>
      </c>
      <c r="B189" s="179">
        <v>44165</v>
      </c>
      <c r="C189" s="178">
        <v>5</v>
      </c>
      <c r="D189" s="178" t="s">
        <v>184</v>
      </c>
      <c r="E189" s="181" t="str">
        <f t="shared" si="1"/>
        <v>Travel - Domestic Flights</v>
      </c>
      <c r="F189" s="180">
        <v>21.29</v>
      </c>
      <c r="G189" s="178" t="s">
        <v>310</v>
      </c>
      <c r="H189" s="173">
        <v>44154</v>
      </c>
      <c r="I189" t="s">
        <v>362</v>
      </c>
      <c r="J189" t="s">
        <v>268</v>
      </c>
      <c r="K189" t="s">
        <v>359</v>
      </c>
    </row>
    <row r="190" spans="1:13" x14ac:dyDescent="0.2">
      <c r="A190" s="178" t="s">
        <v>398</v>
      </c>
      <c r="B190" s="179">
        <v>44165</v>
      </c>
      <c r="C190" s="178">
        <v>5</v>
      </c>
      <c r="D190" s="178" t="s">
        <v>185</v>
      </c>
      <c r="E190" s="181" t="str">
        <f t="shared" si="1"/>
        <v>Travel - Domestic Expenses</v>
      </c>
      <c r="F190" s="180">
        <v>159.6</v>
      </c>
      <c r="G190" s="178" t="s">
        <v>440</v>
      </c>
      <c r="H190" s="173">
        <v>44133</v>
      </c>
      <c r="I190" t="s">
        <v>475</v>
      </c>
      <c r="J190" t="s">
        <v>268</v>
      </c>
      <c r="K190" t="s">
        <v>269</v>
      </c>
      <c r="M190" t="s">
        <v>476</v>
      </c>
    </row>
    <row r="191" spans="1:13" x14ac:dyDescent="0.2">
      <c r="A191" s="178" t="s">
        <v>397</v>
      </c>
      <c r="B191" s="179">
        <v>44165</v>
      </c>
      <c r="C191" s="178">
        <v>5</v>
      </c>
      <c r="D191" s="178" t="s">
        <v>185</v>
      </c>
      <c r="E191" s="181" t="str">
        <f t="shared" si="1"/>
        <v>Travel - Domestic Expenses</v>
      </c>
      <c r="F191" s="180">
        <v>10</v>
      </c>
      <c r="G191" s="178" t="s">
        <v>428</v>
      </c>
      <c r="H191" s="173">
        <v>44133</v>
      </c>
      <c r="I191" t="s">
        <v>475</v>
      </c>
      <c r="J191" t="s">
        <v>268</v>
      </c>
      <c r="K191" t="s">
        <v>269</v>
      </c>
      <c r="M191" t="s">
        <v>476</v>
      </c>
    </row>
    <row r="192" spans="1:13" x14ac:dyDescent="0.2">
      <c r="A192" s="178" t="s">
        <v>405</v>
      </c>
      <c r="B192" s="179">
        <v>44165</v>
      </c>
      <c r="C192" s="178">
        <v>5</v>
      </c>
      <c r="D192" s="178" t="s">
        <v>185</v>
      </c>
      <c r="E192" s="181" t="str">
        <f t="shared" si="1"/>
        <v>Travel - Domestic Expenses</v>
      </c>
      <c r="F192" s="180">
        <v>0.5</v>
      </c>
      <c r="G192" s="178" t="s">
        <v>428</v>
      </c>
      <c r="H192" s="173">
        <v>44133</v>
      </c>
      <c r="I192" t="s">
        <v>475</v>
      </c>
      <c r="J192" t="s">
        <v>268</v>
      </c>
      <c r="K192" t="s">
        <v>269</v>
      </c>
      <c r="M192" t="s">
        <v>476</v>
      </c>
    </row>
    <row r="193" spans="1:13" x14ac:dyDescent="0.2">
      <c r="A193" s="178" t="s">
        <v>405</v>
      </c>
      <c r="B193" s="179">
        <v>44165</v>
      </c>
      <c r="C193" s="178">
        <v>5</v>
      </c>
      <c r="D193" s="178" t="s">
        <v>185</v>
      </c>
      <c r="E193" s="181" t="str">
        <f t="shared" si="1"/>
        <v>Travel - Domestic Expenses</v>
      </c>
      <c r="F193" s="180">
        <v>0.5</v>
      </c>
      <c r="G193" s="178" t="s">
        <v>428</v>
      </c>
      <c r="H193" s="173">
        <v>44133</v>
      </c>
      <c r="I193" t="s">
        <v>475</v>
      </c>
      <c r="J193" t="s">
        <v>268</v>
      </c>
      <c r="K193" t="s">
        <v>269</v>
      </c>
      <c r="M193" t="s">
        <v>476</v>
      </c>
    </row>
    <row r="194" spans="1:13" x14ac:dyDescent="0.2">
      <c r="A194" s="178" t="s">
        <v>405</v>
      </c>
      <c r="B194" s="179">
        <v>44165</v>
      </c>
      <c r="C194" s="178">
        <v>5</v>
      </c>
      <c r="D194" s="178" t="s">
        <v>185</v>
      </c>
      <c r="E194" s="181" t="str">
        <f t="shared" si="1"/>
        <v>Travel - Domestic Expenses</v>
      </c>
      <c r="F194" s="180">
        <v>0.5</v>
      </c>
      <c r="G194" s="178" t="s">
        <v>428</v>
      </c>
      <c r="H194" s="173">
        <v>44133</v>
      </c>
      <c r="I194" t="s">
        <v>475</v>
      </c>
      <c r="J194" t="s">
        <v>268</v>
      </c>
      <c r="K194" t="s">
        <v>269</v>
      </c>
      <c r="M194" t="s">
        <v>476</v>
      </c>
    </row>
    <row r="195" spans="1:13" x14ac:dyDescent="0.2">
      <c r="A195" s="178" t="s">
        <v>398</v>
      </c>
      <c r="B195" s="179">
        <v>44165</v>
      </c>
      <c r="C195" s="178">
        <v>5</v>
      </c>
      <c r="D195" s="178" t="s">
        <v>185</v>
      </c>
      <c r="E195" s="181" t="str">
        <f t="shared" si="1"/>
        <v>Travel - Domestic Expenses</v>
      </c>
      <c r="F195" s="180">
        <v>7.5</v>
      </c>
      <c r="G195" s="178" t="s">
        <v>441</v>
      </c>
      <c r="H195" s="173">
        <v>44133</v>
      </c>
      <c r="I195" t="s">
        <v>475</v>
      </c>
      <c r="J195" t="s">
        <v>268</v>
      </c>
      <c r="K195" t="s">
        <v>269</v>
      </c>
      <c r="M195" t="s">
        <v>476</v>
      </c>
    </row>
    <row r="196" spans="1:13" x14ac:dyDescent="0.2">
      <c r="A196" s="178" t="s">
        <v>398</v>
      </c>
      <c r="B196" s="179">
        <v>44165</v>
      </c>
      <c r="C196" s="178">
        <v>5</v>
      </c>
      <c r="D196" s="178" t="s">
        <v>185</v>
      </c>
      <c r="E196" s="181" t="str">
        <f t="shared" si="1"/>
        <v>Travel - Domestic Expenses</v>
      </c>
      <c r="F196" s="180">
        <v>7.5</v>
      </c>
      <c r="G196" s="178" t="s">
        <v>441</v>
      </c>
      <c r="H196" s="173">
        <v>44133</v>
      </c>
      <c r="I196" t="s">
        <v>475</v>
      </c>
      <c r="J196" t="s">
        <v>268</v>
      </c>
      <c r="K196" t="s">
        <v>269</v>
      </c>
      <c r="M196" t="s">
        <v>476</v>
      </c>
    </row>
    <row r="197" spans="1:13" x14ac:dyDescent="0.2">
      <c r="A197" s="178" t="s">
        <v>398</v>
      </c>
      <c r="B197" s="179">
        <v>44165</v>
      </c>
      <c r="C197" s="178">
        <v>5</v>
      </c>
      <c r="D197" s="178" t="s">
        <v>185</v>
      </c>
      <c r="E197" s="181" t="str">
        <f t="shared" si="1"/>
        <v>Travel - Domestic Expenses</v>
      </c>
      <c r="F197" s="180">
        <v>2.39</v>
      </c>
      <c r="G197" s="178" t="s">
        <v>442</v>
      </c>
      <c r="H197" s="173">
        <v>44133</v>
      </c>
      <c r="I197" t="s">
        <v>475</v>
      </c>
      <c r="J197" t="s">
        <v>268</v>
      </c>
      <c r="K197" t="s">
        <v>269</v>
      </c>
      <c r="M197" t="s">
        <v>476</v>
      </c>
    </row>
    <row r="198" spans="1:13" x14ac:dyDescent="0.2">
      <c r="A198" s="178" t="s">
        <v>398</v>
      </c>
      <c r="B198" s="179">
        <v>44165</v>
      </c>
      <c r="C198" s="178">
        <v>5</v>
      </c>
      <c r="D198" s="178" t="s">
        <v>185</v>
      </c>
      <c r="E198" s="181" t="str">
        <f t="shared" si="1"/>
        <v>Travel - Domestic Expenses</v>
      </c>
      <c r="F198" s="180">
        <v>20</v>
      </c>
      <c r="G198" s="178" t="s">
        <v>443</v>
      </c>
      <c r="H198" s="173">
        <v>44133</v>
      </c>
      <c r="I198" t="s">
        <v>475</v>
      </c>
      <c r="J198" t="s">
        <v>268</v>
      </c>
      <c r="K198" t="s">
        <v>269</v>
      </c>
      <c r="M198" t="s">
        <v>476</v>
      </c>
    </row>
    <row r="199" spans="1:13" x14ac:dyDescent="0.2">
      <c r="A199" s="178" t="s">
        <v>398</v>
      </c>
      <c r="B199" s="179">
        <v>44165</v>
      </c>
      <c r="C199" s="178">
        <v>5</v>
      </c>
      <c r="D199" s="178" t="s">
        <v>185</v>
      </c>
      <c r="E199" s="181" t="str">
        <f t="shared" si="1"/>
        <v>Travel - Domestic Expenses</v>
      </c>
      <c r="F199" s="180">
        <v>116.61</v>
      </c>
      <c r="G199" s="178" t="s">
        <v>444</v>
      </c>
      <c r="H199" s="173">
        <v>44133</v>
      </c>
      <c r="I199" t="s">
        <v>475</v>
      </c>
      <c r="J199" t="s">
        <v>268</v>
      </c>
      <c r="K199" t="s">
        <v>269</v>
      </c>
      <c r="M199" t="s">
        <v>476</v>
      </c>
    </row>
    <row r="200" spans="1:13" x14ac:dyDescent="0.2">
      <c r="A200" s="178" t="s">
        <v>404</v>
      </c>
      <c r="B200" s="179">
        <v>44165</v>
      </c>
      <c r="C200" s="178">
        <v>5</v>
      </c>
      <c r="D200" s="178" t="s">
        <v>185</v>
      </c>
      <c r="E200" s="181" t="str">
        <f t="shared" si="1"/>
        <v>Travel - Domestic Expenses</v>
      </c>
      <c r="F200" s="180">
        <v>16.850000000000001</v>
      </c>
      <c r="G200" s="178" t="s">
        <v>431</v>
      </c>
      <c r="H200" s="173">
        <v>44137</v>
      </c>
      <c r="I200" t="s">
        <v>478</v>
      </c>
      <c r="J200" t="s">
        <v>268</v>
      </c>
      <c r="K200" t="s">
        <v>477</v>
      </c>
      <c r="M200" t="s">
        <v>565</v>
      </c>
    </row>
    <row r="201" spans="1:13" x14ac:dyDescent="0.2">
      <c r="A201" s="178" t="s">
        <v>405</v>
      </c>
      <c r="B201" s="179">
        <v>44165</v>
      </c>
      <c r="C201" s="178">
        <v>5</v>
      </c>
      <c r="D201" s="178" t="s">
        <v>185</v>
      </c>
      <c r="E201" s="181" t="str">
        <f t="shared" si="1"/>
        <v>Travel - Domestic Expenses</v>
      </c>
      <c r="F201" s="180">
        <v>0.5</v>
      </c>
      <c r="G201" s="178" t="s">
        <v>431</v>
      </c>
      <c r="H201" s="173">
        <v>44137</v>
      </c>
      <c r="I201" t="s">
        <v>478</v>
      </c>
      <c r="J201" t="s">
        <v>268</v>
      </c>
      <c r="K201" t="s">
        <v>477</v>
      </c>
      <c r="M201" t="s">
        <v>565</v>
      </c>
    </row>
    <row r="202" spans="1:13" x14ac:dyDescent="0.2">
      <c r="A202" s="178" t="s">
        <v>398</v>
      </c>
      <c r="B202" s="179">
        <v>44165</v>
      </c>
      <c r="C202" s="178">
        <v>5</v>
      </c>
      <c r="D202" s="178" t="s">
        <v>185</v>
      </c>
      <c r="E202" s="181" t="str">
        <f t="shared" si="1"/>
        <v>Travel - Domestic Expenses</v>
      </c>
      <c r="F202" s="180">
        <v>7.5</v>
      </c>
      <c r="G202" s="178" t="s">
        <v>445</v>
      </c>
      <c r="H202" s="173">
        <v>44137</v>
      </c>
      <c r="I202" t="s">
        <v>478</v>
      </c>
      <c r="J202" t="s">
        <v>268</v>
      </c>
      <c r="K202" t="s">
        <v>477</v>
      </c>
      <c r="M202" t="s">
        <v>565</v>
      </c>
    </row>
    <row r="203" spans="1:13" x14ac:dyDescent="0.2">
      <c r="A203" s="178" t="s">
        <v>398</v>
      </c>
      <c r="B203" s="179">
        <v>44165</v>
      </c>
      <c r="C203" s="178">
        <v>5</v>
      </c>
      <c r="D203" s="178" t="s">
        <v>185</v>
      </c>
      <c r="E203" s="181" t="str">
        <f t="shared" si="1"/>
        <v>Travel - Domestic Expenses</v>
      </c>
      <c r="F203" s="180">
        <v>134.78</v>
      </c>
      <c r="G203" s="178" t="s">
        <v>446</v>
      </c>
      <c r="H203" s="173">
        <v>44137</v>
      </c>
      <c r="I203" t="s">
        <v>478</v>
      </c>
      <c r="J203" t="s">
        <v>268</v>
      </c>
      <c r="K203" t="s">
        <v>477</v>
      </c>
      <c r="M203" t="s">
        <v>565</v>
      </c>
    </row>
    <row r="204" spans="1:13" x14ac:dyDescent="0.2">
      <c r="A204" s="178" t="s">
        <v>397</v>
      </c>
      <c r="B204" s="179">
        <v>44165</v>
      </c>
      <c r="C204" s="178">
        <v>5</v>
      </c>
      <c r="D204" s="178" t="s">
        <v>185</v>
      </c>
      <c r="E204" s="181" t="str">
        <f t="shared" si="1"/>
        <v>Travel - Domestic Expenses</v>
      </c>
      <c r="F204" s="180">
        <v>23.45</v>
      </c>
      <c r="G204" s="178" t="s">
        <v>437</v>
      </c>
      <c r="H204" s="173">
        <v>44175</v>
      </c>
      <c r="I204" t="s">
        <v>479</v>
      </c>
      <c r="J204" t="s">
        <v>268</v>
      </c>
      <c r="K204" t="s">
        <v>361</v>
      </c>
      <c r="M204" t="s">
        <v>480</v>
      </c>
    </row>
    <row r="205" spans="1:13" x14ac:dyDescent="0.2">
      <c r="A205" s="178" t="s">
        <v>398</v>
      </c>
      <c r="B205" s="179">
        <v>44165</v>
      </c>
      <c r="C205" s="178">
        <v>5</v>
      </c>
      <c r="D205" s="178" t="s">
        <v>185</v>
      </c>
      <c r="E205" s="181" t="str">
        <f t="shared" si="1"/>
        <v>Travel - Domestic Expenses</v>
      </c>
      <c r="F205" s="180">
        <v>10</v>
      </c>
      <c r="G205" s="178" t="s">
        <v>437</v>
      </c>
      <c r="H205" s="173">
        <v>44175</v>
      </c>
      <c r="I205" t="s">
        <v>479</v>
      </c>
      <c r="J205" t="s">
        <v>268</v>
      </c>
      <c r="K205" t="s">
        <v>361</v>
      </c>
      <c r="M205" t="s">
        <v>480</v>
      </c>
    </row>
    <row r="206" spans="1:13" x14ac:dyDescent="0.2">
      <c r="A206" s="178" t="s">
        <v>397</v>
      </c>
      <c r="B206" s="179">
        <v>44165</v>
      </c>
      <c r="C206" s="178">
        <v>5</v>
      </c>
      <c r="D206" s="178" t="s">
        <v>184</v>
      </c>
      <c r="E206" s="181" t="str">
        <f t="shared" si="1"/>
        <v>Travel - Domestic Flights</v>
      </c>
      <c r="F206" s="180">
        <v>498.34</v>
      </c>
      <c r="G206" s="178" t="s">
        <v>417</v>
      </c>
      <c r="H206" s="173">
        <v>44175</v>
      </c>
      <c r="I206" t="s">
        <v>479</v>
      </c>
      <c r="J206" t="s">
        <v>268</v>
      </c>
      <c r="K206" t="s">
        <v>361</v>
      </c>
      <c r="M206" t="s">
        <v>480</v>
      </c>
    </row>
    <row r="207" spans="1:13" x14ac:dyDescent="0.2">
      <c r="A207" s="178" t="s">
        <v>398</v>
      </c>
      <c r="B207" s="179">
        <v>44165</v>
      </c>
      <c r="C207" s="178">
        <v>5</v>
      </c>
      <c r="D207" s="178" t="s">
        <v>185</v>
      </c>
      <c r="E207" s="181" t="str">
        <f t="shared" si="1"/>
        <v>Travel - Domestic Expenses</v>
      </c>
      <c r="F207" s="180">
        <v>21.35</v>
      </c>
      <c r="G207" s="178" t="s">
        <v>447</v>
      </c>
      <c r="H207" s="173">
        <v>44169</v>
      </c>
      <c r="I207" t="s">
        <v>566</v>
      </c>
    </row>
    <row r="208" spans="1:13" x14ac:dyDescent="0.2">
      <c r="A208" s="178" t="s">
        <v>398</v>
      </c>
      <c r="B208" s="179">
        <v>44165</v>
      </c>
      <c r="C208" s="178">
        <v>5</v>
      </c>
      <c r="D208" s="178" t="s">
        <v>185</v>
      </c>
      <c r="E208" s="181" t="str">
        <f t="shared" ref="E208:E239" si="2">IF(D208="62101","Travel - Domestic Flights",IF(D208="62102","Travel - Domestic Expenses",IF(D208="62104","Taxi - Cab Services",IF(D208="62511","Hospitality/Events",""))))</f>
        <v>Travel - Domestic Expenses</v>
      </c>
      <c r="F208" s="180">
        <v>10.85</v>
      </c>
      <c r="G208" s="178" t="s">
        <v>448</v>
      </c>
      <c r="H208" s="173">
        <v>44251</v>
      </c>
      <c r="I208" t="s">
        <v>481</v>
      </c>
      <c r="J208" t="s">
        <v>268</v>
      </c>
      <c r="K208" t="s">
        <v>272</v>
      </c>
    </row>
    <row r="209" spans="1:13" x14ac:dyDescent="0.2">
      <c r="A209" s="178" t="s">
        <v>398</v>
      </c>
      <c r="B209" s="179">
        <v>44165</v>
      </c>
      <c r="C209" s="178">
        <v>5</v>
      </c>
      <c r="D209" s="178" t="s">
        <v>184</v>
      </c>
      <c r="E209" s="181" t="str">
        <f t="shared" si="2"/>
        <v>Travel - Domestic Flights</v>
      </c>
      <c r="F209" s="180">
        <v>218.46</v>
      </c>
      <c r="G209" s="178" t="s">
        <v>418</v>
      </c>
      <c r="H209" s="173">
        <v>44251</v>
      </c>
      <c r="I209" t="s">
        <v>481</v>
      </c>
      <c r="J209" t="s">
        <v>268</v>
      </c>
      <c r="K209" t="s">
        <v>272</v>
      </c>
    </row>
    <row r="210" spans="1:13" x14ac:dyDescent="0.2">
      <c r="A210" s="178" t="s">
        <v>398</v>
      </c>
      <c r="B210" s="179">
        <v>44165</v>
      </c>
      <c r="C210" s="178">
        <v>5</v>
      </c>
      <c r="D210" s="178" t="s">
        <v>185</v>
      </c>
      <c r="E210" s="181" t="str">
        <f t="shared" si="2"/>
        <v>Travel - Domestic Expenses</v>
      </c>
      <c r="F210" s="180">
        <v>29.75</v>
      </c>
      <c r="G210" s="178" t="s">
        <v>449</v>
      </c>
      <c r="H210" s="173">
        <v>44140</v>
      </c>
      <c r="I210" t="s">
        <v>482</v>
      </c>
      <c r="J210" t="s">
        <v>268</v>
      </c>
      <c r="K210" t="s">
        <v>272</v>
      </c>
      <c r="M210" t="s">
        <v>569</v>
      </c>
    </row>
    <row r="211" spans="1:13" x14ac:dyDescent="0.2">
      <c r="A211" s="178" t="s">
        <v>398</v>
      </c>
      <c r="B211" s="179">
        <v>44165</v>
      </c>
      <c r="C211" s="178">
        <v>5</v>
      </c>
      <c r="D211" s="178" t="s">
        <v>185</v>
      </c>
      <c r="E211" s="181" t="str">
        <f t="shared" si="2"/>
        <v>Travel - Domestic Expenses</v>
      </c>
      <c r="F211" s="180">
        <v>10</v>
      </c>
      <c r="G211" s="178" t="s">
        <v>449</v>
      </c>
      <c r="H211" s="173">
        <v>44140</v>
      </c>
      <c r="I211" t="s">
        <v>482</v>
      </c>
      <c r="J211" t="s">
        <v>268</v>
      </c>
      <c r="K211" t="s">
        <v>272</v>
      </c>
      <c r="M211" t="s">
        <v>569</v>
      </c>
    </row>
    <row r="212" spans="1:13" x14ac:dyDescent="0.2">
      <c r="A212" s="178" t="s">
        <v>398</v>
      </c>
      <c r="B212" s="179">
        <v>44165</v>
      </c>
      <c r="C212" s="178">
        <v>5</v>
      </c>
      <c r="D212" s="178" t="s">
        <v>185</v>
      </c>
      <c r="E212" s="181" t="str">
        <f t="shared" si="2"/>
        <v>Travel - Domestic Expenses</v>
      </c>
      <c r="F212" s="180">
        <v>10</v>
      </c>
      <c r="G212" s="178" t="s">
        <v>449</v>
      </c>
      <c r="H212" s="173">
        <v>44140</v>
      </c>
      <c r="I212" t="s">
        <v>482</v>
      </c>
      <c r="J212" t="s">
        <v>268</v>
      </c>
      <c r="K212" t="s">
        <v>272</v>
      </c>
      <c r="M212" t="s">
        <v>569</v>
      </c>
    </row>
    <row r="213" spans="1:13" x14ac:dyDescent="0.2">
      <c r="A213" s="178" t="s">
        <v>398</v>
      </c>
      <c r="B213" s="179">
        <v>44165</v>
      </c>
      <c r="C213" s="178">
        <v>5</v>
      </c>
      <c r="D213" s="178" t="s">
        <v>185</v>
      </c>
      <c r="E213" s="181" t="str">
        <f t="shared" si="2"/>
        <v>Travel - Domestic Expenses</v>
      </c>
      <c r="F213" s="180">
        <v>30</v>
      </c>
      <c r="G213" s="178" t="s">
        <v>449</v>
      </c>
      <c r="H213" s="173">
        <v>44140</v>
      </c>
      <c r="I213" t="s">
        <v>482</v>
      </c>
      <c r="J213" t="s">
        <v>268</v>
      </c>
      <c r="K213" t="s">
        <v>272</v>
      </c>
      <c r="M213" t="s">
        <v>569</v>
      </c>
    </row>
    <row r="214" spans="1:13" x14ac:dyDescent="0.2">
      <c r="A214" s="178" t="s">
        <v>398</v>
      </c>
      <c r="B214" s="179">
        <v>44165</v>
      </c>
      <c r="C214" s="178">
        <v>5</v>
      </c>
      <c r="D214" s="178" t="s">
        <v>184</v>
      </c>
      <c r="E214" s="181" t="str">
        <f t="shared" si="2"/>
        <v>Travel - Domestic Flights</v>
      </c>
      <c r="F214" s="180">
        <v>796.2</v>
      </c>
      <c r="G214" s="178" t="s">
        <v>419</v>
      </c>
      <c r="H214" s="173">
        <v>44140</v>
      </c>
      <c r="I214" t="s">
        <v>482</v>
      </c>
      <c r="J214" t="s">
        <v>268</v>
      </c>
      <c r="K214" t="s">
        <v>272</v>
      </c>
      <c r="M214" t="s">
        <v>569</v>
      </c>
    </row>
    <row r="215" spans="1:13" x14ac:dyDescent="0.2">
      <c r="A215" s="178" t="s">
        <v>398</v>
      </c>
      <c r="B215" s="179">
        <v>44165</v>
      </c>
      <c r="C215" s="178">
        <v>5</v>
      </c>
      <c r="D215" s="178" t="s">
        <v>185</v>
      </c>
      <c r="E215" s="181" t="str">
        <f t="shared" si="2"/>
        <v>Travel - Domestic Expenses</v>
      </c>
      <c r="F215" s="180">
        <v>23.45</v>
      </c>
      <c r="G215" s="178" t="s">
        <v>450</v>
      </c>
      <c r="H215" s="173">
        <v>44162</v>
      </c>
      <c r="I215" t="s">
        <v>483</v>
      </c>
      <c r="J215" t="s">
        <v>268</v>
      </c>
      <c r="K215" t="s">
        <v>306</v>
      </c>
      <c r="M215" t="s">
        <v>570</v>
      </c>
    </row>
    <row r="216" spans="1:13" x14ac:dyDescent="0.2">
      <c r="A216" s="178" t="s">
        <v>398</v>
      </c>
      <c r="B216" s="179">
        <v>44165</v>
      </c>
      <c r="C216" s="178">
        <v>5</v>
      </c>
      <c r="D216" s="178" t="s">
        <v>184</v>
      </c>
      <c r="E216" s="181" t="str">
        <f t="shared" si="2"/>
        <v>Travel - Domestic Flights</v>
      </c>
      <c r="F216" s="180">
        <v>853.12</v>
      </c>
      <c r="G216" s="178" t="s">
        <v>420</v>
      </c>
      <c r="H216" s="173">
        <v>44162</v>
      </c>
      <c r="I216" t="s">
        <v>483</v>
      </c>
      <c r="J216" t="s">
        <v>268</v>
      </c>
      <c r="K216" t="s">
        <v>306</v>
      </c>
      <c r="M216" t="s">
        <v>570</v>
      </c>
    </row>
    <row r="217" spans="1:13" x14ac:dyDescent="0.2">
      <c r="A217" s="178" t="s">
        <v>403</v>
      </c>
      <c r="B217" s="179">
        <v>44165</v>
      </c>
      <c r="C217" s="178">
        <v>5</v>
      </c>
      <c r="D217" s="178" t="s">
        <v>185</v>
      </c>
      <c r="E217" s="181" t="str">
        <f t="shared" si="2"/>
        <v>Travel - Domestic Expenses</v>
      </c>
      <c r="F217" s="180">
        <v>-10.85</v>
      </c>
      <c r="G217" s="178" t="s">
        <v>434</v>
      </c>
      <c r="H217" s="173">
        <v>44137</v>
      </c>
      <c r="I217" t="s">
        <v>263</v>
      </c>
      <c r="J217" t="s">
        <v>289</v>
      </c>
      <c r="K217" t="s">
        <v>289</v>
      </c>
    </row>
    <row r="218" spans="1:13" x14ac:dyDescent="0.2">
      <c r="A218" s="178" t="s">
        <v>399</v>
      </c>
      <c r="B218" s="179">
        <v>44162</v>
      </c>
      <c r="C218" s="178">
        <v>5</v>
      </c>
      <c r="D218" s="178" t="s">
        <v>184</v>
      </c>
      <c r="E218" s="181" t="str">
        <f t="shared" si="2"/>
        <v>Travel - Domestic Flights</v>
      </c>
      <c r="F218" s="180">
        <v>780.88</v>
      </c>
      <c r="G218" s="178" t="s">
        <v>421</v>
      </c>
    </row>
    <row r="219" spans="1:13" x14ac:dyDescent="0.2">
      <c r="A219" s="178" t="s">
        <v>407</v>
      </c>
      <c r="B219" s="179">
        <v>44162</v>
      </c>
      <c r="C219" s="178">
        <v>5</v>
      </c>
      <c r="D219" s="178" t="s">
        <v>185</v>
      </c>
      <c r="E219" s="181" t="str">
        <f t="shared" si="2"/>
        <v>Travel - Domestic Expenses</v>
      </c>
      <c r="F219" s="180">
        <v>69.569999999999993</v>
      </c>
      <c r="G219" s="178" t="s">
        <v>453</v>
      </c>
      <c r="H219" s="173">
        <v>44128</v>
      </c>
      <c r="I219" t="s">
        <v>491</v>
      </c>
      <c r="J219" t="s">
        <v>485</v>
      </c>
      <c r="K219" t="s">
        <v>492</v>
      </c>
    </row>
    <row r="220" spans="1:13" x14ac:dyDescent="0.2">
      <c r="A220" s="178" t="s">
        <v>407</v>
      </c>
      <c r="B220" s="179">
        <v>44162</v>
      </c>
      <c r="C220" s="178">
        <v>5</v>
      </c>
      <c r="D220" s="178" t="s">
        <v>193</v>
      </c>
      <c r="E220" s="181" t="str">
        <f t="shared" si="2"/>
        <v>Taxi - Cab Services</v>
      </c>
      <c r="F220" s="180">
        <v>26.07</v>
      </c>
      <c r="G220" s="178" t="s">
        <v>457</v>
      </c>
      <c r="H220" s="173">
        <v>44152</v>
      </c>
      <c r="I220" t="s">
        <v>488</v>
      </c>
      <c r="J220" t="s">
        <v>286</v>
      </c>
      <c r="K220" t="s">
        <v>170</v>
      </c>
    </row>
    <row r="221" spans="1:13" x14ac:dyDescent="0.2">
      <c r="A221" s="178" t="s">
        <v>407</v>
      </c>
      <c r="B221" s="179">
        <v>44162</v>
      </c>
      <c r="C221" s="178">
        <v>5</v>
      </c>
      <c r="D221" s="178" t="s">
        <v>193</v>
      </c>
      <c r="E221" s="181" t="str">
        <f t="shared" si="2"/>
        <v>Taxi - Cab Services</v>
      </c>
      <c r="F221" s="180">
        <v>22.63</v>
      </c>
      <c r="G221" s="178" t="s">
        <v>458</v>
      </c>
      <c r="H221" s="173">
        <v>44151</v>
      </c>
      <c r="I221" t="s">
        <v>490</v>
      </c>
      <c r="J221" t="s">
        <v>286</v>
      </c>
      <c r="K221" t="s">
        <v>170</v>
      </c>
    </row>
    <row r="222" spans="1:13" x14ac:dyDescent="0.2">
      <c r="A222" s="178" t="s">
        <v>407</v>
      </c>
      <c r="B222" s="179">
        <v>44162</v>
      </c>
      <c r="C222" s="178">
        <v>5</v>
      </c>
      <c r="D222" s="178" t="s">
        <v>193</v>
      </c>
      <c r="E222" s="181" t="str">
        <f t="shared" si="2"/>
        <v>Taxi - Cab Services</v>
      </c>
      <c r="F222" s="180">
        <v>24.15</v>
      </c>
      <c r="G222" s="178" t="s">
        <v>456</v>
      </c>
      <c r="H222" s="173">
        <v>44145</v>
      </c>
      <c r="I222" t="s">
        <v>489</v>
      </c>
      <c r="J222" t="s">
        <v>286</v>
      </c>
      <c r="K222" t="s">
        <v>170</v>
      </c>
    </row>
    <row r="223" spans="1:13" x14ac:dyDescent="0.2">
      <c r="A223" s="178" t="s">
        <v>407</v>
      </c>
      <c r="B223" s="179">
        <v>44162</v>
      </c>
      <c r="C223" s="178">
        <v>5</v>
      </c>
      <c r="D223" s="178" t="s">
        <v>193</v>
      </c>
      <c r="E223" s="181" t="str">
        <f t="shared" si="2"/>
        <v>Taxi - Cab Services</v>
      </c>
      <c r="F223" s="180">
        <v>20.78</v>
      </c>
      <c r="G223" s="178" t="s">
        <v>459</v>
      </c>
      <c r="H223" s="173">
        <v>44132</v>
      </c>
      <c r="I223" t="s">
        <v>475</v>
      </c>
      <c r="J223" t="s">
        <v>286</v>
      </c>
      <c r="K223" t="s">
        <v>269</v>
      </c>
    </row>
    <row r="224" spans="1:13" x14ac:dyDescent="0.2">
      <c r="A224" s="178" t="s">
        <v>408</v>
      </c>
      <c r="B224" s="179">
        <v>44165</v>
      </c>
      <c r="C224" s="178">
        <v>5</v>
      </c>
      <c r="D224" s="178" t="s">
        <v>193</v>
      </c>
      <c r="E224" s="181" t="str">
        <f t="shared" si="2"/>
        <v>Taxi - Cab Services</v>
      </c>
      <c r="F224" s="180">
        <v>48.23</v>
      </c>
      <c r="G224" s="178" t="s">
        <v>461</v>
      </c>
    </row>
    <row r="225" spans="1:13" x14ac:dyDescent="0.2">
      <c r="A225" s="178" t="s">
        <v>407</v>
      </c>
      <c r="B225" s="179">
        <v>44162</v>
      </c>
      <c r="C225" s="178">
        <v>5</v>
      </c>
      <c r="D225" s="178" t="s">
        <v>193</v>
      </c>
      <c r="E225" s="181" t="str">
        <f t="shared" si="2"/>
        <v>Taxi - Cab Services</v>
      </c>
      <c r="F225" s="180">
        <v>20.48</v>
      </c>
      <c r="G225" s="178" t="s">
        <v>460</v>
      </c>
      <c r="H225" s="173">
        <v>44153</v>
      </c>
      <c r="I225" t="s">
        <v>362</v>
      </c>
      <c r="J225" t="s">
        <v>286</v>
      </c>
      <c r="K225" t="s">
        <v>359</v>
      </c>
    </row>
    <row r="226" spans="1:13" x14ac:dyDescent="0.2">
      <c r="A226" s="178" t="s">
        <v>408</v>
      </c>
      <c r="B226" s="179">
        <v>44165</v>
      </c>
      <c r="C226" s="178">
        <v>5</v>
      </c>
      <c r="D226" s="178" t="s">
        <v>193</v>
      </c>
      <c r="E226" s="181" t="str">
        <f t="shared" si="2"/>
        <v>Taxi - Cab Services</v>
      </c>
      <c r="F226" s="180">
        <v>49.8</v>
      </c>
      <c r="G226" s="178" t="s">
        <v>462</v>
      </c>
    </row>
    <row r="227" spans="1:13" x14ac:dyDescent="0.2">
      <c r="A227" s="178" t="s">
        <v>408</v>
      </c>
      <c r="B227" s="179">
        <v>44165</v>
      </c>
      <c r="C227" s="178">
        <v>5</v>
      </c>
      <c r="D227" s="178" t="s">
        <v>193</v>
      </c>
      <c r="E227" s="181" t="str">
        <f t="shared" si="2"/>
        <v>Taxi - Cab Services</v>
      </c>
      <c r="F227" s="180">
        <v>20.04</v>
      </c>
      <c r="G227" s="178" t="s">
        <v>463</v>
      </c>
    </row>
    <row r="228" spans="1:13" x14ac:dyDescent="0.2">
      <c r="A228" s="178" t="s">
        <v>502</v>
      </c>
      <c r="B228" s="179">
        <v>44196</v>
      </c>
      <c r="C228" s="178">
        <v>6</v>
      </c>
      <c r="D228" s="178" t="s">
        <v>185</v>
      </c>
      <c r="E228" s="181" t="str">
        <f t="shared" si="2"/>
        <v>Travel - Domestic Expenses</v>
      </c>
      <c r="F228" s="180">
        <v>10</v>
      </c>
      <c r="G228" s="178" t="s">
        <v>437</v>
      </c>
      <c r="H228" s="173">
        <v>44175</v>
      </c>
      <c r="I228" t="s">
        <v>479</v>
      </c>
      <c r="J228" t="s">
        <v>268</v>
      </c>
      <c r="K228" t="s">
        <v>361</v>
      </c>
      <c r="M228" t="s">
        <v>480</v>
      </c>
    </row>
    <row r="229" spans="1:13" x14ac:dyDescent="0.2">
      <c r="A229" s="178" t="s">
        <v>502</v>
      </c>
      <c r="B229" s="179">
        <v>44196</v>
      </c>
      <c r="C229" s="178">
        <v>6</v>
      </c>
      <c r="D229" s="178" t="s">
        <v>184</v>
      </c>
      <c r="E229" s="181" t="str">
        <f t="shared" si="2"/>
        <v>Travel - Domestic Flights</v>
      </c>
      <c r="F229" s="180">
        <v>65.73</v>
      </c>
      <c r="G229" s="178" t="s">
        <v>417</v>
      </c>
      <c r="H229" s="173">
        <v>44175</v>
      </c>
      <c r="I229" t="s">
        <v>479</v>
      </c>
      <c r="J229" t="s">
        <v>268</v>
      </c>
      <c r="K229" t="s">
        <v>361</v>
      </c>
      <c r="M229" t="s">
        <v>480</v>
      </c>
    </row>
    <row r="230" spans="1:13" x14ac:dyDescent="0.2">
      <c r="A230" s="178" t="s">
        <v>505</v>
      </c>
      <c r="B230" s="179">
        <v>44196</v>
      </c>
      <c r="C230" s="178">
        <v>6</v>
      </c>
      <c r="D230" s="178" t="s">
        <v>185</v>
      </c>
      <c r="E230" s="181" t="str">
        <f t="shared" si="2"/>
        <v>Travel - Domestic Expenses</v>
      </c>
      <c r="F230" s="180">
        <v>0.5</v>
      </c>
      <c r="G230" s="178" t="s">
        <v>450</v>
      </c>
      <c r="H230" s="173">
        <v>44162</v>
      </c>
      <c r="I230" t="s">
        <v>483</v>
      </c>
      <c r="J230" t="s">
        <v>268</v>
      </c>
      <c r="K230" t="s">
        <v>306</v>
      </c>
      <c r="M230" t="s">
        <v>570</v>
      </c>
    </row>
    <row r="231" spans="1:13" x14ac:dyDescent="0.2">
      <c r="A231" s="178" t="s">
        <v>500</v>
      </c>
      <c r="B231" s="179">
        <v>44196</v>
      </c>
      <c r="C231" s="178">
        <v>6</v>
      </c>
      <c r="D231" s="178" t="s">
        <v>185</v>
      </c>
      <c r="E231" s="181" t="str">
        <f t="shared" si="2"/>
        <v>Travel - Domestic Expenses</v>
      </c>
      <c r="F231" s="180">
        <v>7.5</v>
      </c>
      <c r="G231" s="178" t="s">
        <v>512</v>
      </c>
      <c r="H231" s="173">
        <v>44162</v>
      </c>
      <c r="I231" t="s">
        <v>483</v>
      </c>
      <c r="J231" t="s">
        <v>268</v>
      </c>
      <c r="K231" t="s">
        <v>306</v>
      </c>
      <c r="M231" t="s">
        <v>570</v>
      </c>
    </row>
    <row r="232" spans="1:13" x14ac:dyDescent="0.2">
      <c r="A232" s="178" t="s">
        <v>500</v>
      </c>
      <c r="B232" s="179">
        <v>44196</v>
      </c>
      <c r="C232" s="178">
        <v>6</v>
      </c>
      <c r="D232" s="178" t="s">
        <v>185</v>
      </c>
      <c r="E232" s="181" t="str">
        <f t="shared" si="2"/>
        <v>Travel - Domestic Expenses</v>
      </c>
      <c r="F232" s="180">
        <v>260.87</v>
      </c>
      <c r="G232" s="178" t="s">
        <v>513</v>
      </c>
      <c r="H232" s="173">
        <v>44162</v>
      </c>
      <c r="I232" t="s">
        <v>483</v>
      </c>
      <c r="J232" t="s">
        <v>268</v>
      </c>
      <c r="K232" t="s">
        <v>306</v>
      </c>
      <c r="M232" t="s">
        <v>570</v>
      </c>
    </row>
    <row r="233" spans="1:13" x14ac:dyDescent="0.2">
      <c r="A233" s="178" t="s">
        <v>500</v>
      </c>
      <c r="B233" s="179">
        <v>44196</v>
      </c>
      <c r="C233" s="178">
        <v>6</v>
      </c>
      <c r="D233" s="178" t="s">
        <v>185</v>
      </c>
      <c r="E233" s="181" t="str">
        <f t="shared" si="2"/>
        <v>Travel - Domestic Expenses</v>
      </c>
      <c r="F233" s="180">
        <v>10.85</v>
      </c>
      <c r="G233" s="178" t="s">
        <v>514</v>
      </c>
      <c r="H233" s="173">
        <v>44180</v>
      </c>
      <c r="I233" t="s">
        <v>554</v>
      </c>
      <c r="J233" t="s">
        <v>268</v>
      </c>
      <c r="K233" t="s">
        <v>269</v>
      </c>
      <c r="M233" t="s">
        <v>571</v>
      </c>
    </row>
    <row r="234" spans="1:13" x14ac:dyDescent="0.2">
      <c r="A234" s="178" t="s">
        <v>500</v>
      </c>
      <c r="B234" s="179">
        <v>44196</v>
      </c>
      <c r="C234" s="178">
        <v>6</v>
      </c>
      <c r="D234" s="178" t="s">
        <v>184</v>
      </c>
      <c r="E234" s="181" t="str">
        <f t="shared" si="2"/>
        <v>Travel - Domestic Flights</v>
      </c>
      <c r="F234" s="180">
        <v>538.41</v>
      </c>
      <c r="G234" s="178" t="s">
        <v>507</v>
      </c>
      <c r="H234" s="174">
        <v>44180</v>
      </c>
      <c r="I234" t="s">
        <v>554</v>
      </c>
      <c r="J234" t="s">
        <v>268</v>
      </c>
      <c r="K234" t="s">
        <v>269</v>
      </c>
      <c r="M234" t="s">
        <v>571</v>
      </c>
    </row>
    <row r="235" spans="1:13" x14ac:dyDescent="0.2">
      <c r="A235" s="178" t="s">
        <v>501</v>
      </c>
      <c r="B235" s="179">
        <v>44196</v>
      </c>
      <c r="C235" s="178">
        <v>6</v>
      </c>
      <c r="D235" s="178" t="s">
        <v>185</v>
      </c>
      <c r="E235" s="181" t="str">
        <f t="shared" si="2"/>
        <v>Travel - Domestic Expenses</v>
      </c>
      <c r="F235" s="180">
        <v>10.85</v>
      </c>
      <c r="G235" s="178" t="s">
        <v>515</v>
      </c>
      <c r="H235" s="173">
        <v>44230</v>
      </c>
      <c r="I235" t="s">
        <v>572</v>
      </c>
      <c r="J235" t="s">
        <v>268</v>
      </c>
      <c r="K235" t="s">
        <v>265</v>
      </c>
    </row>
    <row r="236" spans="1:13" x14ac:dyDescent="0.2">
      <c r="A236" s="178" t="s">
        <v>501</v>
      </c>
      <c r="B236" s="179">
        <v>44196</v>
      </c>
      <c r="C236" s="178">
        <v>6</v>
      </c>
      <c r="D236" s="178" t="s">
        <v>184</v>
      </c>
      <c r="E236" s="181" t="str">
        <f t="shared" si="2"/>
        <v>Travel - Domestic Flights</v>
      </c>
      <c r="F236" s="180">
        <v>591.01</v>
      </c>
      <c r="G236" s="178" t="s">
        <v>508</v>
      </c>
      <c r="H236" s="173">
        <v>44230</v>
      </c>
      <c r="I236" t="s">
        <v>572</v>
      </c>
      <c r="J236" t="s">
        <v>268</v>
      </c>
      <c r="K236" t="s">
        <v>265</v>
      </c>
    </row>
    <row r="237" spans="1:13" x14ac:dyDescent="0.2">
      <c r="A237" s="178" t="s">
        <v>502</v>
      </c>
      <c r="B237" s="179">
        <v>44196</v>
      </c>
      <c r="C237" s="178">
        <v>6</v>
      </c>
      <c r="D237" s="178" t="s">
        <v>185</v>
      </c>
      <c r="E237" s="181" t="str">
        <f t="shared" si="2"/>
        <v>Travel - Domestic Expenses</v>
      </c>
      <c r="F237" s="180">
        <v>10.85</v>
      </c>
      <c r="G237" s="178" t="s">
        <v>516</v>
      </c>
      <c r="H237" s="173">
        <v>44183</v>
      </c>
      <c r="I237" t="s">
        <v>479</v>
      </c>
      <c r="J237" t="s">
        <v>268</v>
      </c>
      <c r="K237" t="s">
        <v>361</v>
      </c>
      <c r="M237" t="s">
        <v>480</v>
      </c>
    </row>
    <row r="238" spans="1:13" x14ac:dyDescent="0.2">
      <c r="A238" s="178" t="s">
        <v>502</v>
      </c>
      <c r="B238" s="179">
        <v>44196</v>
      </c>
      <c r="C238" s="178">
        <v>6</v>
      </c>
      <c r="D238" s="178" t="s">
        <v>184</v>
      </c>
      <c r="E238" s="181" t="str">
        <f t="shared" si="2"/>
        <v>Travel - Domestic Flights</v>
      </c>
      <c r="F238" s="180">
        <v>301.3</v>
      </c>
      <c r="G238" s="178" t="s">
        <v>509</v>
      </c>
      <c r="H238" s="173">
        <v>44183</v>
      </c>
      <c r="I238" t="s">
        <v>479</v>
      </c>
      <c r="J238" t="s">
        <v>268</v>
      </c>
      <c r="K238" t="s">
        <v>361</v>
      </c>
      <c r="M238" t="s">
        <v>480</v>
      </c>
    </row>
    <row r="239" spans="1:13" x14ac:dyDescent="0.2">
      <c r="A239" s="178" t="s">
        <v>504</v>
      </c>
      <c r="B239" s="179">
        <v>44141</v>
      </c>
      <c r="C239" s="178">
        <v>6</v>
      </c>
      <c r="D239" s="178" t="s">
        <v>185</v>
      </c>
      <c r="E239" s="181" t="str">
        <f t="shared" si="2"/>
        <v>Travel - Domestic Expenses</v>
      </c>
      <c r="F239" s="180">
        <v>24.35</v>
      </c>
      <c r="G239" s="178" t="s">
        <v>511</v>
      </c>
    </row>
    <row r="240" spans="1:13" x14ac:dyDescent="0.2">
      <c r="A240" s="178" t="s">
        <v>503</v>
      </c>
      <c r="B240" s="179">
        <v>44155</v>
      </c>
      <c r="C240" s="178">
        <v>6</v>
      </c>
      <c r="D240" s="178" t="s">
        <v>185</v>
      </c>
      <c r="E240" s="181" t="str">
        <f t="shared" ref="E240:E243" si="3">IF(D240="62101","Travel - Domestic Flights",IF(D240="62102","Travel - Domestic Expenses",IF(D240="62104","Taxi - Cab Services",IF(D240="62511","Hospitality/Events",""))))</f>
        <v>Travel - Domestic Expenses</v>
      </c>
      <c r="F240" s="180">
        <v>16.170000000000002</v>
      </c>
      <c r="G240" s="178" t="s">
        <v>510</v>
      </c>
      <c r="H240" s="173">
        <v>44141</v>
      </c>
    </row>
    <row r="241" spans="1:13" x14ac:dyDescent="0.2">
      <c r="A241" s="178" t="s">
        <v>506</v>
      </c>
      <c r="B241" s="179">
        <v>44196</v>
      </c>
      <c r="C241" s="178">
        <v>6</v>
      </c>
      <c r="D241" s="178" t="s">
        <v>193</v>
      </c>
      <c r="E241" s="181" t="str">
        <f t="shared" si="3"/>
        <v>Taxi - Cab Services</v>
      </c>
      <c r="F241" s="180">
        <v>15.38</v>
      </c>
      <c r="G241" s="178" t="s">
        <v>517</v>
      </c>
    </row>
    <row r="242" spans="1:13" x14ac:dyDescent="0.2">
      <c r="A242" s="178" t="s">
        <v>506</v>
      </c>
      <c r="B242" s="179">
        <v>44196</v>
      </c>
      <c r="C242" s="178">
        <v>6</v>
      </c>
      <c r="D242" s="178" t="s">
        <v>193</v>
      </c>
      <c r="E242" s="181" t="str">
        <f t="shared" si="3"/>
        <v>Taxi - Cab Services</v>
      </c>
      <c r="F242" s="180">
        <v>19.34</v>
      </c>
      <c r="G242" s="178" t="s">
        <v>518</v>
      </c>
    </row>
    <row r="243" spans="1:13" x14ac:dyDescent="0.2">
      <c r="A243" s="178" t="s">
        <v>506</v>
      </c>
      <c r="B243" s="179">
        <v>44196</v>
      </c>
      <c r="C243" s="178">
        <v>6</v>
      </c>
      <c r="D243" s="178" t="s">
        <v>186</v>
      </c>
      <c r="E243" s="181" t="str">
        <f t="shared" si="3"/>
        <v>Hospitality/Events</v>
      </c>
      <c r="F243" s="180">
        <v>11.53</v>
      </c>
      <c r="G243" s="178" t="s">
        <v>519</v>
      </c>
    </row>
    <row r="244" spans="1:13" x14ac:dyDescent="0.2">
      <c r="A244" s="178" t="s">
        <v>526</v>
      </c>
      <c r="B244" s="179">
        <v>44224</v>
      </c>
      <c r="C244" s="178">
        <v>7</v>
      </c>
      <c r="D244" s="178" t="s">
        <v>185</v>
      </c>
      <c r="E244" s="178" t="s">
        <v>530</v>
      </c>
      <c r="F244" s="180">
        <v>0.5</v>
      </c>
      <c r="G244" s="178" t="s">
        <v>437</v>
      </c>
      <c r="H244" s="173">
        <v>44175</v>
      </c>
      <c r="I244" t="s">
        <v>479</v>
      </c>
      <c r="J244" t="s">
        <v>268</v>
      </c>
      <c r="K244" t="s">
        <v>361</v>
      </c>
      <c r="M244" t="s">
        <v>480</v>
      </c>
    </row>
    <row r="245" spans="1:13" x14ac:dyDescent="0.2">
      <c r="A245" s="178" t="s">
        <v>527</v>
      </c>
      <c r="B245" s="179">
        <v>44224</v>
      </c>
      <c r="C245" s="178">
        <v>7</v>
      </c>
      <c r="D245" s="178" t="s">
        <v>185</v>
      </c>
      <c r="E245" s="178" t="s">
        <v>530</v>
      </c>
      <c r="F245" s="180">
        <v>0.5</v>
      </c>
      <c r="G245" s="178" t="s">
        <v>437</v>
      </c>
      <c r="H245" s="173">
        <v>44175</v>
      </c>
      <c r="I245" t="s">
        <v>479</v>
      </c>
      <c r="J245" t="s">
        <v>268</v>
      </c>
      <c r="K245" t="s">
        <v>361</v>
      </c>
      <c r="M245" t="s">
        <v>480</v>
      </c>
    </row>
    <row r="246" spans="1:13" x14ac:dyDescent="0.2">
      <c r="A246" s="178" t="s">
        <v>521</v>
      </c>
      <c r="B246" s="179">
        <v>44224</v>
      </c>
      <c r="C246" s="178">
        <v>7</v>
      </c>
      <c r="D246" s="178" t="s">
        <v>185</v>
      </c>
      <c r="E246" s="178" t="s">
        <v>530</v>
      </c>
      <c r="F246" s="180">
        <v>7.5</v>
      </c>
      <c r="G246" s="178" t="s">
        <v>540</v>
      </c>
      <c r="H246" s="173">
        <v>44175</v>
      </c>
      <c r="I246" t="s">
        <v>479</v>
      </c>
      <c r="J246" t="s">
        <v>268</v>
      </c>
      <c r="K246" t="s">
        <v>361</v>
      </c>
      <c r="M246" t="s">
        <v>480</v>
      </c>
    </row>
    <row r="247" spans="1:13" x14ac:dyDescent="0.2">
      <c r="A247" s="178" t="s">
        <v>522</v>
      </c>
      <c r="B247" s="179">
        <v>44224</v>
      </c>
      <c r="C247" s="178">
        <v>7</v>
      </c>
      <c r="D247" s="178" t="s">
        <v>185</v>
      </c>
      <c r="E247" s="178" t="s">
        <v>530</v>
      </c>
      <c r="F247" s="180">
        <v>7.5</v>
      </c>
      <c r="G247" s="178" t="s">
        <v>540</v>
      </c>
      <c r="H247" s="173">
        <v>44175</v>
      </c>
      <c r="I247" t="s">
        <v>479</v>
      </c>
      <c r="J247" t="s">
        <v>268</v>
      </c>
      <c r="K247" t="s">
        <v>361</v>
      </c>
      <c r="M247" t="s">
        <v>480</v>
      </c>
    </row>
    <row r="248" spans="1:13" x14ac:dyDescent="0.2">
      <c r="A248" s="178" t="s">
        <v>521</v>
      </c>
      <c r="B248" s="179">
        <v>44224</v>
      </c>
      <c r="C248" s="178">
        <v>7</v>
      </c>
      <c r="D248" s="178" t="s">
        <v>185</v>
      </c>
      <c r="E248" s="178" t="s">
        <v>530</v>
      </c>
      <c r="F248" s="180">
        <v>3.14</v>
      </c>
      <c r="G248" s="178" t="s">
        <v>541</v>
      </c>
      <c r="H248" s="173">
        <v>44175</v>
      </c>
      <c r="I248" t="s">
        <v>479</v>
      </c>
      <c r="J248" t="s">
        <v>268</v>
      </c>
      <c r="K248" t="s">
        <v>361</v>
      </c>
      <c r="M248" t="s">
        <v>480</v>
      </c>
    </row>
    <row r="249" spans="1:13" x14ac:dyDescent="0.2">
      <c r="A249" s="178" t="s">
        <v>522</v>
      </c>
      <c r="B249" s="179">
        <v>44224</v>
      </c>
      <c r="C249" s="178">
        <v>7</v>
      </c>
      <c r="D249" s="178" t="s">
        <v>185</v>
      </c>
      <c r="E249" s="178" t="s">
        <v>530</v>
      </c>
      <c r="F249" s="180">
        <v>152.16999999999999</v>
      </c>
      <c r="G249" s="178" t="s">
        <v>544</v>
      </c>
      <c r="H249" s="173">
        <v>44175</v>
      </c>
      <c r="I249" t="s">
        <v>479</v>
      </c>
      <c r="J249" t="s">
        <v>268</v>
      </c>
      <c r="K249" t="s">
        <v>361</v>
      </c>
      <c r="M249" t="s">
        <v>480</v>
      </c>
    </row>
    <row r="250" spans="1:13" x14ac:dyDescent="0.2">
      <c r="A250" s="178" t="s">
        <v>521</v>
      </c>
      <c r="B250" s="179">
        <v>44224</v>
      </c>
      <c r="C250" s="178">
        <v>7</v>
      </c>
      <c r="D250" s="178" t="s">
        <v>185</v>
      </c>
      <c r="E250" s="178" t="s">
        <v>530</v>
      </c>
      <c r="F250" s="180">
        <v>209</v>
      </c>
      <c r="G250" s="178" t="s">
        <v>542</v>
      </c>
      <c r="H250" s="173">
        <v>44175</v>
      </c>
      <c r="I250" t="s">
        <v>479</v>
      </c>
      <c r="J250" t="s">
        <v>268</v>
      </c>
      <c r="K250" t="s">
        <v>361</v>
      </c>
      <c r="M250" t="s">
        <v>480</v>
      </c>
    </row>
    <row r="251" spans="1:13" x14ac:dyDescent="0.2">
      <c r="A251" s="178" t="s">
        <v>522</v>
      </c>
      <c r="B251" s="179">
        <v>44224</v>
      </c>
      <c r="C251" s="178">
        <v>7</v>
      </c>
      <c r="D251" s="178" t="s">
        <v>185</v>
      </c>
      <c r="E251" s="178" t="s">
        <v>530</v>
      </c>
      <c r="F251" s="180">
        <v>10</v>
      </c>
      <c r="G251" s="178" t="s">
        <v>515</v>
      </c>
      <c r="H251" s="173">
        <v>44230</v>
      </c>
      <c r="I251" t="s">
        <v>572</v>
      </c>
      <c r="J251" t="s">
        <v>268</v>
      </c>
      <c r="K251" t="s">
        <v>265</v>
      </c>
    </row>
    <row r="252" spans="1:13" x14ac:dyDescent="0.2">
      <c r="A252" s="178" t="s">
        <v>521</v>
      </c>
      <c r="B252" s="179">
        <v>44224</v>
      </c>
      <c r="C252" s="178">
        <v>7</v>
      </c>
      <c r="D252" s="178" t="s">
        <v>185</v>
      </c>
      <c r="E252" s="178" t="s">
        <v>530</v>
      </c>
      <c r="F252" s="180">
        <v>10</v>
      </c>
      <c r="G252" s="178" t="s">
        <v>543</v>
      </c>
      <c r="H252" s="173">
        <v>44184</v>
      </c>
      <c r="I252" t="s">
        <v>479</v>
      </c>
      <c r="J252" t="s">
        <v>268</v>
      </c>
      <c r="K252" t="s">
        <v>361</v>
      </c>
      <c r="M252" t="s">
        <v>480</v>
      </c>
    </row>
    <row r="253" spans="1:13" x14ac:dyDescent="0.2">
      <c r="A253" s="178" t="s">
        <v>521</v>
      </c>
      <c r="B253" s="179">
        <v>44224</v>
      </c>
      <c r="C253" s="178">
        <v>7</v>
      </c>
      <c r="D253" s="178" t="s">
        <v>184</v>
      </c>
      <c r="E253" s="178" t="s">
        <v>529</v>
      </c>
      <c r="F253" s="180">
        <v>32.869999999999997</v>
      </c>
      <c r="G253" s="178" t="s">
        <v>534</v>
      </c>
      <c r="H253" s="173">
        <v>44184</v>
      </c>
      <c r="I253" t="s">
        <v>479</v>
      </c>
      <c r="J253" t="s">
        <v>268</v>
      </c>
      <c r="K253" t="s">
        <v>361</v>
      </c>
      <c r="M253" t="s">
        <v>480</v>
      </c>
    </row>
    <row r="254" spans="1:13" x14ac:dyDescent="0.2">
      <c r="A254" s="178" t="s">
        <v>523</v>
      </c>
      <c r="B254" s="179">
        <v>44224</v>
      </c>
      <c r="C254" s="178">
        <v>7</v>
      </c>
      <c r="D254" s="178" t="s">
        <v>185</v>
      </c>
      <c r="E254" s="178" t="s">
        <v>530</v>
      </c>
      <c r="F254" s="180">
        <v>5.85</v>
      </c>
      <c r="G254" s="178" t="s">
        <v>546</v>
      </c>
      <c r="H254" s="173">
        <v>44229</v>
      </c>
      <c r="I254" t="s">
        <v>572</v>
      </c>
      <c r="J254" t="s">
        <v>268</v>
      </c>
      <c r="K254" t="s">
        <v>265</v>
      </c>
    </row>
    <row r="255" spans="1:13" x14ac:dyDescent="0.2">
      <c r="A255" s="178" t="s">
        <v>523</v>
      </c>
      <c r="B255" s="179">
        <v>44224</v>
      </c>
      <c r="C255" s="178">
        <v>7</v>
      </c>
      <c r="D255" s="178" t="s">
        <v>184</v>
      </c>
      <c r="E255" s="178" t="s">
        <v>529</v>
      </c>
      <c r="F255" s="180">
        <v>316.37</v>
      </c>
      <c r="G255" s="178" t="s">
        <v>537</v>
      </c>
      <c r="H255" s="173">
        <v>44229</v>
      </c>
      <c r="I255" t="s">
        <v>572</v>
      </c>
      <c r="J255" t="s">
        <v>268</v>
      </c>
      <c r="K255" t="s">
        <v>265</v>
      </c>
    </row>
    <row r="256" spans="1:13" x14ac:dyDescent="0.2">
      <c r="A256" s="178" t="s">
        <v>523</v>
      </c>
      <c r="B256" s="179">
        <v>44224</v>
      </c>
      <c r="C256" s="178">
        <v>7</v>
      </c>
      <c r="D256" s="178" t="s">
        <v>184</v>
      </c>
      <c r="E256" s="178" t="s">
        <v>529</v>
      </c>
      <c r="F256" s="180">
        <v>358.95</v>
      </c>
      <c r="G256" s="178" t="s">
        <v>536</v>
      </c>
      <c r="H256" s="173">
        <v>44229</v>
      </c>
      <c r="I256" t="s">
        <v>572</v>
      </c>
      <c r="J256" t="s">
        <v>268</v>
      </c>
      <c r="K256" t="s">
        <v>265</v>
      </c>
    </row>
    <row r="257" spans="1:11" x14ac:dyDescent="0.2">
      <c r="A257" s="178" t="s">
        <v>522</v>
      </c>
      <c r="B257" s="179">
        <v>44224</v>
      </c>
      <c r="C257" s="178">
        <v>7</v>
      </c>
      <c r="D257" s="178" t="s">
        <v>185</v>
      </c>
      <c r="E257" s="178" t="s">
        <v>530</v>
      </c>
      <c r="F257" s="180">
        <v>5.85</v>
      </c>
      <c r="G257" s="178" t="s">
        <v>545</v>
      </c>
      <c r="H257" s="173">
        <v>44216</v>
      </c>
      <c r="I257" s="163" t="s">
        <v>555</v>
      </c>
      <c r="J257" s="163" t="s">
        <v>268</v>
      </c>
      <c r="K257" s="163" t="s">
        <v>359</v>
      </c>
    </row>
    <row r="258" spans="1:11" x14ac:dyDescent="0.2">
      <c r="A258" s="178" t="s">
        <v>523</v>
      </c>
      <c r="B258" s="179">
        <v>44224</v>
      </c>
      <c r="C258" s="178">
        <v>7</v>
      </c>
      <c r="D258" s="178" t="s">
        <v>185</v>
      </c>
      <c r="E258" s="178" t="s">
        <v>530</v>
      </c>
      <c r="F258" s="180">
        <v>10</v>
      </c>
      <c r="G258" s="178" t="s">
        <v>545</v>
      </c>
      <c r="H258" s="173">
        <v>44216</v>
      </c>
      <c r="I258" s="163" t="s">
        <v>555</v>
      </c>
      <c r="J258" s="163" t="s">
        <v>268</v>
      </c>
      <c r="K258" s="163" t="s">
        <v>359</v>
      </c>
    </row>
    <row r="259" spans="1:11" x14ac:dyDescent="0.2">
      <c r="A259" s="178" t="s">
        <v>523</v>
      </c>
      <c r="B259" s="179">
        <v>44224</v>
      </c>
      <c r="C259" s="178">
        <v>7</v>
      </c>
      <c r="D259" s="178" t="s">
        <v>185</v>
      </c>
      <c r="E259" s="178" t="s">
        <v>530</v>
      </c>
      <c r="F259" s="180">
        <v>10</v>
      </c>
      <c r="G259" s="178" t="s">
        <v>545</v>
      </c>
      <c r="H259" s="173">
        <v>44216</v>
      </c>
      <c r="I259" s="163" t="s">
        <v>555</v>
      </c>
      <c r="J259" s="163" t="s">
        <v>268</v>
      </c>
      <c r="K259" s="163" t="s">
        <v>359</v>
      </c>
    </row>
    <row r="260" spans="1:11" x14ac:dyDescent="0.2">
      <c r="A260" s="178" t="s">
        <v>527</v>
      </c>
      <c r="B260" s="179">
        <v>44224</v>
      </c>
      <c r="C260" s="178">
        <v>7</v>
      </c>
      <c r="D260" s="178" t="s">
        <v>185</v>
      </c>
      <c r="E260" s="178" t="s">
        <v>530</v>
      </c>
      <c r="F260" s="180">
        <v>0.5</v>
      </c>
      <c r="G260" s="178" t="s">
        <v>545</v>
      </c>
      <c r="H260" s="173">
        <v>44216</v>
      </c>
      <c r="I260" s="163" t="s">
        <v>555</v>
      </c>
      <c r="J260" s="163" t="s">
        <v>268</v>
      </c>
      <c r="K260" s="163" t="s">
        <v>359</v>
      </c>
    </row>
    <row r="261" spans="1:11" x14ac:dyDescent="0.2">
      <c r="A261" s="178" t="s">
        <v>526</v>
      </c>
      <c r="B261" s="179">
        <v>44224</v>
      </c>
      <c r="C261" s="178">
        <v>7</v>
      </c>
      <c r="D261" s="178" t="s">
        <v>185</v>
      </c>
      <c r="E261" s="178" t="s">
        <v>530</v>
      </c>
      <c r="F261" s="180">
        <v>7.5</v>
      </c>
      <c r="G261" s="178" t="s">
        <v>547</v>
      </c>
      <c r="H261" s="173">
        <v>44216</v>
      </c>
      <c r="I261" s="163" t="s">
        <v>555</v>
      </c>
      <c r="J261" s="163" t="s">
        <v>268</v>
      </c>
      <c r="K261" s="163" t="s">
        <v>359</v>
      </c>
    </row>
    <row r="262" spans="1:11" x14ac:dyDescent="0.2">
      <c r="A262" s="178" t="s">
        <v>526</v>
      </c>
      <c r="B262" s="179">
        <v>44224</v>
      </c>
      <c r="C262" s="178">
        <v>7</v>
      </c>
      <c r="D262" s="178" t="s">
        <v>185</v>
      </c>
      <c r="E262" s="178" t="s">
        <v>530</v>
      </c>
      <c r="F262" s="180">
        <v>130.43</v>
      </c>
      <c r="G262" s="178" t="s">
        <v>548</v>
      </c>
      <c r="H262" s="173">
        <v>44216</v>
      </c>
      <c r="I262" s="163" t="s">
        <v>555</v>
      </c>
      <c r="J262" s="163" t="s">
        <v>268</v>
      </c>
      <c r="K262" s="163" t="s">
        <v>359</v>
      </c>
    </row>
    <row r="263" spans="1:11" x14ac:dyDescent="0.2">
      <c r="A263" s="178" t="s">
        <v>522</v>
      </c>
      <c r="B263" s="179">
        <v>44224</v>
      </c>
      <c r="C263" s="178">
        <v>7</v>
      </c>
      <c r="D263" s="178" t="s">
        <v>184</v>
      </c>
      <c r="E263" s="178" t="s">
        <v>529</v>
      </c>
      <c r="F263" s="180">
        <v>526.67999999999995</v>
      </c>
      <c r="G263" s="178" t="s">
        <v>535</v>
      </c>
      <c r="H263" s="173">
        <v>44216</v>
      </c>
      <c r="I263" s="163" t="s">
        <v>555</v>
      </c>
      <c r="J263" s="163" t="s">
        <v>268</v>
      </c>
      <c r="K263" s="163" t="s">
        <v>359</v>
      </c>
    </row>
    <row r="264" spans="1:11" x14ac:dyDescent="0.2">
      <c r="A264" s="178" t="s">
        <v>528</v>
      </c>
      <c r="B264" s="179">
        <v>44224</v>
      </c>
      <c r="C264" s="178">
        <v>7</v>
      </c>
      <c r="D264" s="178" t="s">
        <v>186</v>
      </c>
      <c r="E264" s="178" t="s">
        <v>532</v>
      </c>
      <c r="F264" s="180">
        <v>65.22</v>
      </c>
      <c r="G264" s="178" t="s">
        <v>552</v>
      </c>
    </row>
    <row r="265" spans="1:11" x14ac:dyDescent="0.2">
      <c r="A265" s="178" t="s">
        <v>520</v>
      </c>
      <c r="B265" s="179">
        <v>44210</v>
      </c>
      <c r="C265" s="178">
        <v>7</v>
      </c>
      <c r="D265" s="178" t="s">
        <v>184</v>
      </c>
      <c r="E265" s="178" t="s">
        <v>529</v>
      </c>
      <c r="F265" s="180">
        <v>939.13</v>
      </c>
      <c r="G265" s="178" t="s">
        <v>533</v>
      </c>
    </row>
    <row r="266" spans="1:11" x14ac:dyDescent="0.2">
      <c r="A266" s="178" t="s">
        <v>525</v>
      </c>
      <c r="B266" s="179">
        <v>44224</v>
      </c>
      <c r="C266" s="178">
        <v>7</v>
      </c>
      <c r="D266" s="178" t="s">
        <v>185</v>
      </c>
      <c r="E266" s="178" t="s">
        <v>530</v>
      </c>
      <c r="F266" s="180">
        <v>19.57</v>
      </c>
      <c r="G266" s="178" t="s">
        <v>539</v>
      </c>
      <c r="H266" s="173">
        <v>44175</v>
      </c>
    </row>
    <row r="267" spans="1:11" x14ac:dyDescent="0.2">
      <c r="A267" s="178" t="s">
        <v>528</v>
      </c>
      <c r="B267" s="179">
        <v>44224</v>
      </c>
      <c r="C267" s="178">
        <v>7</v>
      </c>
      <c r="D267" s="178" t="s">
        <v>186</v>
      </c>
      <c r="E267" s="178" t="s">
        <v>532</v>
      </c>
      <c r="F267" s="180">
        <v>21.39</v>
      </c>
      <c r="G267" s="178" t="s">
        <v>553</v>
      </c>
    </row>
    <row r="268" spans="1:11" x14ac:dyDescent="0.2">
      <c r="A268" s="178" t="s">
        <v>524</v>
      </c>
      <c r="B268" s="179">
        <v>44225</v>
      </c>
      <c r="C268" s="178">
        <v>7</v>
      </c>
      <c r="D268" s="178" t="s">
        <v>184</v>
      </c>
      <c r="E268" s="178" t="s">
        <v>529</v>
      </c>
      <c r="F268" s="180">
        <v>-939.13</v>
      </c>
      <c r="G268" s="178" t="s">
        <v>538</v>
      </c>
      <c r="I268" s="163" t="s">
        <v>556</v>
      </c>
    </row>
    <row r="269" spans="1:11" x14ac:dyDescent="0.2">
      <c r="A269" s="178" t="s">
        <v>525</v>
      </c>
      <c r="B269" s="179">
        <v>44224</v>
      </c>
      <c r="C269" s="178">
        <v>7</v>
      </c>
      <c r="D269" s="178" t="s">
        <v>193</v>
      </c>
      <c r="E269" s="178" t="s">
        <v>531</v>
      </c>
      <c r="F269" s="180">
        <v>19.43</v>
      </c>
      <c r="G269" s="178" t="s">
        <v>551</v>
      </c>
    </row>
    <row r="270" spans="1:11" x14ac:dyDescent="0.2">
      <c r="A270" s="178" t="s">
        <v>525</v>
      </c>
      <c r="B270" s="179">
        <v>44224</v>
      </c>
      <c r="C270" s="178">
        <v>7</v>
      </c>
      <c r="D270" s="178" t="s">
        <v>193</v>
      </c>
      <c r="E270" s="178" t="s">
        <v>531</v>
      </c>
      <c r="F270" s="180">
        <v>28.9</v>
      </c>
      <c r="G270" s="178" t="s">
        <v>550</v>
      </c>
    </row>
    <row r="271" spans="1:11" x14ac:dyDescent="0.2">
      <c r="A271" s="178" t="s">
        <v>525</v>
      </c>
      <c r="B271" s="179">
        <v>44224</v>
      </c>
      <c r="C271" s="178">
        <v>7</v>
      </c>
      <c r="D271" s="178" t="s">
        <v>193</v>
      </c>
      <c r="E271" s="178" t="s">
        <v>531</v>
      </c>
      <c r="F271" s="180">
        <v>38.96</v>
      </c>
      <c r="G271" s="178" t="s">
        <v>549</v>
      </c>
    </row>
    <row r="272" spans="1:11" x14ac:dyDescent="0.2">
      <c r="C272" s="178">
        <v>8</v>
      </c>
      <c r="D272" s="178" t="s">
        <v>184</v>
      </c>
      <c r="E272" s="178" t="s">
        <v>529</v>
      </c>
      <c r="F272" s="180">
        <v>46.99</v>
      </c>
      <c r="G272" s="178" t="s">
        <v>418</v>
      </c>
    </row>
    <row r="273" spans="3:7" x14ac:dyDescent="0.2">
      <c r="C273" s="178">
        <v>8</v>
      </c>
      <c r="D273" s="178" t="s">
        <v>184</v>
      </c>
      <c r="E273" s="178" t="s">
        <v>529</v>
      </c>
      <c r="F273" s="180">
        <v>-591.01</v>
      </c>
      <c r="G273" s="178" t="s">
        <v>508</v>
      </c>
    </row>
    <row r="274" spans="3:7" x14ac:dyDescent="0.2">
      <c r="C274" s="178">
        <v>8</v>
      </c>
      <c r="D274" s="178" t="s">
        <v>184</v>
      </c>
      <c r="E274" s="178" t="s">
        <v>529</v>
      </c>
      <c r="F274" s="180">
        <v>501.69</v>
      </c>
      <c r="G274" s="178" t="s">
        <v>575</v>
      </c>
    </row>
    <row r="275" spans="3:7" x14ac:dyDescent="0.2">
      <c r="C275" s="178">
        <v>8</v>
      </c>
      <c r="D275" s="178" t="s">
        <v>184</v>
      </c>
      <c r="E275" s="178" t="s">
        <v>529</v>
      </c>
      <c r="F275" s="180">
        <v>415.38</v>
      </c>
      <c r="G275" s="178" t="s">
        <v>576</v>
      </c>
    </row>
    <row r="276" spans="3:7" x14ac:dyDescent="0.2">
      <c r="C276" s="178">
        <v>8</v>
      </c>
      <c r="D276" s="178" t="s">
        <v>184</v>
      </c>
      <c r="E276" s="178" t="s">
        <v>529</v>
      </c>
      <c r="F276" s="180">
        <v>526.49</v>
      </c>
      <c r="G276" s="178" t="s">
        <v>577</v>
      </c>
    </row>
    <row r="277" spans="3:7" x14ac:dyDescent="0.2">
      <c r="C277" s="178">
        <v>8</v>
      </c>
      <c r="D277" s="178" t="s">
        <v>184</v>
      </c>
      <c r="E277" s="178" t="s">
        <v>529</v>
      </c>
      <c r="F277" s="180">
        <v>222.1</v>
      </c>
      <c r="G277" s="178" t="s">
        <v>578</v>
      </c>
    </row>
    <row r="278" spans="3:7" x14ac:dyDescent="0.2">
      <c r="C278" s="178">
        <v>8</v>
      </c>
      <c r="D278" s="178" t="s">
        <v>184</v>
      </c>
      <c r="E278" s="178" t="s">
        <v>529</v>
      </c>
      <c r="F278" s="180">
        <v>415.7</v>
      </c>
      <c r="G278" s="178" t="s">
        <v>579</v>
      </c>
    </row>
    <row r="279" spans="3:7" x14ac:dyDescent="0.2">
      <c r="C279" s="178">
        <v>8</v>
      </c>
      <c r="D279" s="178" t="s">
        <v>184</v>
      </c>
      <c r="E279" s="178" t="s">
        <v>529</v>
      </c>
      <c r="F279" s="180">
        <v>301.55</v>
      </c>
      <c r="G279" s="178" t="s">
        <v>580</v>
      </c>
    </row>
    <row r="280" spans="3:7" x14ac:dyDescent="0.2">
      <c r="C280" s="178">
        <v>8</v>
      </c>
      <c r="D280" s="178" t="s">
        <v>184</v>
      </c>
      <c r="E280" s="178" t="s">
        <v>529</v>
      </c>
      <c r="F280" s="180">
        <v>248.74</v>
      </c>
      <c r="G280" s="178" t="s">
        <v>581</v>
      </c>
    </row>
    <row r="281" spans="3:7" x14ac:dyDescent="0.2">
      <c r="C281" s="178">
        <v>8</v>
      </c>
      <c r="D281" s="178" t="s">
        <v>184</v>
      </c>
      <c r="E281" s="178" t="s">
        <v>529</v>
      </c>
      <c r="F281" s="180">
        <v>493.38</v>
      </c>
      <c r="G281" s="178" t="s">
        <v>582</v>
      </c>
    </row>
    <row r="282" spans="3:7" x14ac:dyDescent="0.2">
      <c r="C282" s="178">
        <v>8</v>
      </c>
      <c r="D282" s="178" t="s">
        <v>184</v>
      </c>
      <c r="E282" s="178" t="s">
        <v>529</v>
      </c>
      <c r="F282" s="180">
        <v>2.12</v>
      </c>
      <c r="G282" s="178" t="s">
        <v>582</v>
      </c>
    </row>
    <row r="283" spans="3:7" x14ac:dyDescent="0.2">
      <c r="C283" s="178">
        <v>8</v>
      </c>
      <c r="D283" s="178" t="s">
        <v>184</v>
      </c>
      <c r="E283" s="178" t="s">
        <v>529</v>
      </c>
      <c r="F283" s="180">
        <v>169.26</v>
      </c>
      <c r="G283" s="178" t="s">
        <v>583</v>
      </c>
    </row>
    <row r="284" spans="3:7" x14ac:dyDescent="0.2">
      <c r="C284" s="178">
        <v>8</v>
      </c>
      <c r="D284" s="178" t="s">
        <v>184</v>
      </c>
      <c r="E284" s="178" t="s">
        <v>529</v>
      </c>
      <c r="F284" s="180">
        <v>335.65</v>
      </c>
      <c r="G284" s="178" t="s">
        <v>584</v>
      </c>
    </row>
    <row r="285" spans="3:7" x14ac:dyDescent="0.2">
      <c r="C285" s="178">
        <v>8</v>
      </c>
      <c r="D285" s="178" t="s">
        <v>184</v>
      </c>
      <c r="E285" s="178" t="s">
        <v>529</v>
      </c>
      <c r="F285" s="180">
        <v>-526.49</v>
      </c>
      <c r="G285" s="178" t="s">
        <v>577</v>
      </c>
    </row>
    <row r="286" spans="3:7" x14ac:dyDescent="0.2">
      <c r="C286" s="178">
        <v>8</v>
      </c>
      <c r="D286" s="178" t="s">
        <v>184</v>
      </c>
      <c r="E286" s="178" t="s">
        <v>529</v>
      </c>
      <c r="F286" s="180">
        <v>-222.1</v>
      </c>
      <c r="G286" s="178" t="s">
        <v>578</v>
      </c>
    </row>
    <row r="287" spans="3:7" x14ac:dyDescent="0.2">
      <c r="C287" s="178">
        <v>8</v>
      </c>
      <c r="D287" s="185" t="s">
        <v>585</v>
      </c>
      <c r="F287" s="186">
        <v>2339.4499999999998</v>
      </c>
      <c r="G287" s="185" t="s">
        <v>586</v>
      </c>
    </row>
    <row r="288" spans="3:7" x14ac:dyDescent="0.2">
      <c r="C288" s="178">
        <v>8</v>
      </c>
      <c r="D288" s="178" t="s">
        <v>185</v>
      </c>
      <c r="E288" s="178" t="s">
        <v>530</v>
      </c>
      <c r="F288" s="180">
        <v>74.239999999999995</v>
      </c>
      <c r="G288" s="178" t="s">
        <v>587</v>
      </c>
    </row>
    <row r="289" spans="3:7" x14ac:dyDescent="0.2">
      <c r="C289" s="178">
        <v>8</v>
      </c>
      <c r="D289" s="178" t="s">
        <v>185</v>
      </c>
      <c r="E289" s="178" t="s">
        <v>530</v>
      </c>
      <c r="F289" s="180">
        <v>88.7</v>
      </c>
      <c r="G289" s="178" t="s">
        <v>588</v>
      </c>
    </row>
    <row r="290" spans="3:7" x14ac:dyDescent="0.2">
      <c r="C290" s="178">
        <v>8</v>
      </c>
      <c r="D290" s="178" t="s">
        <v>185</v>
      </c>
      <c r="E290" s="178" t="s">
        <v>530</v>
      </c>
      <c r="F290" s="180">
        <v>50.42</v>
      </c>
      <c r="G290" s="178" t="s">
        <v>589</v>
      </c>
    </row>
    <row r="291" spans="3:7" x14ac:dyDescent="0.2">
      <c r="C291" s="178">
        <v>8</v>
      </c>
      <c r="D291" s="178" t="s">
        <v>185</v>
      </c>
      <c r="E291" s="178" t="s">
        <v>530</v>
      </c>
      <c r="F291" s="180">
        <v>77.28</v>
      </c>
      <c r="G291" s="178" t="s">
        <v>590</v>
      </c>
    </row>
    <row r="292" spans="3:7" x14ac:dyDescent="0.2">
      <c r="C292" s="178">
        <v>8</v>
      </c>
      <c r="D292" s="178" t="s">
        <v>185</v>
      </c>
      <c r="E292" s="178" t="s">
        <v>530</v>
      </c>
      <c r="F292" s="180">
        <v>14.78</v>
      </c>
      <c r="G292" s="178" t="s">
        <v>591</v>
      </c>
    </row>
    <row r="293" spans="3:7" x14ac:dyDescent="0.2">
      <c r="C293" s="178">
        <v>8</v>
      </c>
      <c r="D293" s="178" t="s">
        <v>185</v>
      </c>
      <c r="E293" s="178" t="s">
        <v>530</v>
      </c>
      <c r="F293" s="180">
        <v>16.61</v>
      </c>
      <c r="G293" s="178" t="s">
        <v>592</v>
      </c>
    </row>
    <row r="294" spans="3:7" x14ac:dyDescent="0.2">
      <c r="C294" s="178">
        <v>8</v>
      </c>
      <c r="D294" s="178" t="s">
        <v>185</v>
      </c>
      <c r="E294" s="178" t="s">
        <v>530</v>
      </c>
      <c r="F294" s="180">
        <v>10</v>
      </c>
      <c r="G294" s="178" t="s">
        <v>448</v>
      </c>
    </row>
    <row r="295" spans="3:7" x14ac:dyDescent="0.2">
      <c r="C295" s="178">
        <v>8</v>
      </c>
      <c r="D295" s="178" t="s">
        <v>185</v>
      </c>
      <c r="E295" s="178" t="s">
        <v>530</v>
      </c>
      <c r="F295" s="180">
        <v>10</v>
      </c>
      <c r="G295" s="178" t="s">
        <v>546</v>
      </c>
    </row>
    <row r="296" spans="3:7" x14ac:dyDescent="0.2">
      <c r="C296" s="178">
        <v>8</v>
      </c>
      <c r="D296" s="178" t="s">
        <v>185</v>
      </c>
      <c r="E296" s="178" t="s">
        <v>530</v>
      </c>
      <c r="F296" s="180">
        <v>661.88</v>
      </c>
      <c r="G296" s="178" t="s">
        <v>593</v>
      </c>
    </row>
    <row r="297" spans="3:7" x14ac:dyDescent="0.2">
      <c r="C297" s="178">
        <v>8</v>
      </c>
      <c r="D297" s="178" t="s">
        <v>185</v>
      </c>
      <c r="E297" s="178" t="s">
        <v>530</v>
      </c>
      <c r="F297" s="180">
        <v>7.5</v>
      </c>
      <c r="G297" s="178" t="s">
        <v>594</v>
      </c>
    </row>
    <row r="298" spans="3:7" x14ac:dyDescent="0.2">
      <c r="C298" s="178">
        <v>8</v>
      </c>
      <c r="D298" s="178" t="s">
        <v>185</v>
      </c>
      <c r="E298" s="178" t="s">
        <v>530</v>
      </c>
      <c r="F298" s="180">
        <v>204</v>
      </c>
      <c r="G298" s="178" t="s">
        <v>595</v>
      </c>
    </row>
    <row r="299" spans="3:7" x14ac:dyDescent="0.2">
      <c r="C299" s="178">
        <v>8</v>
      </c>
      <c r="D299" s="178" t="s">
        <v>185</v>
      </c>
      <c r="E299" s="178" t="s">
        <v>530</v>
      </c>
      <c r="F299" s="180">
        <v>100.95</v>
      </c>
      <c r="G299" s="178" t="s">
        <v>596</v>
      </c>
    </row>
    <row r="300" spans="3:7" x14ac:dyDescent="0.2">
      <c r="C300" s="178">
        <v>8</v>
      </c>
      <c r="D300" s="178" t="s">
        <v>185</v>
      </c>
      <c r="E300" s="178" t="s">
        <v>530</v>
      </c>
      <c r="F300" s="180">
        <v>7.5</v>
      </c>
      <c r="G300" s="178" t="s">
        <v>547</v>
      </c>
    </row>
    <row r="301" spans="3:7" x14ac:dyDescent="0.2">
      <c r="C301" s="178">
        <v>8</v>
      </c>
      <c r="D301" s="178" t="s">
        <v>185</v>
      </c>
      <c r="E301" s="178" t="s">
        <v>530</v>
      </c>
      <c r="F301" s="180">
        <v>7.5</v>
      </c>
      <c r="G301" s="178" t="s">
        <v>547</v>
      </c>
    </row>
    <row r="302" spans="3:7" x14ac:dyDescent="0.2">
      <c r="C302" s="178">
        <v>8</v>
      </c>
      <c r="D302" s="178" t="s">
        <v>185</v>
      </c>
      <c r="E302" s="178" t="s">
        <v>530</v>
      </c>
      <c r="F302" s="180">
        <v>3.06</v>
      </c>
      <c r="G302" s="178" t="s">
        <v>597</v>
      </c>
    </row>
    <row r="303" spans="3:7" x14ac:dyDescent="0.2">
      <c r="C303" s="178">
        <v>8</v>
      </c>
      <c r="D303" s="178" t="s">
        <v>185</v>
      </c>
      <c r="E303" s="178" t="s">
        <v>530</v>
      </c>
      <c r="F303" s="180">
        <v>5.85</v>
      </c>
      <c r="G303" s="178" t="s">
        <v>598</v>
      </c>
    </row>
    <row r="304" spans="3:7" x14ac:dyDescent="0.2">
      <c r="C304" s="178">
        <v>8</v>
      </c>
      <c r="D304" s="178" t="s">
        <v>185</v>
      </c>
      <c r="E304" s="178" t="s">
        <v>530</v>
      </c>
      <c r="F304" s="180">
        <v>7.5</v>
      </c>
      <c r="G304" s="178" t="s">
        <v>599</v>
      </c>
    </row>
    <row r="305" spans="3:7" x14ac:dyDescent="0.2">
      <c r="C305" s="178">
        <v>8</v>
      </c>
      <c r="D305" s="178" t="s">
        <v>185</v>
      </c>
      <c r="E305" s="178" t="s">
        <v>530</v>
      </c>
      <c r="F305" s="180">
        <v>254.35</v>
      </c>
      <c r="G305" s="178" t="s">
        <v>600</v>
      </c>
    </row>
    <row r="306" spans="3:7" x14ac:dyDescent="0.2">
      <c r="C306" s="178">
        <v>8</v>
      </c>
      <c r="D306" s="178" t="s">
        <v>185</v>
      </c>
      <c r="E306" s="178" t="s">
        <v>530</v>
      </c>
      <c r="F306" s="180">
        <v>3.91</v>
      </c>
      <c r="G306" s="178" t="s">
        <v>601</v>
      </c>
    </row>
    <row r="307" spans="3:7" x14ac:dyDescent="0.2">
      <c r="C307" s="178">
        <v>8</v>
      </c>
      <c r="D307" s="178" t="s">
        <v>185</v>
      </c>
      <c r="E307" s="178" t="s">
        <v>530</v>
      </c>
      <c r="F307" s="180">
        <v>5.85</v>
      </c>
      <c r="G307" s="178" t="s">
        <v>602</v>
      </c>
    </row>
    <row r="308" spans="3:7" x14ac:dyDescent="0.2">
      <c r="C308" s="178">
        <v>8</v>
      </c>
      <c r="D308" s="178" t="s">
        <v>185</v>
      </c>
      <c r="E308" s="178" t="s">
        <v>530</v>
      </c>
      <c r="F308" s="180">
        <v>5.85</v>
      </c>
      <c r="G308" s="178" t="s">
        <v>603</v>
      </c>
    </row>
    <row r="309" spans="3:7" x14ac:dyDescent="0.2">
      <c r="C309" s="178">
        <v>8</v>
      </c>
      <c r="D309" s="178" t="s">
        <v>185</v>
      </c>
      <c r="E309" s="178" t="s">
        <v>530</v>
      </c>
      <c r="F309" s="180">
        <v>5.85</v>
      </c>
      <c r="G309" s="178" t="s">
        <v>604</v>
      </c>
    </row>
    <row r="310" spans="3:7" x14ac:dyDescent="0.2">
      <c r="C310" s="178">
        <v>8</v>
      </c>
      <c r="D310" s="178" t="s">
        <v>185</v>
      </c>
      <c r="E310" s="178" t="s">
        <v>530</v>
      </c>
      <c r="F310" s="180">
        <v>5.85</v>
      </c>
      <c r="G310" s="178" t="s">
        <v>605</v>
      </c>
    </row>
    <row r="311" spans="3:7" x14ac:dyDescent="0.2">
      <c r="C311" s="178">
        <v>8</v>
      </c>
      <c r="D311" s="178" t="s">
        <v>185</v>
      </c>
      <c r="E311" s="178" t="s">
        <v>530</v>
      </c>
      <c r="F311" s="180">
        <v>10</v>
      </c>
      <c r="G311" s="178" t="s">
        <v>605</v>
      </c>
    </row>
    <row r="312" spans="3:7" x14ac:dyDescent="0.2">
      <c r="C312" s="178">
        <v>8</v>
      </c>
      <c r="D312" s="178" t="s">
        <v>185</v>
      </c>
      <c r="E312" s="178" t="s">
        <v>530</v>
      </c>
      <c r="F312" s="180">
        <v>5.85</v>
      </c>
      <c r="G312" s="178" t="s">
        <v>606</v>
      </c>
    </row>
    <row r="313" spans="3:7" x14ac:dyDescent="0.2">
      <c r="C313" s="178">
        <v>8</v>
      </c>
      <c r="D313" s="178" t="s">
        <v>185</v>
      </c>
      <c r="E313" s="178" t="s">
        <v>530</v>
      </c>
      <c r="F313" s="180">
        <v>10</v>
      </c>
      <c r="G313" s="178" t="s">
        <v>607</v>
      </c>
    </row>
    <row r="314" spans="3:7" x14ac:dyDescent="0.2">
      <c r="C314" s="178">
        <v>8</v>
      </c>
      <c r="D314" s="178" t="s">
        <v>185</v>
      </c>
      <c r="E314" s="178" t="s">
        <v>530</v>
      </c>
      <c r="F314" s="180">
        <v>5.85</v>
      </c>
      <c r="G314" s="178" t="s">
        <v>607</v>
      </c>
    </row>
    <row r="315" spans="3:7" x14ac:dyDescent="0.2">
      <c r="C315" s="178">
        <v>8</v>
      </c>
      <c r="D315" s="178" t="s">
        <v>185</v>
      </c>
      <c r="E315" s="178" t="s">
        <v>530</v>
      </c>
      <c r="F315" s="180">
        <v>16.850000000000001</v>
      </c>
      <c r="G315" s="178" t="s">
        <v>608</v>
      </c>
    </row>
    <row r="316" spans="3:7" x14ac:dyDescent="0.2">
      <c r="C316" s="178">
        <v>8</v>
      </c>
      <c r="D316" s="178" t="s">
        <v>185</v>
      </c>
      <c r="E316" s="178" t="s">
        <v>530</v>
      </c>
      <c r="F316" s="180">
        <v>10</v>
      </c>
      <c r="G316" s="178" t="s">
        <v>608</v>
      </c>
    </row>
    <row r="317" spans="3:7" x14ac:dyDescent="0.2">
      <c r="C317" s="178">
        <v>8</v>
      </c>
      <c r="D317" s="178" t="s">
        <v>185</v>
      </c>
      <c r="E317" s="178" t="s">
        <v>530</v>
      </c>
      <c r="F317" s="180">
        <v>30</v>
      </c>
      <c r="G317" s="178" t="s">
        <v>608</v>
      </c>
    </row>
    <row r="318" spans="3:7" x14ac:dyDescent="0.2">
      <c r="C318" s="178">
        <v>8</v>
      </c>
      <c r="D318" s="178" t="s">
        <v>185</v>
      </c>
      <c r="E318" s="178" t="s">
        <v>530</v>
      </c>
      <c r="F318" s="180">
        <v>5.85</v>
      </c>
      <c r="G318" s="178" t="s">
        <v>609</v>
      </c>
    </row>
    <row r="319" spans="3:7" x14ac:dyDescent="0.2">
      <c r="C319" s="178">
        <v>8</v>
      </c>
      <c r="D319" s="178" t="s">
        <v>185</v>
      </c>
      <c r="E319" s="178" t="s">
        <v>530</v>
      </c>
      <c r="F319" s="180">
        <v>7.5</v>
      </c>
      <c r="G319" s="178" t="s">
        <v>594</v>
      </c>
    </row>
    <row r="320" spans="3:7" x14ac:dyDescent="0.2">
      <c r="C320" s="178">
        <v>8</v>
      </c>
      <c r="D320" s="178" t="s">
        <v>185</v>
      </c>
      <c r="E320" s="178" t="s">
        <v>530</v>
      </c>
      <c r="F320" s="180">
        <v>218.5</v>
      </c>
      <c r="G320" s="178" t="s">
        <v>610</v>
      </c>
    </row>
    <row r="321" spans="3:7" x14ac:dyDescent="0.2">
      <c r="C321" s="178">
        <v>8</v>
      </c>
      <c r="D321" s="178" t="s">
        <v>185</v>
      </c>
      <c r="E321" s="178" t="s">
        <v>530</v>
      </c>
      <c r="F321" s="180">
        <v>3.28</v>
      </c>
      <c r="G321" s="178" t="s">
        <v>611</v>
      </c>
    </row>
    <row r="322" spans="3:7" x14ac:dyDescent="0.2">
      <c r="C322" s="178">
        <v>8</v>
      </c>
      <c r="D322" s="178" t="s">
        <v>185</v>
      </c>
      <c r="E322" s="178" t="s">
        <v>530</v>
      </c>
      <c r="F322" s="180">
        <v>10</v>
      </c>
      <c r="G322" s="178" t="s">
        <v>604</v>
      </c>
    </row>
    <row r="323" spans="3:7" x14ac:dyDescent="0.2">
      <c r="C323" s="178">
        <v>8</v>
      </c>
      <c r="D323" s="178" t="s">
        <v>185</v>
      </c>
      <c r="E323" s="178" t="s">
        <v>530</v>
      </c>
      <c r="F323" s="180">
        <v>7.5</v>
      </c>
      <c r="G323" s="178" t="s">
        <v>612</v>
      </c>
    </row>
    <row r="324" spans="3:7" x14ac:dyDescent="0.2">
      <c r="C324" s="178">
        <v>8</v>
      </c>
      <c r="D324" s="178" t="s">
        <v>185</v>
      </c>
      <c r="E324" s="178" t="s">
        <v>530</v>
      </c>
      <c r="F324" s="180">
        <v>0.56999999999999995</v>
      </c>
      <c r="G324" s="178" t="s">
        <v>613</v>
      </c>
    </row>
    <row r="325" spans="3:7" x14ac:dyDescent="0.2">
      <c r="C325" s="178">
        <v>8</v>
      </c>
      <c r="D325" s="178" t="s">
        <v>185</v>
      </c>
      <c r="E325" s="178" t="s">
        <v>530</v>
      </c>
      <c r="F325" s="180">
        <v>38.22</v>
      </c>
      <c r="G325" s="178" t="s">
        <v>614</v>
      </c>
    </row>
    <row r="326" spans="3:7" x14ac:dyDescent="0.2">
      <c r="C326" s="178">
        <v>8</v>
      </c>
      <c r="D326" s="178" t="s">
        <v>185</v>
      </c>
      <c r="E326" s="178" t="s">
        <v>530</v>
      </c>
      <c r="F326" s="180">
        <v>0.5</v>
      </c>
      <c r="G326" s="178" t="s">
        <v>546</v>
      </c>
    </row>
    <row r="327" spans="3:7" x14ac:dyDescent="0.2">
      <c r="C327" s="178">
        <v>8</v>
      </c>
      <c r="D327" s="178" t="s">
        <v>185</v>
      </c>
      <c r="E327" s="178" t="s">
        <v>530</v>
      </c>
      <c r="F327" s="180">
        <v>0.5</v>
      </c>
      <c r="G327" s="178" t="s">
        <v>546</v>
      </c>
    </row>
    <row r="328" spans="3:7" x14ac:dyDescent="0.2">
      <c r="C328" s="178">
        <v>8</v>
      </c>
      <c r="D328" s="178" t="s">
        <v>185</v>
      </c>
      <c r="E328" s="178" t="s">
        <v>530</v>
      </c>
      <c r="F328" s="180">
        <v>0.5</v>
      </c>
      <c r="G328" s="178" t="s">
        <v>545</v>
      </c>
    </row>
    <row r="329" spans="3:7" x14ac:dyDescent="0.2">
      <c r="C329" s="178">
        <v>8</v>
      </c>
      <c r="D329" s="178" t="s">
        <v>185</v>
      </c>
      <c r="E329" s="178" t="s">
        <v>530</v>
      </c>
      <c r="F329" s="180">
        <v>0.5</v>
      </c>
      <c r="G329" s="178" t="s">
        <v>545</v>
      </c>
    </row>
    <row r="330" spans="3:7" x14ac:dyDescent="0.2">
      <c r="C330" s="178">
        <v>8</v>
      </c>
      <c r="D330" s="178" t="s">
        <v>185</v>
      </c>
      <c r="E330" s="178" t="s">
        <v>530</v>
      </c>
      <c r="F330" s="180">
        <v>0.5</v>
      </c>
      <c r="G330" s="178" t="s">
        <v>598</v>
      </c>
    </row>
    <row r="331" spans="3:7" x14ac:dyDescent="0.2">
      <c r="C331" s="178">
        <v>8</v>
      </c>
      <c r="D331" s="178" t="s">
        <v>185</v>
      </c>
      <c r="E331" s="178" t="s">
        <v>530</v>
      </c>
      <c r="F331" s="180">
        <v>0.5</v>
      </c>
      <c r="G331" s="178" t="s">
        <v>598</v>
      </c>
    </row>
    <row r="332" spans="3:7" x14ac:dyDescent="0.2">
      <c r="C332" s="178">
        <v>8</v>
      </c>
      <c r="D332" s="178" t="s">
        <v>185</v>
      </c>
      <c r="E332" s="178" t="s">
        <v>530</v>
      </c>
      <c r="F332" s="180">
        <v>0.5</v>
      </c>
      <c r="G332" s="178" t="s">
        <v>608</v>
      </c>
    </row>
    <row r="333" spans="3:7" x14ac:dyDescent="0.2">
      <c r="C333" s="178">
        <v>8</v>
      </c>
      <c r="D333" s="185" t="s">
        <v>615</v>
      </c>
      <c r="F333" s="186">
        <v>2012.9</v>
      </c>
      <c r="G333" s="185" t="s">
        <v>586</v>
      </c>
    </row>
    <row r="334" spans="3:7" x14ac:dyDescent="0.2">
      <c r="C334" s="178">
        <v>8</v>
      </c>
      <c r="D334" s="178" t="s">
        <v>193</v>
      </c>
      <c r="E334" s="178" t="s">
        <v>531</v>
      </c>
      <c r="F334" s="180">
        <v>21.49</v>
      </c>
      <c r="G334" s="178" t="s">
        <v>616</v>
      </c>
    </row>
    <row r="335" spans="3:7" x14ac:dyDescent="0.2">
      <c r="C335" s="178">
        <v>8</v>
      </c>
      <c r="D335" s="178" t="s">
        <v>193</v>
      </c>
      <c r="E335" s="178" t="s">
        <v>531</v>
      </c>
      <c r="F335" s="180">
        <v>21.22</v>
      </c>
      <c r="G335" s="178" t="s">
        <v>617</v>
      </c>
    </row>
    <row r="336" spans="3:7" x14ac:dyDescent="0.2">
      <c r="C336" s="178">
        <v>8</v>
      </c>
      <c r="D336" s="185" t="s">
        <v>618</v>
      </c>
      <c r="F336" s="186">
        <v>42.71</v>
      </c>
      <c r="G336" s="185" t="s">
        <v>586</v>
      </c>
    </row>
    <row r="337" spans="3:7" x14ac:dyDescent="0.2">
      <c r="C337" s="178">
        <v>8</v>
      </c>
      <c r="D337" s="178" t="s">
        <v>186</v>
      </c>
      <c r="E337" s="175" t="s">
        <v>621</v>
      </c>
      <c r="F337" s="180">
        <v>100.87</v>
      </c>
      <c r="G337" s="178" t="s">
        <v>619</v>
      </c>
    </row>
    <row r="338" spans="3:7" x14ac:dyDescent="0.2">
      <c r="C338" s="178">
        <v>8</v>
      </c>
      <c r="D338" s="185" t="s">
        <v>620</v>
      </c>
      <c r="F338" s="186">
        <v>100.87</v>
      </c>
      <c r="G338" s="185" t="s">
        <v>586</v>
      </c>
    </row>
  </sheetData>
  <autoFilter ref="A1:N338" xr:uid="{CCB3247C-C7E5-4C44-9CD2-957679F7AF1B}"/>
  <sortState xmlns:xlrd2="http://schemas.microsoft.com/office/spreadsheetml/2017/richdata2" ref="A2:M271">
    <sortCondition ref="C2:C271"/>
  </sortState>
  <pageMargins left="0.7" right="0.7" top="0.75" bottom="0.75" header="0.3" footer="0.3"/>
  <pageSetup paperSize="9" orientation="portrait" r:id="rId1"/>
  <customProperties>
    <customPr name="_pios_id" r:id="rId2"/>
  </customPropertie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16A47-1A6E-4493-9EA3-B50DC1AE35D9}">
  <dimension ref="A1:A8"/>
  <sheetViews>
    <sheetView workbookViewId="0">
      <selection activeCell="B14" sqref="B14"/>
    </sheetView>
  </sheetViews>
  <sheetFormatPr defaultRowHeight="12.75" x14ac:dyDescent="0.2"/>
  <sheetData>
    <row r="1" spans="1:1" x14ac:dyDescent="0.2">
      <c r="A1" t="s">
        <v>467</v>
      </c>
    </row>
    <row r="3" spans="1:1" x14ac:dyDescent="0.2">
      <c r="A3" t="s">
        <v>468</v>
      </c>
    </row>
    <row r="5" spans="1:1" x14ac:dyDescent="0.2">
      <c r="A5" t="s">
        <v>469</v>
      </c>
    </row>
    <row r="7" spans="1:1" x14ac:dyDescent="0.2">
      <c r="A7" t="s">
        <v>470</v>
      </c>
    </row>
    <row r="8" spans="1:1" x14ac:dyDescent="0.2">
      <c r="A8" t="s">
        <v>471</v>
      </c>
    </row>
  </sheetData>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0"/>
  <sheetViews>
    <sheetView tabSelected="1" zoomScaleNormal="100" workbookViewId="0">
      <selection activeCell="G11" sqref="G11"/>
    </sheetView>
  </sheetViews>
  <sheetFormatPr defaultColWidth="0" defaultRowHeight="12.75" zeroHeight="1" x14ac:dyDescent="0.2"/>
  <cols>
    <col min="1" max="1" width="35.570312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208" t="s">
        <v>98</v>
      </c>
      <c r="B1" s="208"/>
      <c r="C1" s="208"/>
      <c r="D1" s="208"/>
      <c r="E1" s="208"/>
      <c r="F1" s="208"/>
      <c r="G1" s="48"/>
      <c r="H1" s="48"/>
      <c r="I1" s="48"/>
      <c r="J1" s="48"/>
      <c r="K1" s="48"/>
    </row>
    <row r="2" spans="1:11" ht="21" customHeight="1" x14ac:dyDescent="0.2">
      <c r="A2" s="4" t="s">
        <v>2</v>
      </c>
      <c r="B2" s="209" t="s">
        <v>168</v>
      </c>
      <c r="C2" s="209"/>
      <c r="D2" s="209"/>
      <c r="E2" s="209"/>
      <c r="F2" s="209"/>
      <c r="G2" s="48"/>
      <c r="H2" s="48"/>
      <c r="I2" s="48"/>
      <c r="J2" s="48"/>
      <c r="K2" s="48"/>
    </row>
    <row r="3" spans="1:11" ht="21" customHeight="1" x14ac:dyDescent="0.2">
      <c r="A3" s="4" t="s">
        <v>99</v>
      </c>
      <c r="B3" s="209" t="s">
        <v>169</v>
      </c>
      <c r="C3" s="209"/>
      <c r="D3" s="209"/>
      <c r="E3" s="209"/>
      <c r="F3" s="209"/>
      <c r="G3" s="48"/>
      <c r="H3" s="48"/>
      <c r="I3" s="48"/>
      <c r="J3" s="48"/>
      <c r="K3" s="48"/>
    </row>
    <row r="4" spans="1:11" ht="21" customHeight="1" x14ac:dyDescent="0.2">
      <c r="A4" s="4" t="s">
        <v>79</v>
      </c>
      <c r="B4" s="210">
        <v>44013</v>
      </c>
      <c r="C4" s="210"/>
      <c r="D4" s="210"/>
      <c r="E4" s="210"/>
      <c r="F4" s="210"/>
      <c r="G4" s="48"/>
      <c r="H4" s="48"/>
      <c r="I4" s="48"/>
      <c r="J4" s="48"/>
      <c r="K4" s="48"/>
    </row>
    <row r="5" spans="1:11" ht="21" customHeight="1" x14ac:dyDescent="0.2">
      <c r="A5" s="4" t="s">
        <v>80</v>
      </c>
      <c r="B5" s="210">
        <v>44377</v>
      </c>
      <c r="C5" s="210"/>
      <c r="D5" s="210"/>
      <c r="E5" s="210"/>
      <c r="F5" s="210"/>
      <c r="G5" s="48"/>
      <c r="H5" s="48"/>
      <c r="I5" s="48"/>
      <c r="J5" s="48"/>
      <c r="K5" s="48"/>
    </row>
    <row r="6" spans="1:11" ht="21" customHeight="1" x14ac:dyDescent="0.2">
      <c r="A6" s="4" t="s">
        <v>104</v>
      </c>
      <c r="B6" s="207" t="str">
        <f>IF(AND(Travel!B7&lt;&gt;A30,Hospitality!B7&lt;&gt;A30,'All other expenses'!B7&lt;&gt;A30,'Gifts and benefits'!B7&lt;&gt;A30),A31,IF(AND(Travel!B7=A30,Hospitality!B7=A30,'All other expenses'!B7=A30,'Gifts and benefits'!B7=A30),A33,A32))</f>
        <v>Data and totals checked on all sheets</v>
      </c>
      <c r="C6" s="207"/>
      <c r="D6" s="207"/>
      <c r="E6" s="207"/>
      <c r="F6" s="207"/>
      <c r="G6" s="36"/>
      <c r="H6" s="48"/>
      <c r="I6" s="48"/>
      <c r="J6" s="48"/>
      <c r="K6" s="48"/>
    </row>
    <row r="7" spans="1:11" ht="21" customHeight="1" x14ac:dyDescent="0.2">
      <c r="A7" s="4" t="s">
        <v>133</v>
      </c>
      <c r="B7" s="206" t="s">
        <v>63</v>
      </c>
      <c r="C7" s="206"/>
      <c r="D7" s="206"/>
      <c r="E7" s="206"/>
      <c r="F7" s="206"/>
      <c r="G7" s="36"/>
      <c r="H7" s="48"/>
      <c r="I7" s="48"/>
      <c r="J7" s="48"/>
      <c r="K7" s="48"/>
    </row>
    <row r="8" spans="1:11" ht="21" customHeight="1" x14ac:dyDescent="0.2">
      <c r="A8" s="4" t="s">
        <v>100</v>
      </c>
      <c r="B8" s="206" t="s">
        <v>171</v>
      </c>
      <c r="C8" s="206"/>
      <c r="D8" s="206"/>
      <c r="E8" s="206"/>
      <c r="F8" s="206"/>
      <c r="G8" s="36"/>
      <c r="H8" s="48"/>
      <c r="I8" s="48"/>
      <c r="J8" s="48"/>
      <c r="K8" s="48"/>
    </row>
    <row r="9" spans="1:11" ht="66.75" customHeight="1" x14ac:dyDescent="0.2">
      <c r="A9" s="205" t="s">
        <v>125</v>
      </c>
      <c r="B9" s="205"/>
      <c r="C9" s="205"/>
      <c r="D9" s="205"/>
      <c r="E9" s="205"/>
      <c r="F9" s="205"/>
      <c r="G9" s="36"/>
      <c r="H9" s="48"/>
      <c r="I9" s="48"/>
      <c r="J9" s="48"/>
      <c r="K9" s="48"/>
    </row>
    <row r="10" spans="1:11" s="154" customFormat="1" ht="36" customHeight="1" x14ac:dyDescent="0.2">
      <c r="A10" s="148" t="s">
        <v>48</v>
      </c>
      <c r="B10" s="149" t="s">
        <v>31</v>
      </c>
      <c r="C10" s="149" t="s">
        <v>65</v>
      </c>
      <c r="D10" s="150"/>
      <c r="E10" s="151" t="s">
        <v>47</v>
      </c>
      <c r="F10" s="152" t="s">
        <v>72</v>
      </c>
      <c r="G10" s="153"/>
      <c r="H10" s="153"/>
      <c r="I10" s="153"/>
      <c r="J10" s="153"/>
      <c r="K10" s="153"/>
    </row>
    <row r="11" spans="1:11" ht="27.75" customHeight="1" x14ac:dyDescent="0.2">
      <c r="A11" s="11" t="s">
        <v>84</v>
      </c>
      <c r="B11" s="99">
        <f>B15+B16+B17</f>
        <v>37554.47</v>
      </c>
      <c r="C11" s="107" t="str">
        <f>IF(Travel!B6="",A34,Travel!B6)</f>
        <v>Figures exclude GST</v>
      </c>
      <c r="D11" s="8"/>
      <c r="E11" s="11" t="s">
        <v>95</v>
      </c>
      <c r="F11" s="58">
        <f>'Gifts and benefits'!C24</f>
        <v>4</v>
      </c>
      <c r="G11" s="49"/>
      <c r="H11" s="49"/>
      <c r="I11" s="49"/>
      <c r="J11" s="49"/>
      <c r="K11" s="49"/>
    </row>
    <row r="12" spans="1:11" ht="27.75" customHeight="1" x14ac:dyDescent="0.2">
      <c r="A12" s="11" t="s">
        <v>12</v>
      </c>
      <c r="B12" s="99">
        <f>Hospitality!B54</f>
        <v>2878.8</v>
      </c>
      <c r="C12" s="107" t="str">
        <f>IF(Hospitality!B6="",A34,Hospitality!B6)</f>
        <v>Figures exclude GST</v>
      </c>
      <c r="D12" s="8"/>
      <c r="E12" s="11" t="s">
        <v>96</v>
      </c>
      <c r="F12" s="58">
        <f>'Gifts and benefits'!C25</f>
        <v>1</v>
      </c>
      <c r="G12" s="49"/>
      <c r="H12" s="49"/>
      <c r="I12" s="49"/>
      <c r="J12" s="49"/>
      <c r="K12" s="49"/>
    </row>
    <row r="13" spans="1:11" ht="27.75" customHeight="1" x14ac:dyDescent="0.2">
      <c r="A13" s="11" t="s">
        <v>30</v>
      </c>
      <c r="B13" s="99">
        <f>'All other expenses'!B25</f>
        <v>0</v>
      </c>
      <c r="C13" s="107" t="str">
        <f>IF('All other expenses'!B6="",A34,'All other expenses'!B6)</f>
        <v>Figures exclude GST</v>
      </c>
      <c r="D13" s="8"/>
      <c r="E13" s="11" t="s">
        <v>97</v>
      </c>
      <c r="F13" s="58">
        <f>'Gifts and benefits'!C26</f>
        <v>3</v>
      </c>
      <c r="G13" s="48"/>
      <c r="H13" s="48"/>
      <c r="I13" s="48"/>
      <c r="J13" s="48"/>
      <c r="K13" s="48"/>
    </row>
    <row r="14" spans="1:11" ht="12.75" customHeight="1" x14ac:dyDescent="0.2">
      <c r="A14" s="10"/>
      <c r="B14" s="100"/>
      <c r="C14" s="108"/>
      <c r="D14" s="59"/>
      <c r="E14" s="8"/>
      <c r="F14" s="60"/>
      <c r="G14" s="28"/>
      <c r="H14" s="28"/>
      <c r="I14" s="28"/>
      <c r="J14" s="28"/>
      <c r="K14" s="28"/>
    </row>
    <row r="15" spans="1:11" ht="27.75" customHeight="1" x14ac:dyDescent="0.2">
      <c r="A15" s="12" t="s">
        <v>45</v>
      </c>
      <c r="B15" s="101">
        <f>Travel!B19</f>
        <v>0</v>
      </c>
      <c r="C15" s="109" t="str">
        <f>C11</f>
        <v>Figures exclude GST</v>
      </c>
      <c r="D15" s="8"/>
      <c r="E15" s="8"/>
      <c r="F15" s="60"/>
      <c r="G15" s="48"/>
      <c r="H15" s="48"/>
      <c r="I15" s="48"/>
      <c r="J15" s="48"/>
      <c r="K15" s="48"/>
    </row>
    <row r="16" spans="1:11" ht="27.75" customHeight="1" x14ac:dyDescent="0.2">
      <c r="A16" s="12" t="s">
        <v>91</v>
      </c>
      <c r="B16" s="101">
        <f>Travel!B156</f>
        <v>37426.69</v>
      </c>
      <c r="C16" s="109" t="str">
        <f>C11</f>
        <v>Figures exclude GST</v>
      </c>
      <c r="D16" s="61"/>
      <c r="E16" s="8"/>
      <c r="F16" s="62"/>
      <c r="G16" s="48"/>
      <c r="H16" s="48"/>
      <c r="I16" s="48"/>
      <c r="J16" s="48"/>
      <c r="K16" s="48"/>
    </row>
    <row r="17" spans="1:11" ht="27.75" customHeight="1" x14ac:dyDescent="0.2">
      <c r="A17" s="12" t="s">
        <v>46</v>
      </c>
      <c r="B17" s="101">
        <f>Travel!B169</f>
        <v>127.78</v>
      </c>
      <c r="C17" s="109" t="str">
        <f>C11</f>
        <v>Figures exclude GST</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8</v>
      </c>
      <c r="B19" s="27"/>
      <c r="C19" s="28"/>
      <c r="D19" s="29"/>
      <c r="E19" s="29"/>
      <c r="F19" s="29"/>
      <c r="G19" s="29"/>
      <c r="H19" s="29"/>
      <c r="I19" s="29"/>
      <c r="J19" s="29"/>
      <c r="K19" s="29"/>
    </row>
    <row r="20" spans="1:11" x14ac:dyDescent="0.2">
      <c r="A20" s="25" t="s">
        <v>9</v>
      </c>
      <c r="B20" s="55"/>
      <c r="C20" s="55"/>
      <c r="D20" s="28"/>
      <c r="E20" s="28"/>
      <c r="F20" s="28"/>
      <c r="G20" s="29"/>
      <c r="H20" s="29"/>
      <c r="I20" s="29"/>
      <c r="J20" s="29"/>
      <c r="K20" s="29"/>
    </row>
    <row r="21" spans="1:11" ht="12.6" customHeight="1" x14ac:dyDescent="0.2">
      <c r="A21" s="25" t="s">
        <v>66</v>
      </c>
      <c r="B21" s="55"/>
      <c r="C21" s="55"/>
      <c r="D21" s="22"/>
      <c r="E21" s="29"/>
      <c r="F21" s="29"/>
      <c r="G21" s="29"/>
      <c r="H21" s="29"/>
      <c r="I21" s="29"/>
      <c r="J21" s="29"/>
      <c r="K21" s="29"/>
    </row>
    <row r="22" spans="1:11" ht="12.6" customHeight="1" x14ac:dyDescent="0.2">
      <c r="A22" s="25" t="s">
        <v>81</v>
      </c>
      <c r="B22" s="55"/>
      <c r="C22" s="55"/>
      <c r="D22" s="22"/>
      <c r="E22" s="29"/>
      <c r="F22" s="29"/>
      <c r="G22" s="29"/>
      <c r="H22" s="29"/>
      <c r="I22" s="29"/>
      <c r="J22" s="29"/>
      <c r="K22" s="29"/>
    </row>
    <row r="23" spans="1:11" ht="12.6" customHeight="1" x14ac:dyDescent="0.2">
      <c r="A23" s="25" t="s">
        <v>101</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4" t="s">
        <v>94</v>
      </c>
      <c r="B36" s="103"/>
      <c r="C36" s="103"/>
      <c r="D36" s="103"/>
      <c r="E36" s="103"/>
      <c r="F36" s="103"/>
      <c r="G36" s="48"/>
      <c r="H36" s="48"/>
      <c r="I36" s="48"/>
      <c r="J36" s="48"/>
      <c r="K36" s="48"/>
    </row>
    <row r="37" spans="1:11" hidden="1" x14ac:dyDescent="0.2">
      <c r="A37" s="104" t="s">
        <v>63</v>
      </c>
      <c r="B37" s="103"/>
      <c r="C37" s="103"/>
      <c r="D37" s="103"/>
      <c r="E37" s="103"/>
      <c r="F37" s="103"/>
      <c r="G37" s="48"/>
      <c r="H37" s="48"/>
      <c r="I37" s="48"/>
      <c r="J37" s="48"/>
      <c r="K37" s="48"/>
    </row>
    <row r="38" spans="1:11" hidden="1" x14ac:dyDescent="0.2">
      <c r="A38" s="65" t="s">
        <v>38</v>
      </c>
      <c r="B38" s="5"/>
      <c r="C38" s="5"/>
      <c r="D38" s="5"/>
      <c r="E38" s="5"/>
      <c r="F38" s="5"/>
      <c r="G38" s="48"/>
      <c r="H38" s="48"/>
      <c r="I38" s="48"/>
      <c r="J38" s="48"/>
      <c r="K38" s="48"/>
    </row>
    <row r="39" spans="1:11" hidden="1" x14ac:dyDescent="0.2">
      <c r="A39" s="66" t="s">
        <v>39</v>
      </c>
      <c r="B39" s="5"/>
      <c r="C39" s="5"/>
      <c r="D39" s="5"/>
      <c r="E39" s="5"/>
      <c r="F39" s="5"/>
      <c r="G39" s="48"/>
      <c r="H39" s="48"/>
      <c r="I39" s="48"/>
      <c r="J39" s="48"/>
      <c r="K39" s="48"/>
    </row>
    <row r="40" spans="1:11" hidden="1" x14ac:dyDescent="0.2">
      <c r="A40" s="66" t="s">
        <v>41</v>
      </c>
      <c r="B40" s="5"/>
      <c r="C40" s="5"/>
      <c r="D40" s="5"/>
      <c r="E40" s="5"/>
      <c r="F40" s="5"/>
      <c r="G40" s="48"/>
      <c r="H40" s="48"/>
      <c r="I40" s="48"/>
      <c r="J40" s="48"/>
      <c r="K40" s="48"/>
    </row>
    <row r="41" spans="1:11" hidden="1" x14ac:dyDescent="0.2">
      <c r="A41" s="66" t="s">
        <v>40</v>
      </c>
      <c r="B41" s="5"/>
      <c r="C41" s="5"/>
      <c r="D41" s="5"/>
      <c r="E41" s="5"/>
      <c r="F41" s="5"/>
      <c r="G41" s="48"/>
      <c r="H41" s="48"/>
      <c r="I41" s="48"/>
      <c r="J41" s="48"/>
      <c r="K41" s="48"/>
    </row>
    <row r="42" spans="1:11" hidden="1" x14ac:dyDescent="0.2">
      <c r="A42" s="66" t="s">
        <v>42</v>
      </c>
      <c r="B42" s="5"/>
      <c r="C42" s="5"/>
      <c r="D42" s="5"/>
      <c r="E42" s="5"/>
      <c r="F42" s="5"/>
      <c r="G42" s="48"/>
      <c r="H42" s="48"/>
      <c r="I42" s="48"/>
      <c r="J42" s="48"/>
      <c r="K42" s="48"/>
    </row>
    <row r="43" spans="1:11" hidden="1" x14ac:dyDescent="0.2">
      <c r="A43" s="66" t="s">
        <v>43</v>
      </c>
      <c r="B43" s="5"/>
      <c r="C43" s="5"/>
      <c r="D43" s="5"/>
      <c r="E43" s="5"/>
      <c r="F43" s="5"/>
      <c r="G43" s="48"/>
      <c r="H43" s="48"/>
      <c r="I43" s="48"/>
      <c r="J43" s="48"/>
      <c r="K43" s="48"/>
    </row>
    <row r="44" spans="1:11" hidden="1" x14ac:dyDescent="0.2">
      <c r="A44" s="105" t="s">
        <v>36</v>
      </c>
      <c r="B44" s="103"/>
      <c r="C44" s="103"/>
      <c r="D44" s="103"/>
      <c r="E44" s="103"/>
      <c r="F44" s="103"/>
      <c r="G44" s="48"/>
      <c r="H44" s="48"/>
      <c r="I44" s="48"/>
      <c r="J44" s="48"/>
      <c r="K44" s="48"/>
    </row>
    <row r="45" spans="1:11" hidden="1" x14ac:dyDescent="0.2">
      <c r="A45" s="103" t="s">
        <v>34</v>
      </c>
      <c r="B45" s="103"/>
      <c r="C45" s="103"/>
      <c r="D45" s="103"/>
      <c r="E45" s="103"/>
      <c r="F45" s="103"/>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42" t="s">
        <v>138</v>
      </c>
      <c r="B47" s="103"/>
      <c r="C47" s="103"/>
      <c r="D47" s="103"/>
      <c r="E47" s="103"/>
      <c r="F47" s="103"/>
      <c r="G47" s="48"/>
      <c r="H47" s="48"/>
      <c r="I47" s="48"/>
      <c r="J47" s="48"/>
      <c r="K47" s="48"/>
    </row>
    <row r="48" spans="1:11" ht="25.5" hidden="1" x14ac:dyDescent="0.2">
      <c r="A48" s="142" t="s">
        <v>137</v>
      </c>
      <c r="B48" s="103"/>
      <c r="C48" s="103"/>
      <c r="D48" s="103"/>
      <c r="E48" s="103"/>
      <c r="F48" s="103"/>
      <c r="G48" s="48"/>
      <c r="H48" s="48"/>
      <c r="I48" s="48"/>
      <c r="J48" s="48"/>
      <c r="K48" s="48"/>
    </row>
    <row r="49" spans="1:11" ht="25.5" hidden="1" x14ac:dyDescent="0.2">
      <c r="A49" s="143" t="s">
        <v>139</v>
      </c>
      <c r="B49" s="5"/>
      <c r="C49" s="5"/>
      <c r="D49" s="5"/>
      <c r="E49" s="5"/>
      <c r="F49" s="5"/>
      <c r="G49" s="48"/>
      <c r="H49" s="48"/>
      <c r="I49" s="48"/>
      <c r="J49" s="48"/>
      <c r="K49" s="48"/>
    </row>
    <row r="50" spans="1:11" ht="25.5" hidden="1" x14ac:dyDescent="0.2">
      <c r="A50" s="143" t="s">
        <v>113</v>
      </c>
      <c r="B50" s="5"/>
      <c r="C50" s="5"/>
      <c r="D50" s="5"/>
      <c r="E50" s="5"/>
      <c r="F50" s="5"/>
      <c r="G50" s="48"/>
      <c r="H50" s="48"/>
      <c r="I50" s="48"/>
      <c r="J50" s="48"/>
      <c r="K50" s="48"/>
    </row>
    <row r="51" spans="1:11" ht="38.25" hidden="1" x14ac:dyDescent="0.2">
      <c r="A51" s="143" t="s">
        <v>114</v>
      </c>
      <c r="B51" s="133"/>
      <c r="C51" s="133"/>
      <c r="D51" s="141"/>
      <c r="E51" s="68"/>
      <c r="F51" s="68"/>
      <c r="G51" s="48"/>
      <c r="H51" s="48"/>
      <c r="I51" s="48"/>
      <c r="J51" s="48"/>
      <c r="K51" s="48"/>
    </row>
    <row r="52" spans="1:11" hidden="1" x14ac:dyDescent="0.2">
      <c r="A52" s="138" t="s">
        <v>117</v>
      </c>
      <c r="B52" s="139"/>
      <c r="C52" s="139"/>
      <c r="D52" s="132"/>
      <c r="E52" s="69"/>
      <c r="F52" s="69" t="b">
        <v>1</v>
      </c>
      <c r="G52" s="48"/>
      <c r="H52" s="48"/>
      <c r="I52" s="48"/>
      <c r="J52" s="48"/>
      <c r="K52" s="48"/>
    </row>
    <row r="53" spans="1:11" hidden="1" x14ac:dyDescent="0.2">
      <c r="A53" s="140" t="s">
        <v>140</v>
      </c>
      <c r="B53" s="138"/>
      <c r="C53" s="138"/>
      <c r="D53" s="138"/>
      <c r="E53" s="69"/>
      <c r="F53" s="69" t="b">
        <v>0</v>
      </c>
      <c r="G53" s="48"/>
      <c r="H53" s="48"/>
      <c r="I53" s="48"/>
      <c r="J53" s="48"/>
      <c r="K53" s="48"/>
    </row>
    <row r="54" spans="1:11" hidden="1" x14ac:dyDescent="0.2">
      <c r="A54" s="144"/>
      <c r="B54" s="134">
        <f>COUNT(Travel!B12:B18)</f>
        <v>0</v>
      </c>
      <c r="C54" s="134"/>
      <c r="D54" s="134">
        <f>COUNTIF(Travel!E12:E18,"*")</f>
        <v>0</v>
      </c>
      <c r="E54" s="135"/>
      <c r="F54" s="135" t="b">
        <f>MIN(B54,D54)=MAX(B54,D54)</f>
        <v>1</v>
      </c>
      <c r="G54" s="48"/>
      <c r="H54" s="48"/>
      <c r="I54" s="48"/>
      <c r="J54" s="48"/>
      <c r="K54" s="48"/>
    </row>
    <row r="55" spans="1:11" hidden="1" x14ac:dyDescent="0.2">
      <c r="A55" s="144" t="s">
        <v>111</v>
      </c>
      <c r="B55" s="134">
        <f>COUNT(Travel!B23:B154)</f>
        <v>131</v>
      </c>
      <c r="C55" s="134"/>
      <c r="D55" s="134">
        <f>COUNTIF(Travel!E23:E154,"*")</f>
        <v>131</v>
      </c>
      <c r="E55" s="135"/>
      <c r="F55" s="135" t="b">
        <f>MIN(B55,D55)=MAX(B55,D55)</f>
        <v>1</v>
      </c>
    </row>
    <row r="56" spans="1:11" hidden="1" x14ac:dyDescent="0.2">
      <c r="A56" s="145"/>
      <c r="B56" s="134">
        <f>COUNT(Travel!B160:B168)</f>
        <v>5</v>
      </c>
      <c r="C56" s="134"/>
      <c r="D56" s="134">
        <f>COUNTIF(Travel!E160:E168,"*")</f>
        <v>5</v>
      </c>
      <c r="E56" s="135"/>
      <c r="F56" s="135" t="b">
        <f>MIN(B56,D56)=MAX(B56,D56)</f>
        <v>1</v>
      </c>
    </row>
    <row r="57" spans="1:11" hidden="1" x14ac:dyDescent="0.2">
      <c r="A57" s="146" t="s">
        <v>109</v>
      </c>
      <c r="B57" s="136">
        <f>COUNT(Hospitality!B14:B53)</f>
        <v>37</v>
      </c>
      <c r="C57" s="136"/>
      <c r="D57" s="136">
        <f>COUNTIF(Hospitality!E14:E53,"*")</f>
        <v>37</v>
      </c>
      <c r="E57" s="137"/>
      <c r="F57" s="137" t="b">
        <f>MIN(B57,D57)=MAX(B57,D57)</f>
        <v>1</v>
      </c>
    </row>
    <row r="58" spans="1:11" hidden="1" x14ac:dyDescent="0.2">
      <c r="A58" s="147" t="s">
        <v>110</v>
      </c>
      <c r="B58" s="135">
        <f>COUNT('All other expenses'!B11:B24)</f>
        <v>0</v>
      </c>
      <c r="C58" s="135"/>
      <c r="D58" s="135">
        <f>COUNTIF('All other expenses'!D11:D24,"*")</f>
        <v>0</v>
      </c>
      <c r="E58" s="135"/>
      <c r="F58" s="135" t="b">
        <f>MIN(B58,D58)=MAX(B58,D58)</f>
        <v>1</v>
      </c>
    </row>
    <row r="59" spans="1:11" hidden="1" x14ac:dyDescent="0.2">
      <c r="A59" s="146" t="s">
        <v>108</v>
      </c>
      <c r="B59" s="136">
        <f>COUNTIF('Gifts and benefits'!B11:B23,"*")</f>
        <v>4</v>
      </c>
      <c r="C59" s="136">
        <f>COUNTIF('Gifts and benefits'!C11:C23,"*")</f>
        <v>4</v>
      </c>
      <c r="D59" s="136"/>
      <c r="E59" s="136">
        <f>COUNTA('Gifts and benefits'!E11:E23)</f>
        <v>4</v>
      </c>
      <c r="F59" s="137" t="b">
        <f>MIN(B59,C59,E59)=MAX(B59,C59,E59)</f>
        <v>1</v>
      </c>
    </row>
    <row r="60"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541"/>
  <sheetViews>
    <sheetView topLeftCell="A99" zoomScale="80" zoomScaleNormal="80" workbookViewId="0">
      <selection activeCell="D138" sqref="D138"/>
    </sheetView>
  </sheetViews>
  <sheetFormatPr defaultColWidth="0" defaultRowHeight="12.75" zeroHeight="1" x14ac:dyDescent="0.2"/>
  <cols>
    <col min="1" max="1" width="35.5703125" style="17" customWidth="1"/>
    <col min="2" max="2" width="14.42578125" style="17" customWidth="1"/>
    <col min="3" max="3" width="14.42578125" style="17" hidden="1" customWidth="1"/>
    <col min="4" max="4" width="71.42578125" style="17" customWidth="1"/>
    <col min="5" max="5" width="50" style="17" customWidth="1"/>
    <col min="6" max="6" width="28.7109375" style="17" customWidth="1"/>
    <col min="7" max="7" width="37.5703125" style="17" customWidth="1"/>
    <col min="8" max="10" width="9.140625" style="17" hidden="1" customWidth="1"/>
    <col min="11" max="14" width="0" style="17" hidden="1" customWidth="1"/>
    <col min="15" max="16384" width="9.140625" style="17" hidden="1"/>
  </cols>
  <sheetData>
    <row r="1" spans="1:7" ht="26.25" customHeight="1" x14ac:dyDescent="0.2">
      <c r="A1" s="208" t="s">
        <v>6</v>
      </c>
      <c r="B1" s="208"/>
      <c r="C1" s="208"/>
      <c r="D1" s="208"/>
      <c r="E1" s="208"/>
      <c r="F1" s="208"/>
      <c r="G1" s="48"/>
    </row>
    <row r="2" spans="1:7" ht="21" customHeight="1" x14ac:dyDescent="0.2">
      <c r="A2" s="4" t="s">
        <v>2</v>
      </c>
      <c r="B2" s="211" t="str">
        <f>'Summary and sign-off'!B2:F2</f>
        <v>The Department of Conservation</v>
      </c>
      <c r="C2" s="211"/>
      <c r="D2" s="211"/>
      <c r="E2" s="211"/>
      <c r="F2" s="211"/>
      <c r="G2" s="48"/>
    </row>
    <row r="3" spans="1:7" ht="21" customHeight="1" x14ac:dyDescent="0.2">
      <c r="A3" s="4" t="s">
        <v>3</v>
      </c>
      <c r="B3" s="211" t="str">
        <f>'Summary and sign-off'!B3:F3</f>
        <v>Lou Sanson</v>
      </c>
      <c r="C3" s="211"/>
      <c r="D3" s="211"/>
      <c r="E3" s="211"/>
      <c r="F3" s="211"/>
      <c r="G3" s="48"/>
    </row>
    <row r="4" spans="1:7" ht="21" customHeight="1" x14ac:dyDescent="0.2">
      <c r="A4" s="4" t="s">
        <v>77</v>
      </c>
      <c r="B4" s="211">
        <f>'Summary and sign-off'!B4:F4</f>
        <v>44013</v>
      </c>
      <c r="C4" s="211"/>
      <c r="D4" s="211"/>
      <c r="E4" s="211"/>
      <c r="F4" s="211"/>
      <c r="G4" s="48"/>
    </row>
    <row r="5" spans="1:7" ht="21" customHeight="1" x14ac:dyDescent="0.2">
      <c r="A5" s="4" t="s">
        <v>78</v>
      </c>
      <c r="B5" s="211">
        <f>'Summary and sign-off'!B5:F5</f>
        <v>44377</v>
      </c>
      <c r="C5" s="211"/>
      <c r="D5" s="211"/>
      <c r="E5" s="211"/>
      <c r="F5" s="211"/>
      <c r="G5" s="48"/>
    </row>
    <row r="6" spans="1:7" ht="21" customHeight="1" x14ac:dyDescent="0.2">
      <c r="A6" s="4" t="s">
        <v>29</v>
      </c>
      <c r="B6" s="206" t="s">
        <v>28</v>
      </c>
      <c r="C6" s="206"/>
      <c r="D6" s="206"/>
      <c r="E6" s="206"/>
      <c r="F6" s="206"/>
      <c r="G6" s="48"/>
    </row>
    <row r="7" spans="1:7" ht="21" customHeight="1" x14ac:dyDescent="0.2">
      <c r="A7" s="4" t="s">
        <v>104</v>
      </c>
      <c r="B7" s="206" t="s">
        <v>116</v>
      </c>
      <c r="C7" s="206"/>
      <c r="D7" s="206"/>
      <c r="E7" s="206"/>
      <c r="F7" s="206"/>
      <c r="G7" s="48"/>
    </row>
    <row r="8" spans="1:7" ht="36" hidden="1" customHeight="1" x14ac:dyDescent="0.2">
      <c r="A8" s="214" t="s">
        <v>4</v>
      </c>
      <c r="B8" s="215"/>
      <c r="C8" s="215"/>
      <c r="D8" s="215"/>
      <c r="E8" s="215"/>
      <c r="F8" s="215"/>
      <c r="G8" s="24"/>
    </row>
    <row r="9" spans="1:7" ht="36" hidden="1" customHeight="1" x14ac:dyDescent="0.2">
      <c r="A9" s="216" t="s">
        <v>142</v>
      </c>
      <c r="B9" s="217"/>
      <c r="C9" s="217"/>
      <c r="D9" s="217"/>
      <c r="E9" s="217"/>
      <c r="F9" s="217"/>
      <c r="G9" s="24"/>
    </row>
    <row r="10" spans="1:7" ht="24.75" hidden="1" customHeight="1" x14ac:dyDescent="0.2">
      <c r="A10" s="213" t="s">
        <v>143</v>
      </c>
      <c r="B10" s="218"/>
      <c r="C10" s="218"/>
      <c r="D10" s="213"/>
      <c r="E10" s="213"/>
      <c r="F10" s="213"/>
      <c r="G10" s="49"/>
    </row>
    <row r="11" spans="1:7" ht="27" hidden="1" customHeight="1" x14ac:dyDescent="0.2">
      <c r="A11" s="37" t="s">
        <v>49</v>
      </c>
      <c r="B11" s="37" t="s">
        <v>144</v>
      </c>
      <c r="C11" s="37"/>
      <c r="D11" s="37" t="s">
        <v>145</v>
      </c>
      <c r="E11" s="37" t="s">
        <v>102</v>
      </c>
      <c r="F11" s="37" t="s">
        <v>76</v>
      </c>
      <c r="G11" s="50"/>
    </row>
    <row r="12" spans="1:7" s="89" customFormat="1" hidden="1" x14ac:dyDescent="0.2">
      <c r="A12" s="114"/>
      <c r="B12" s="111"/>
      <c r="C12" s="111"/>
      <c r="D12" s="112"/>
      <c r="E12" s="112"/>
      <c r="F12" s="113"/>
      <c r="G12" s="1"/>
    </row>
    <row r="13" spans="1:7" s="89" customFormat="1" hidden="1" x14ac:dyDescent="0.2">
      <c r="A13" s="166"/>
      <c r="B13" s="111"/>
      <c r="C13" s="111"/>
      <c r="D13" s="112"/>
      <c r="E13" s="112"/>
      <c r="F13" s="113"/>
      <c r="G13" s="1"/>
    </row>
    <row r="14" spans="1:7" s="89" customFormat="1" hidden="1" x14ac:dyDescent="0.2">
      <c r="A14" s="114"/>
      <c r="B14" s="111"/>
      <c r="C14" s="111"/>
      <c r="D14" s="112"/>
      <c r="E14" s="112"/>
      <c r="F14" s="113"/>
      <c r="G14" s="1"/>
    </row>
    <row r="15" spans="1:7" s="89" customFormat="1" hidden="1" x14ac:dyDescent="0.2">
      <c r="A15" s="166"/>
      <c r="B15" s="111"/>
      <c r="C15" s="111"/>
      <c r="D15" s="112"/>
      <c r="E15" s="112"/>
      <c r="F15" s="113"/>
      <c r="G15" s="1"/>
    </row>
    <row r="16" spans="1:7" s="89" customFormat="1" hidden="1" x14ac:dyDescent="0.2">
      <c r="A16" s="114"/>
      <c r="B16" s="111"/>
      <c r="C16" s="111"/>
      <c r="D16" s="112"/>
      <c r="E16" s="112"/>
      <c r="F16" s="113"/>
      <c r="G16" s="1"/>
    </row>
    <row r="17" spans="1:7" s="89" customFormat="1" ht="22.5" hidden="1" customHeight="1" x14ac:dyDescent="0.2">
      <c r="A17" s="114"/>
      <c r="B17" s="111"/>
      <c r="C17" s="111"/>
      <c r="D17" s="112"/>
      <c r="E17" s="112"/>
      <c r="F17" s="113"/>
      <c r="G17" s="1"/>
    </row>
    <row r="18" spans="1:7" s="89" customFormat="1" hidden="1" x14ac:dyDescent="0.2">
      <c r="A18" s="124"/>
      <c r="B18" s="125"/>
      <c r="C18" s="125"/>
      <c r="D18" s="126"/>
      <c r="E18" s="126"/>
      <c r="F18" s="127"/>
      <c r="G18" s="1"/>
    </row>
    <row r="19" spans="1:7" ht="19.5" hidden="1" customHeight="1" x14ac:dyDescent="0.2">
      <c r="A19" s="128" t="s">
        <v>154</v>
      </c>
      <c r="B19" s="129">
        <f>SUM(B12:B18)</f>
        <v>0</v>
      </c>
      <c r="C19" s="129"/>
      <c r="D19" s="130" t="str">
        <f>IF(SUBTOTAL(3,B12:B18)=SUBTOTAL(103,B12:B18),'Summary and sign-off'!$A$47,'Summary and sign-off'!$A$48)</f>
        <v>Check - there are no hidden rows with data</v>
      </c>
      <c r="E19" s="212" t="str">
        <f>IF('Summary and sign-off'!F54='Summary and sign-off'!F53,'Summary and sign-off'!A50,'Summary and sign-off'!A49)</f>
        <v>Check - each entry provides sufficient information</v>
      </c>
      <c r="F19" s="212"/>
      <c r="G19" s="48"/>
    </row>
    <row r="20" spans="1:7" ht="10.5" customHeight="1" x14ac:dyDescent="0.2">
      <c r="A20" s="29"/>
      <c r="B20" s="24"/>
      <c r="C20" s="24"/>
      <c r="D20" s="29"/>
      <c r="E20" s="29"/>
      <c r="F20" s="29"/>
      <c r="G20" s="29"/>
    </row>
    <row r="21" spans="1:7" ht="24.75" customHeight="1" x14ac:dyDescent="0.2">
      <c r="A21" s="213" t="s">
        <v>92</v>
      </c>
      <c r="B21" s="213"/>
      <c r="C21" s="213"/>
      <c r="D21" s="213"/>
      <c r="E21" s="213"/>
      <c r="F21" s="213"/>
      <c r="G21" s="49"/>
    </row>
    <row r="22" spans="1:7" ht="27" customHeight="1" x14ac:dyDescent="0.2">
      <c r="A22" s="37" t="s">
        <v>49</v>
      </c>
      <c r="B22" s="37" t="s">
        <v>31</v>
      </c>
      <c r="C22" s="37"/>
      <c r="D22" s="37" t="s">
        <v>146</v>
      </c>
      <c r="E22" s="37" t="s">
        <v>102</v>
      </c>
      <c r="F22" s="37" t="s">
        <v>76</v>
      </c>
      <c r="G22" s="50"/>
    </row>
    <row r="23" spans="1:7" s="89" customFormat="1" hidden="1" x14ac:dyDescent="0.2">
      <c r="A23" s="114"/>
      <c r="B23" s="111"/>
      <c r="C23" s="111"/>
      <c r="D23" s="112"/>
      <c r="E23" s="112"/>
      <c r="F23" s="113"/>
      <c r="G23" s="1"/>
    </row>
    <row r="24" spans="1:7" s="89" customFormat="1" x14ac:dyDescent="0.2">
      <c r="A24" s="157">
        <v>44013</v>
      </c>
      <c r="B24" s="111">
        <f>540.81-127.1+1</f>
        <v>414.70999999999992</v>
      </c>
      <c r="C24" s="191"/>
      <c r="D24" s="112" t="s">
        <v>260</v>
      </c>
      <c r="E24" s="112" t="s">
        <v>625</v>
      </c>
      <c r="F24" s="113" t="s">
        <v>261</v>
      </c>
      <c r="G24" s="1"/>
    </row>
    <row r="25" spans="1:7" s="89" customFormat="1" x14ac:dyDescent="0.2">
      <c r="A25" s="157">
        <v>44013</v>
      </c>
      <c r="B25" s="111">
        <v>84</v>
      </c>
      <c r="C25" s="191"/>
      <c r="D25" s="112" t="s">
        <v>260</v>
      </c>
      <c r="E25" s="112" t="s">
        <v>624</v>
      </c>
      <c r="F25" s="113" t="s">
        <v>261</v>
      </c>
      <c r="G25" s="1"/>
    </row>
    <row r="26" spans="1:7" s="89" customFormat="1" x14ac:dyDescent="0.2">
      <c r="A26" s="157">
        <v>44013</v>
      </c>
      <c r="B26" s="111">
        <v>97.39</v>
      </c>
      <c r="C26" s="191"/>
      <c r="D26" s="112" t="s">
        <v>260</v>
      </c>
      <c r="E26" s="112" t="s">
        <v>626</v>
      </c>
      <c r="F26" s="113" t="s">
        <v>261</v>
      </c>
      <c r="G26" s="1"/>
    </row>
    <row r="27" spans="1:7" s="89" customFormat="1" x14ac:dyDescent="0.2">
      <c r="A27" s="157">
        <v>44013</v>
      </c>
      <c r="B27" s="111">
        <v>58.87</v>
      </c>
      <c r="C27" s="191"/>
      <c r="D27" s="112" t="s">
        <v>260</v>
      </c>
      <c r="E27" s="112" t="s">
        <v>627</v>
      </c>
      <c r="F27" s="113" t="s">
        <v>261</v>
      </c>
      <c r="G27" s="1"/>
    </row>
    <row r="28" spans="1:7" s="89" customFormat="1" x14ac:dyDescent="0.2">
      <c r="A28" s="157">
        <v>44013</v>
      </c>
      <c r="B28" s="111">
        <f>105.61+22.5</f>
        <v>128.11000000000001</v>
      </c>
      <c r="C28" s="191"/>
      <c r="D28" s="112" t="s">
        <v>260</v>
      </c>
      <c r="E28" s="112" t="s">
        <v>626</v>
      </c>
      <c r="F28" s="113" t="s">
        <v>261</v>
      </c>
      <c r="G28" s="1"/>
    </row>
    <row r="29" spans="1:7" s="89" customFormat="1" x14ac:dyDescent="0.2">
      <c r="A29" s="157">
        <v>44015</v>
      </c>
      <c r="B29" s="111">
        <f>497.66+0.5</f>
        <v>498.16</v>
      </c>
      <c r="C29" s="191"/>
      <c r="D29" s="112" t="s">
        <v>709</v>
      </c>
      <c r="E29" s="112" t="s">
        <v>626</v>
      </c>
      <c r="F29" s="113" t="s">
        <v>273</v>
      </c>
      <c r="G29" s="1"/>
    </row>
    <row r="30" spans="1:7" s="89" customFormat="1" x14ac:dyDescent="0.2">
      <c r="A30" s="157">
        <v>44015</v>
      </c>
      <c r="B30" s="111">
        <v>326.85000000000002</v>
      </c>
      <c r="C30" s="191"/>
      <c r="D30" s="112" t="s">
        <v>709</v>
      </c>
      <c r="E30" s="112" t="s">
        <v>625</v>
      </c>
      <c r="F30" s="113" t="s">
        <v>273</v>
      </c>
      <c r="G30" s="1"/>
    </row>
    <row r="31" spans="1:7" s="89" customFormat="1" x14ac:dyDescent="0.2">
      <c r="A31" s="157">
        <v>44021</v>
      </c>
      <c r="B31" s="111">
        <f>563.47+118.64</f>
        <v>682.11</v>
      </c>
      <c r="C31" s="191"/>
      <c r="D31" s="112" t="s">
        <v>629</v>
      </c>
      <c r="E31" s="112" t="s">
        <v>625</v>
      </c>
      <c r="F31" s="113" t="s">
        <v>269</v>
      </c>
      <c r="G31" s="1"/>
    </row>
    <row r="32" spans="1:7" s="89" customFormat="1" x14ac:dyDescent="0.2">
      <c r="A32" s="157">
        <v>44029</v>
      </c>
      <c r="B32" s="111">
        <f>427.54+1.45</f>
        <v>428.99</v>
      </c>
      <c r="C32" s="191"/>
      <c r="D32" s="112" t="s">
        <v>631</v>
      </c>
      <c r="E32" s="112" t="s">
        <v>625</v>
      </c>
      <c r="F32" s="113" t="s">
        <v>272</v>
      </c>
      <c r="G32" s="1"/>
    </row>
    <row r="33" spans="1:7" s="89" customFormat="1" x14ac:dyDescent="0.2">
      <c r="A33" s="157">
        <v>44029</v>
      </c>
      <c r="B33" s="111">
        <v>70.5</v>
      </c>
      <c r="C33" s="191"/>
      <c r="D33" s="112" t="s">
        <v>631</v>
      </c>
      <c r="E33" s="112" t="s">
        <v>628</v>
      </c>
      <c r="F33" s="113" t="s">
        <v>272</v>
      </c>
      <c r="G33" s="1"/>
    </row>
    <row r="34" spans="1:7" s="89" customFormat="1" x14ac:dyDescent="0.2">
      <c r="A34" s="157">
        <v>44036</v>
      </c>
      <c r="B34" s="111">
        <f>443.12</f>
        <v>443.12</v>
      </c>
      <c r="C34" s="191"/>
      <c r="D34" s="112" t="s">
        <v>370</v>
      </c>
      <c r="E34" s="112" t="s">
        <v>625</v>
      </c>
      <c r="F34" s="113" t="s">
        <v>265</v>
      </c>
      <c r="G34" s="1"/>
    </row>
    <row r="35" spans="1:7" s="89" customFormat="1" x14ac:dyDescent="0.2">
      <c r="A35" s="157">
        <v>44043</v>
      </c>
      <c r="B35" s="111">
        <f>11.99+19.13</f>
        <v>31.119999999999997</v>
      </c>
      <c r="C35" s="191"/>
      <c r="D35" s="112" t="s">
        <v>370</v>
      </c>
      <c r="E35" s="112" t="s">
        <v>633</v>
      </c>
      <c r="F35" s="113" t="s">
        <v>170</v>
      </c>
      <c r="G35" s="1"/>
    </row>
    <row r="36" spans="1:7" s="89" customFormat="1" x14ac:dyDescent="0.2">
      <c r="A36" s="157">
        <v>44051</v>
      </c>
      <c r="B36" s="111">
        <v>671.65</v>
      </c>
      <c r="C36" s="191"/>
      <c r="D36" s="112" t="s">
        <v>726</v>
      </c>
      <c r="E36" s="112" t="s">
        <v>625</v>
      </c>
      <c r="F36" s="113" t="s">
        <v>276</v>
      </c>
      <c r="G36" s="1"/>
    </row>
    <row r="37" spans="1:7" s="89" customFormat="1" x14ac:dyDescent="0.2">
      <c r="A37" s="157">
        <v>44051</v>
      </c>
      <c r="B37" s="111">
        <v>23.48</v>
      </c>
      <c r="C37" s="191"/>
      <c r="D37" s="112" t="s">
        <v>726</v>
      </c>
      <c r="E37" s="112" t="s">
        <v>633</v>
      </c>
      <c r="F37" s="113" t="s">
        <v>269</v>
      </c>
      <c r="G37" s="1"/>
    </row>
    <row r="38" spans="1:7" s="89" customFormat="1" x14ac:dyDescent="0.2">
      <c r="A38" s="157">
        <v>44059</v>
      </c>
      <c r="B38" s="111">
        <v>16</v>
      </c>
      <c r="C38" s="191"/>
      <c r="D38" s="112" t="s">
        <v>640</v>
      </c>
      <c r="E38" s="112" t="s">
        <v>633</v>
      </c>
      <c r="F38" s="113" t="s">
        <v>170</v>
      </c>
      <c r="G38" s="1"/>
    </row>
    <row r="39" spans="1:7" s="89" customFormat="1" x14ac:dyDescent="0.2">
      <c r="A39" s="157">
        <v>44070</v>
      </c>
      <c r="B39" s="111">
        <f>365.79+20.85+10</f>
        <v>396.64000000000004</v>
      </c>
      <c r="C39" s="191"/>
      <c r="D39" s="112" t="s">
        <v>281</v>
      </c>
      <c r="E39" s="112" t="s">
        <v>625</v>
      </c>
      <c r="F39" s="113" t="s">
        <v>282</v>
      </c>
      <c r="G39" s="1"/>
    </row>
    <row r="40" spans="1:7" s="89" customFormat="1" x14ac:dyDescent="0.2">
      <c r="A40" s="157">
        <v>44070</v>
      </c>
      <c r="B40" s="111">
        <v>19.68</v>
      </c>
      <c r="C40" s="191"/>
      <c r="D40" s="112" t="s">
        <v>281</v>
      </c>
      <c r="E40" s="112" t="s">
        <v>633</v>
      </c>
      <c r="F40" s="113" t="s">
        <v>282</v>
      </c>
      <c r="G40" s="1"/>
    </row>
    <row r="41" spans="1:7" s="89" customFormat="1" x14ac:dyDescent="0.2">
      <c r="A41" s="157">
        <v>44084</v>
      </c>
      <c r="B41" s="111">
        <v>82.8</v>
      </c>
      <c r="C41" s="191"/>
      <c r="D41" s="112" t="s">
        <v>358</v>
      </c>
      <c r="E41" s="112" t="s">
        <v>633</v>
      </c>
      <c r="F41" s="113" t="s">
        <v>359</v>
      </c>
      <c r="G41" s="1"/>
    </row>
    <row r="42" spans="1:7" s="89" customFormat="1" x14ac:dyDescent="0.2">
      <c r="A42" s="157">
        <v>44085</v>
      </c>
      <c r="B42" s="111">
        <f>110+49.57</f>
        <v>159.57</v>
      </c>
      <c r="C42" s="191"/>
      <c r="D42" s="112" t="s">
        <v>358</v>
      </c>
      <c r="E42" s="112" t="s">
        <v>626</v>
      </c>
      <c r="F42" s="113" t="s">
        <v>359</v>
      </c>
      <c r="G42" s="1"/>
    </row>
    <row r="43" spans="1:7" s="89" customFormat="1" x14ac:dyDescent="0.2">
      <c r="A43" s="157">
        <v>44085</v>
      </c>
      <c r="B43" s="111">
        <f>415.38+10.85+30.85+7.5</f>
        <v>464.58000000000004</v>
      </c>
      <c r="C43" s="191"/>
      <c r="D43" s="112" t="s">
        <v>358</v>
      </c>
      <c r="E43" s="112" t="s">
        <v>625</v>
      </c>
      <c r="F43" s="113" t="s">
        <v>359</v>
      </c>
      <c r="G43" s="1"/>
    </row>
    <row r="44" spans="1:7" s="89" customFormat="1" x14ac:dyDescent="0.2">
      <c r="A44" s="157">
        <v>44091</v>
      </c>
      <c r="B44" s="111">
        <v>16.53</v>
      </c>
      <c r="C44" s="191"/>
      <c r="D44" s="112" t="s">
        <v>741</v>
      </c>
      <c r="E44" s="112" t="s">
        <v>633</v>
      </c>
      <c r="F44" s="113" t="s">
        <v>715</v>
      </c>
      <c r="G44" s="1"/>
    </row>
    <row r="45" spans="1:7" s="89" customFormat="1" x14ac:dyDescent="0.2">
      <c r="A45" s="157">
        <v>44092</v>
      </c>
      <c r="B45" s="111">
        <f>805.7+29.75+57.5+9.57+7.5</f>
        <v>910.0200000000001</v>
      </c>
      <c r="C45" s="191"/>
      <c r="D45" s="112" t="s">
        <v>741</v>
      </c>
      <c r="E45" s="112" t="s">
        <v>625</v>
      </c>
      <c r="F45" s="113" t="s">
        <v>715</v>
      </c>
      <c r="G45" s="1"/>
    </row>
    <row r="46" spans="1:7" s="89" customFormat="1" x14ac:dyDescent="0.2">
      <c r="A46" s="157">
        <v>44092</v>
      </c>
      <c r="B46" s="111">
        <v>98.76</v>
      </c>
      <c r="C46" s="191"/>
      <c r="D46" s="112" t="s">
        <v>741</v>
      </c>
      <c r="E46" s="112" t="s">
        <v>626</v>
      </c>
      <c r="F46" s="113" t="s">
        <v>715</v>
      </c>
      <c r="G46" s="1"/>
    </row>
    <row r="47" spans="1:7" s="89" customFormat="1" x14ac:dyDescent="0.2">
      <c r="A47" s="157">
        <v>44092</v>
      </c>
      <c r="B47" s="111">
        <v>138.5</v>
      </c>
      <c r="C47" s="191"/>
      <c r="D47" s="112" t="s">
        <v>741</v>
      </c>
      <c r="E47" s="112" t="s">
        <v>624</v>
      </c>
      <c r="F47" s="113" t="s">
        <v>715</v>
      </c>
      <c r="G47" s="1"/>
    </row>
    <row r="48" spans="1:7" s="89" customFormat="1" x14ac:dyDescent="0.2">
      <c r="A48" s="157">
        <v>44094</v>
      </c>
      <c r="B48" s="111">
        <v>77.8</v>
      </c>
      <c r="C48" s="191"/>
      <c r="D48" s="112" t="s">
        <v>741</v>
      </c>
      <c r="E48" s="112" t="s">
        <v>627</v>
      </c>
      <c r="F48" s="113" t="s">
        <v>715</v>
      </c>
      <c r="G48" s="1"/>
    </row>
    <row r="49" spans="1:7" s="89" customFormat="1" x14ac:dyDescent="0.2">
      <c r="A49" s="157">
        <v>44097</v>
      </c>
      <c r="B49" s="111">
        <f>464.66</f>
        <v>464.66</v>
      </c>
      <c r="C49" s="191"/>
      <c r="D49" s="112" t="s">
        <v>559</v>
      </c>
      <c r="E49" s="112" t="s">
        <v>625</v>
      </c>
      <c r="F49" s="113" t="s">
        <v>269</v>
      </c>
      <c r="G49" s="1"/>
    </row>
    <row r="50" spans="1:7" s="89" customFormat="1" x14ac:dyDescent="0.2">
      <c r="A50" s="157">
        <v>44099</v>
      </c>
      <c r="B50" s="111">
        <f>113.05+8+20+10+16.85</f>
        <v>167.9</v>
      </c>
      <c r="C50" s="191"/>
      <c r="D50" s="112" t="s">
        <v>644</v>
      </c>
      <c r="E50" s="112" t="s">
        <v>625</v>
      </c>
      <c r="F50" s="113" t="s">
        <v>269</v>
      </c>
      <c r="G50" s="1"/>
    </row>
    <row r="51" spans="1:7" s="89" customFormat="1" x14ac:dyDescent="0.2">
      <c r="A51" s="157">
        <v>44099</v>
      </c>
      <c r="B51" s="111">
        <v>127.89</v>
      </c>
      <c r="C51" s="191"/>
      <c r="D51" s="112" t="s">
        <v>644</v>
      </c>
      <c r="E51" s="112" t="s">
        <v>624</v>
      </c>
      <c r="F51" s="113" t="s">
        <v>269</v>
      </c>
      <c r="G51" s="1"/>
    </row>
    <row r="52" spans="1:7" s="89" customFormat="1" x14ac:dyDescent="0.2">
      <c r="A52" s="157">
        <v>44105</v>
      </c>
      <c r="B52" s="111">
        <f>194.78+133.59</f>
        <v>328.37</v>
      </c>
      <c r="C52" s="191"/>
      <c r="D52" s="112" t="s">
        <v>365</v>
      </c>
      <c r="E52" s="112" t="s">
        <v>626</v>
      </c>
      <c r="F52" s="113" t="s">
        <v>366</v>
      </c>
      <c r="G52" s="1"/>
    </row>
    <row r="53" spans="1:7" s="89" customFormat="1" x14ac:dyDescent="0.2">
      <c r="A53" s="157">
        <v>44105</v>
      </c>
      <c r="B53" s="111">
        <v>13.17</v>
      </c>
      <c r="C53" s="191"/>
      <c r="D53" s="112" t="s">
        <v>365</v>
      </c>
      <c r="E53" s="112" t="s">
        <v>633</v>
      </c>
      <c r="F53" s="113" t="s">
        <v>170</v>
      </c>
      <c r="G53" s="1"/>
    </row>
    <row r="54" spans="1:7" s="89" customFormat="1" x14ac:dyDescent="0.2">
      <c r="A54" s="157">
        <v>44106</v>
      </c>
      <c r="B54" s="111">
        <f>292.99+10+10.5</f>
        <v>313.49</v>
      </c>
      <c r="C54" s="191"/>
      <c r="D54" s="112" t="s">
        <v>365</v>
      </c>
      <c r="E54" s="112" t="s">
        <v>625</v>
      </c>
      <c r="F54" s="113" t="s">
        <v>366</v>
      </c>
      <c r="G54" s="1"/>
    </row>
    <row r="55" spans="1:7" s="89" customFormat="1" x14ac:dyDescent="0.2">
      <c r="A55" s="157">
        <v>44112</v>
      </c>
      <c r="B55" s="111">
        <v>20.170000000000002</v>
      </c>
      <c r="C55" s="191"/>
      <c r="D55" s="112" t="s">
        <v>368</v>
      </c>
      <c r="E55" s="112" t="s">
        <v>633</v>
      </c>
      <c r="F55" s="113" t="s">
        <v>170</v>
      </c>
      <c r="G55" s="1"/>
    </row>
    <row r="56" spans="1:7" s="89" customFormat="1" x14ac:dyDescent="0.2">
      <c r="A56" s="157">
        <v>44112</v>
      </c>
      <c r="B56" s="111">
        <f>588.49+10.85+10.85+337.9</f>
        <v>948.09</v>
      </c>
      <c r="C56" s="191"/>
      <c r="D56" s="112" t="s">
        <v>368</v>
      </c>
      <c r="E56" s="112" t="s">
        <v>625</v>
      </c>
      <c r="F56" s="113" t="s">
        <v>716</v>
      </c>
      <c r="G56" s="1"/>
    </row>
    <row r="57" spans="1:7" s="89" customFormat="1" x14ac:dyDescent="0.2">
      <c r="A57" s="157">
        <v>44118</v>
      </c>
      <c r="B57" s="111">
        <v>390.33</v>
      </c>
      <c r="C57" s="191"/>
      <c r="D57" s="112" t="s">
        <v>474</v>
      </c>
      <c r="E57" s="112" t="s">
        <v>625</v>
      </c>
      <c r="F57" s="113" t="s">
        <v>282</v>
      </c>
      <c r="G57" s="1"/>
    </row>
    <row r="58" spans="1:7" s="89" customFormat="1" x14ac:dyDescent="0.2">
      <c r="A58" s="157">
        <v>44126</v>
      </c>
      <c r="B58" s="111">
        <f>652.03+20</f>
        <v>672.03</v>
      </c>
      <c r="C58" s="191"/>
      <c r="D58" s="112" t="s">
        <v>283</v>
      </c>
      <c r="E58" s="112" t="s">
        <v>625</v>
      </c>
      <c r="F58" s="113" t="s">
        <v>284</v>
      </c>
      <c r="G58" s="1"/>
    </row>
    <row r="59" spans="1:7" s="89" customFormat="1" x14ac:dyDescent="0.2">
      <c r="A59" s="157">
        <v>44126</v>
      </c>
      <c r="B59" s="111">
        <f>120.54+69.57+32.17</f>
        <v>222.28000000000003</v>
      </c>
      <c r="C59" s="191"/>
      <c r="D59" s="112" t="s">
        <v>283</v>
      </c>
      <c r="E59" s="112" t="s">
        <v>626</v>
      </c>
      <c r="F59" s="113" t="s">
        <v>284</v>
      </c>
      <c r="G59" s="1"/>
    </row>
    <row r="60" spans="1:7" s="89" customFormat="1" x14ac:dyDescent="0.2">
      <c r="A60" s="157">
        <v>44132</v>
      </c>
      <c r="B60" s="111">
        <v>20.78</v>
      </c>
      <c r="C60" s="191"/>
      <c r="D60" s="112" t="s">
        <v>475</v>
      </c>
      <c r="E60" s="112" t="s">
        <v>633</v>
      </c>
      <c r="F60" s="113" t="s">
        <v>269</v>
      </c>
      <c r="G60" s="1"/>
    </row>
    <row r="61" spans="1:7" s="89" customFormat="1" x14ac:dyDescent="0.2">
      <c r="A61" s="157">
        <v>44133</v>
      </c>
      <c r="B61" s="111">
        <f>468.4+10+2.39+20</f>
        <v>500.78999999999996</v>
      </c>
      <c r="C61" s="191"/>
      <c r="D61" s="112" t="s">
        <v>475</v>
      </c>
      <c r="E61" s="112" t="s">
        <v>625</v>
      </c>
      <c r="F61" s="113" t="s">
        <v>269</v>
      </c>
      <c r="G61" s="1"/>
    </row>
    <row r="62" spans="1:7" s="89" customFormat="1" x14ac:dyDescent="0.2">
      <c r="A62" s="157">
        <v>44133</v>
      </c>
      <c r="B62" s="111">
        <v>174.6</v>
      </c>
      <c r="C62" s="191"/>
      <c r="D62" s="112" t="s">
        <v>475</v>
      </c>
      <c r="E62" s="112" t="s">
        <v>624</v>
      </c>
      <c r="F62" s="113" t="s">
        <v>269</v>
      </c>
      <c r="G62" s="1"/>
    </row>
    <row r="63" spans="1:7" s="89" customFormat="1" x14ac:dyDescent="0.2">
      <c r="A63" s="157">
        <v>44133</v>
      </c>
      <c r="B63" s="111">
        <v>118.11</v>
      </c>
      <c r="C63" s="191"/>
      <c r="D63" s="112" t="s">
        <v>475</v>
      </c>
      <c r="E63" s="112" t="s">
        <v>626</v>
      </c>
      <c r="F63" s="113" t="s">
        <v>269</v>
      </c>
      <c r="G63" s="1"/>
    </row>
    <row r="64" spans="1:7" s="89" customFormat="1" x14ac:dyDescent="0.2">
      <c r="A64" s="157">
        <v>44137</v>
      </c>
      <c r="B64" s="111">
        <f>298.83+8</f>
        <v>306.83</v>
      </c>
      <c r="C64" s="191"/>
      <c r="D64" s="112" t="s">
        <v>478</v>
      </c>
      <c r="E64" s="112" t="s">
        <v>625</v>
      </c>
      <c r="F64" s="113" t="s">
        <v>477</v>
      </c>
      <c r="G64" s="1"/>
    </row>
    <row r="65" spans="1:7" s="89" customFormat="1" x14ac:dyDescent="0.2">
      <c r="A65" s="157">
        <v>44137</v>
      </c>
      <c r="B65" s="111">
        <v>151.63</v>
      </c>
      <c r="C65" s="191"/>
      <c r="D65" s="112" t="s">
        <v>478</v>
      </c>
      <c r="E65" s="112" t="s">
        <v>626</v>
      </c>
      <c r="F65" s="113" t="s">
        <v>477</v>
      </c>
      <c r="G65" s="1"/>
    </row>
    <row r="66" spans="1:7" s="89" customFormat="1" x14ac:dyDescent="0.2">
      <c r="A66" s="157">
        <v>44140</v>
      </c>
      <c r="B66" s="111">
        <v>875.95</v>
      </c>
      <c r="C66" s="191"/>
      <c r="D66" s="112" t="s">
        <v>482</v>
      </c>
      <c r="E66" s="112" t="s">
        <v>625</v>
      </c>
      <c r="F66" s="113" t="s">
        <v>717</v>
      </c>
      <c r="G66" s="1"/>
    </row>
    <row r="67" spans="1:7" s="89" customFormat="1" x14ac:dyDescent="0.2">
      <c r="A67" s="157">
        <v>44153</v>
      </c>
      <c r="B67" s="111">
        <f>68.71+49.8+20.04</f>
        <v>138.54999999999998</v>
      </c>
      <c r="C67" s="191"/>
      <c r="D67" s="112" t="s">
        <v>718</v>
      </c>
      <c r="E67" s="112" t="s">
        <v>633</v>
      </c>
      <c r="F67" s="113" t="s">
        <v>719</v>
      </c>
      <c r="G67" s="1"/>
    </row>
    <row r="68" spans="1:7" s="89" customFormat="1" x14ac:dyDescent="0.2">
      <c r="A68" s="157">
        <v>44154</v>
      </c>
      <c r="B68" s="111">
        <f>594.05+10.85+10+21.29+10+8</f>
        <v>654.18999999999994</v>
      </c>
      <c r="C68" s="191"/>
      <c r="D68" s="112" t="s">
        <v>718</v>
      </c>
      <c r="E68" s="112" t="s">
        <v>625</v>
      </c>
      <c r="F68" s="113" t="s">
        <v>719</v>
      </c>
      <c r="G68" s="1"/>
    </row>
    <row r="69" spans="1:7" s="89" customFormat="1" x14ac:dyDescent="0.2">
      <c r="A69" s="157">
        <v>44154</v>
      </c>
      <c r="B69" s="111">
        <f>98.26</f>
        <v>98.26</v>
      </c>
      <c r="C69" s="191"/>
      <c r="D69" s="112" t="s">
        <v>718</v>
      </c>
      <c r="E69" s="112" t="s">
        <v>626</v>
      </c>
      <c r="F69" s="113" t="s">
        <v>719</v>
      </c>
      <c r="G69" s="1"/>
    </row>
    <row r="70" spans="1:7" s="89" customFormat="1" x14ac:dyDescent="0.2">
      <c r="A70" s="157">
        <v>44162</v>
      </c>
      <c r="B70" s="111">
        <f>853.12+23.45+7.5+0.5</f>
        <v>884.57</v>
      </c>
      <c r="C70" s="191"/>
      <c r="D70" s="112" t="s">
        <v>483</v>
      </c>
      <c r="E70" s="112" t="s">
        <v>625</v>
      </c>
      <c r="F70" s="113" t="s">
        <v>306</v>
      </c>
      <c r="G70" s="1"/>
    </row>
    <row r="71" spans="1:7" s="89" customFormat="1" x14ac:dyDescent="0.2">
      <c r="A71" s="157">
        <v>44162</v>
      </c>
      <c r="B71" s="111">
        <f>260.87</f>
        <v>260.87</v>
      </c>
      <c r="C71" s="191"/>
      <c r="D71" s="112" t="s">
        <v>483</v>
      </c>
      <c r="E71" s="112" t="s">
        <v>626</v>
      </c>
      <c r="F71" s="113" t="s">
        <v>306</v>
      </c>
      <c r="G71" s="1"/>
    </row>
    <row r="72" spans="1:7" s="89" customFormat="1" x14ac:dyDescent="0.2">
      <c r="A72" s="157">
        <v>44171</v>
      </c>
      <c r="B72" s="111">
        <f>19.34+21.35</f>
        <v>40.69</v>
      </c>
      <c r="C72" s="191"/>
      <c r="D72" s="112" t="s">
        <v>648</v>
      </c>
      <c r="E72" s="112" t="s">
        <v>633</v>
      </c>
      <c r="F72" s="113" t="s">
        <v>170</v>
      </c>
      <c r="G72" s="1"/>
    </row>
    <row r="73" spans="1:7" s="89" customFormat="1" x14ac:dyDescent="0.2">
      <c r="A73" s="157">
        <v>44175</v>
      </c>
      <c r="B73" s="111">
        <f>498.34+23.45+10+7.5+3.14+65.73+1</f>
        <v>609.16</v>
      </c>
      <c r="C73" s="191"/>
      <c r="D73" s="112" t="s">
        <v>742</v>
      </c>
      <c r="E73" s="112" t="s">
        <v>625</v>
      </c>
      <c r="F73" s="113" t="s">
        <v>361</v>
      </c>
      <c r="G73" s="1"/>
    </row>
    <row r="74" spans="1:7" s="89" customFormat="1" x14ac:dyDescent="0.2">
      <c r="A74" s="157">
        <v>44175</v>
      </c>
      <c r="B74" s="111">
        <v>38.96</v>
      </c>
      <c r="C74" s="191"/>
      <c r="D74" s="112" t="s">
        <v>742</v>
      </c>
      <c r="E74" s="112" t="s">
        <v>633</v>
      </c>
      <c r="F74" s="113" t="s">
        <v>361</v>
      </c>
      <c r="G74" s="1"/>
    </row>
    <row r="75" spans="1:7" s="89" customFormat="1" x14ac:dyDescent="0.2">
      <c r="A75" s="157">
        <v>44175</v>
      </c>
      <c r="B75" s="111">
        <v>159.66999999999999</v>
      </c>
      <c r="C75" s="191"/>
      <c r="D75" s="112" t="s">
        <v>742</v>
      </c>
      <c r="E75" s="112" t="s">
        <v>626</v>
      </c>
      <c r="F75" s="113" t="s">
        <v>361</v>
      </c>
      <c r="G75" s="1"/>
    </row>
    <row r="76" spans="1:7" s="89" customFormat="1" x14ac:dyDescent="0.2">
      <c r="A76" s="157">
        <v>44175</v>
      </c>
      <c r="B76" s="111">
        <v>209.5</v>
      </c>
      <c r="C76" s="191"/>
      <c r="D76" s="112" t="s">
        <v>742</v>
      </c>
      <c r="E76" s="112" t="s">
        <v>624</v>
      </c>
      <c r="F76" s="113" t="s">
        <v>361</v>
      </c>
      <c r="G76" s="1"/>
    </row>
    <row r="77" spans="1:7" s="89" customFormat="1" x14ac:dyDescent="0.2">
      <c r="A77" s="157">
        <v>44179</v>
      </c>
      <c r="B77" s="111">
        <v>48.33</v>
      </c>
      <c r="C77" s="191"/>
      <c r="D77" s="112" t="s">
        <v>713</v>
      </c>
      <c r="E77" s="112" t="s">
        <v>633</v>
      </c>
      <c r="F77" s="113" t="s">
        <v>170</v>
      </c>
      <c r="G77" s="1"/>
    </row>
    <row r="78" spans="1:7" s="89" customFormat="1" x14ac:dyDescent="0.2">
      <c r="A78" s="157">
        <v>44180</v>
      </c>
      <c r="B78" s="111">
        <v>549.26</v>
      </c>
      <c r="C78" s="191"/>
      <c r="D78" s="112" t="s">
        <v>554</v>
      </c>
      <c r="E78" s="112" t="s">
        <v>625</v>
      </c>
      <c r="F78" s="113" t="s">
        <v>269</v>
      </c>
      <c r="G78" s="1"/>
    </row>
    <row r="79" spans="1:7" s="89" customFormat="1" x14ac:dyDescent="0.2">
      <c r="A79" s="157">
        <v>44180</v>
      </c>
      <c r="B79" s="111">
        <v>239.19</v>
      </c>
      <c r="C79" s="191"/>
      <c r="D79" s="112" t="s">
        <v>737</v>
      </c>
      <c r="E79" s="112" t="s">
        <v>625</v>
      </c>
      <c r="F79" s="113" t="s">
        <v>361</v>
      </c>
      <c r="G79" s="1"/>
    </row>
    <row r="80" spans="1:7" s="89" customFormat="1" x14ac:dyDescent="0.2">
      <c r="A80" s="157">
        <v>44183</v>
      </c>
      <c r="B80" s="111">
        <f>312.15+42.87</f>
        <v>355.02</v>
      </c>
      <c r="C80" s="191"/>
      <c r="D80" s="112" t="s">
        <v>737</v>
      </c>
      <c r="E80" s="112" t="s">
        <v>625</v>
      </c>
      <c r="F80" s="113" t="s">
        <v>361</v>
      </c>
      <c r="G80" s="1"/>
    </row>
    <row r="81" spans="1:7" s="89" customFormat="1" x14ac:dyDescent="0.2">
      <c r="A81" s="157">
        <v>44216</v>
      </c>
      <c r="B81" s="111">
        <f>532.53+20+4.06-0.47</f>
        <v>556.11999999999989</v>
      </c>
      <c r="C81" s="191"/>
      <c r="D81" s="112" t="s">
        <v>555</v>
      </c>
      <c r="E81" s="112" t="s">
        <v>625</v>
      </c>
      <c r="F81" s="113" t="s">
        <v>359</v>
      </c>
      <c r="G81" s="1"/>
    </row>
    <row r="82" spans="1:7" s="89" customFormat="1" x14ac:dyDescent="0.2">
      <c r="A82" s="157">
        <v>44216</v>
      </c>
      <c r="B82" s="111">
        <v>254.35</v>
      </c>
      <c r="C82" s="191"/>
      <c r="D82" s="112" t="s">
        <v>555</v>
      </c>
      <c r="E82" s="112" t="s">
        <v>626</v>
      </c>
      <c r="F82" s="113" t="s">
        <v>359</v>
      </c>
      <c r="G82" s="1"/>
    </row>
    <row r="83" spans="1:7" s="89" customFormat="1" x14ac:dyDescent="0.2">
      <c r="A83" s="157">
        <v>44216</v>
      </c>
      <c r="B83" s="111">
        <v>204.5</v>
      </c>
      <c r="C83" s="191"/>
      <c r="D83" s="112" t="s">
        <v>555</v>
      </c>
      <c r="E83" s="112" t="s">
        <v>624</v>
      </c>
      <c r="F83" s="113" t="s">
        <v>359</v>
      </c>
      <c r="G83" s="1"/>
    </row>
    <row r="84" spans="1:7" s="89" customFormat="1" x14ac:dyDescent="0.2">
      <c r="A84" s="157">
        <v>44225</v>
      </c>
      <c r="B84" s="111">
        <f>501.69+3.91+11+5.85</f>
        <v>522.45000000000005</v>
      </c>
      <c r="C84" s="191"/>
      <c r="D84" s="112" t="s">
        <v>728</v>
      </c>
      <c r="E84" s="112" t="s">
        <v>625</v>
      </c>
      <c r="F84" s="113" t="s">
        <v>650</v>
      </c>
      <c r="G84" s="1"/>
    </row>
    <row r="85" spans="1:7" s="89" customFormat="1" x14ac:dyDescent="0.2">
      <c r="A85" s="157">
        <v>44225</v>
      </c>
      <c r="B85" s="111">
        <v>261.85000000000002</v>
      </c>
      <c r="C85" s="191"/>
      <c r="D85" s="112" t="s">
        <v>728</v>
      </c>
      <c r="E85" s="112" t="s">
        <v>626</v>
      </c>
      <c r="F85" s="113" t="s">
        <v>650</v>
      </c>
      <c r="G85" s="1"/>
    </row>
    <row r="86" spans="1:7" s="89" customFormat="1" x14ac:dyDescent="0.2">
      <c r="A86" s="167">
        <v>44229</v>
      </c>
      <c r="B86" s="111">
        <f>681.17+15+3.78+20.85+149.37-88.7</f>
        <v>781.46999999999991</v>
      </c>
      <c r="C86" s="191"/>
      <c r="D86" s="116" t="s">
        <v>572</v>
      </c>
      <c r="E86" s="116" t="s">
        <v>625</v>
      </c>
      <c r="F86" s="117" t="s">
        <v>265</v>
      </c>
      <c r="G86" s="2"/>
    </row>
    <row r="87" spans="1:7" s="89" customFormat="1" x14ac:dyDescent="0.2">
      <c r="A87" s="157">
        <v>44229</v>
      </c>
      <c r="B87" s="111">
        <v>21.49</v>
      </c>
      <c r="C87" s="191"/>
      <c r="D87" s="112" t="s">
        <v>572</v>
      </c>
      <c r="E87" s="112" t="s">
        <v>633</v>
      </c>
      <c r="F87" s="113" t="s">
        <v>170</v>
      </c>
      <c r="G87" s="1"/>
    </row>
    <row r="88" spans="1:7" s="89" customFormat="1" x14ac:dyDescent="0.2">
      <c r="A88" s="157">
        <v>44229</v>
      </c>
      <c r="B88" s="111">
        <f>661.88-410.82+50.42</f>
        <v>301.48</v>
      </c>
      <c r="C88" s="191"/>
      <c r="D88" s="112" t="s">
        <v>572</v>
      </c>
      <c r="E88" s="112" t="s">
        <v>626</v>
      </c>
      <c r="F88" s="113" t="s">
        <v>265</v>
      </c>
      <c r="G88" s="1"/>
    </row>
    <row r="89" spans="1:7" s="89" customFormat="1" x14ac:dyDescent="0.2">
      <c r="A89" s="157">
        <v>44229</v>
      </c>
      <c r="B89" s="111">
        <v>256.72000000000003</v>
      </c>
      <c r="C89" s="191"/>
      <c r="D89" s="112" t="s">
        <v>572</v>
      </c>
      <c r="E89" s="112" t="s">
        <v>624</v>
      </c>
      <c r="F89" s="113" t="s">
        <v>265</v>
      </c>
      <c r="G89" s="1"/>
    </row>
    <row r="90" spans="1:7" s="89" customFormat="1" x14ac:dyDescent="0.2">
      <c r="A90" s="157">
        <v>44231</v>
      </c>
      <c r="B90" s="111">
        <f>14.78+16.61+16.61</f>
        <v>48</v>
      </c>
      <c r="C90" s="191"/>
      <c r="D90" s="112" t="s">
        <v>572</v>
      </c>
      <c r="E90" s="112" t="s">
        <v>702</v>
      </c>
      <c r="F90" s="113" t="s">
        <v>265</v>
      </c>
      <c r="G90" s="1"/>
    </row>
    <row r="91" spans="1:7" s="89" customFormat="1" x14ac:dyDescent="0.2">
      <c r="A91" s="157">
        <v>44234</v>
      </c>
      <c r="B91" s="111">
        <v>74.239999999999995</v>
      </c>
      <c r="C91" s="191"/>
      <c r="D91" s="112" t="s">
        <v>572</v>
      </c>
      <c r="E91" s="112" t="s">
        <v>627</v>
      </c>
      <c r="F91" s="113" t="s">
        <v>265</v>
      </c>
      <c r="G91" s="1"/>
    </row>
    <row r="92" spans="1:7" s="89" customFormat="1" x14ac:dyDescent="0.2">
      <c r="A92" s="157">
        <v>44234</v>
      </c>
      <c r="B92" s="111">
        <v>21.22</v>
      </c>
      <c r="C92" s="191"/>
      <c r="D92" s="112" t="s">
        <v>572</v>
      </c>
      <c r="E92" s="112" t="s">
        <v>633</v>
      </c>
      <c r="F92" s="113" t="s">
        <v>170</v>
      </c>
      <c r="G92" s="1"/>
    </row>
    <row r="93" spans="1:7" s="89" customFormat="1" x14ac:dyDescent="0.2">
      <c r="A93" s="157">
        <v>44239</v>
      </c>
      <c r="B93" s="111">
        <f>415.38+5.85</f>
        <v>421.23</v>
      </c>
      <c r="C93" s="191"/>
      <c r="D93" s="112" t="s">
        <v>653</v>
      </c>
      <c r="E93" s="112" t="s">
        <v>625</v>
      </c>
      <c r="F93" s="113" t="s">
        <v>359</v>
      </c>
      <c r="G93" s="1"/>
    </row>
    <row r="94" spans="1:7" s="89" customFormat="1" x14ac:dyDescent="0.2">
      <c r="A94" s="157">
        <v>44239</v>
      </c>
      <c r="B94" s="111">
        <v>29.71</v>
      </c>
      <c r="C94" s="191"/>
      <c r="D94" s="112" t="s">
        <v>653</v>
      </c>
      <c r="E94" s="112" t="s">
        <v>633</v>
      </c>
      <c r="F94" s="113" t="s">
        <v>359</v>
      </c>
      <c r="G94" s="1"/>
    </row>
    <row r="95" spans="1:7" s="89" customFormat="1" x14ac:dyDescent="0.2">
      <c r="A95" s="157">
        <v>44241</v>
      </c>
      <c r="B95" s="111">
        <v>13.66</v>
      </c>
      <c r="C95" s="191"/>
      <c r="D95" s="112" t="s">
        <v>654</v>
      </c>
      <c r="E95" s="112" t="s">
        <v>633</v>
      </c>
      <c r="F95" s="113" t="s">
        <v>170</v>
      </c>
      <c r="G95" s="1"/>
    </row>
    <row r="96" spans="1:7" s="89" customFormat="1" x14ac:dyDescent="0.2">
      <c r="A96" s="157">
        <v>44242</v>
      </c>
      <c r="B96" s="111">
        <f>567.61+8.57+10+415.7+15.85+495.5-335.65</f>
        <v>1177.58</v>
      </c>
      <c r="C96" s="191"/>
      <c r="D96" s="112" t="s">
        <v>655</v>
      </c>
      <c r="E96" s="112" t="s">
        <v>625</v>
      </c>
      <c r="F96" s="113" t="s">
        <v>720</v>
      </c>
      <c r="G96" s="1"/>
    </row>
    <row r="97" spans="1:7" s="89" customFormat="1" x14ac:dyDescent="0.2">
      <c r="A97" s="157">
        <v>44243</v>
      </c>
      <c r="B97" s="111">
        <v>23.5</v>
      </c>
      <c r="C97" s="191"/>
      <c r="D97" s="112" t="s">
        <v>655</v>
      </c>
      <c r="E97" s="112" t="s">
        <v>627</v>
      </c>
      <c r="F97" s="113" t="s">
        <v>720</v>
      </c>
      <c r="G97" s="1"/>
    </row>
    <row r="98" spans="1:7" s="89" customFormat="1" x14ac:dyDescent="0.2">
      <c r="A98" s="167">
        <v>44251</v>
      </c>
      <c r="B98" s="111">
        <f>286.3+10</f>
        <v>296.3</v>
      </c>
      <c r="C98" s="191"/>
      <c r="D98" s="116" t="s">
        <v>654</v>
      </c>
      <c r="E98" s="116" t="s">
        <v>625</v>
      </c>
      <c r="F98" s="117" t="s">
        <v>272</v>
      </c>
      <c r="G98" s="2"/>
    </row>
    <row r="99" spans="1:7" s="89" customFormat="1" x14ac:dyDescent="0.2">
      <c r="A99" s="157">
        <v>44251</v>
      </c>
      <c r="B99" s="111">
        <f>40.53+21.79</f>
        <v>62.32</v>
      </c>
      <c r="C99" s="191"/>
      <c r="D99" s="116" t="s">
        <v>654</v>
      </c>
      <c r="E99" s="112" t="s">
        <v>633</v>
      </c>
      <c r="F99" s="113" t="s">
        <v>272</v>
      </c>
      <c r="G99" s="1"/>
    </row>
    <row r="100" spans="1:7" s="89" customFormat="1" x14ac:dyDescent="0.2">
      <c r="A100" s="157">
        <v>44258</v>
      </c>
      <c r="B100" s="111">
        <v>16.43</v>
      </c>
      <c r="C100" s="191"/>
      <c r="D100" s="112" t="s">
        <v>729</v>
      </c>
      <c r="E100" s="112" t="s">
        <v>633</v>
      </c>
      <c r="F100" s="113" t="s">
        <v>170</v>
      </c>
      <c r="G100" s="1"/>
    </row>
    <row r="101" spans="1:7" s="89" customFormat="1" x14ac:dyDescent="0.2">
      <c r="A101" s="157">
        <v>44259</v>
      </c>
      <c r="B101" s="111">
        <v>405.48</v>
      </c>
      <c r="C101" s="191"/>
      <c r="D101" s="112" t="s">
        <v>662</v>
      </c>
      <c r="E101" s="112" t="s">
        <v>625</v>
      </c>
      <c r="F101" s="113" t="s">
        <v>269</v>
      </c>
      <c r="G101" s="1"/>
    </row>
    <row r="102" spans="1:7" s="89" customFormat="1" x14ac:dyDescent="0.2">
      <c r="A102" s="157">
        <v>44260</v>
      </c>
      <c r="B102" s="111">
        <f>15.77+46.62</f>
        <v>62.39</v>
      </c>
      <c r="C102" s="191"/>
      <c r="D102" s="112" t="s">
        <v>730</v>
      </c>
      <c r="E102" s="112" t="s">
        <v>633</v>
      </c>
      <c r="F102" s="113" t="s">
        <v>170</v>
      </c>
      <c r="G102" s="1"/>
    </row>
    <row r="103" spans="1:7" s="89" customFormat="1" x14ac:dyDescent="0.2">
      <c r="A103" s="157">
        <v>44264</v>
      </c>
      <c r="B103" s="111">
        <f>448.71+7.5+1.26+86.96</f>
        <v>544.42999999999995</v>
      </c>
      <c r="C103" s="191"/>
      <c r="D103" s="112" t="s">
        <v>663</v>
      </c>
      <c r="E103" s="112" t="s">
        <v>625</v>
      </c>
      <c r="F103" s="113" t="s">
        <v>361</v>
      </c>
      <c r="G103" s="1"/>
    </row>
    <row r="104" spans="1:7" s="89" customFormat="1" x14ac:dyDescent="0.2">
      <c r="A104" s="157">
        <v>44264</v>
      </c>
      <c r="B104" s="111">
        <v>84.5</v>
      </c>
      <c r="C104" s="191"/>
      <c r="D104" s="112" t="s">
        <v>663</v>
      </c>
      <c r="E104" s="112" t="s">
        <v>624</v>
      </c>
      <c r="F104" s="113" t="s">
        <v>361</v>
      </c>
      <c r="G104" s="1"/>
    </row>
    <row r="105" spans="1:7" s="89" customFormat="1" x14ac:dyDescent="0.2">
      <c r="A105" s="157">
        <v>44265</v>
      </c>
      <c r="B105" s="111">
        <f>75.65</f>
        <v>75.650000000000006</v>
      </c>
      <c r="C105" s="191"/>
      <c r="D105" s="112" t="s">
        <v>663</v>
      </c>
      <c r="E105" s="112" t="s">
        <v>626</v>
      </c>
      <c r="F105" s="113" t="s">
        <v>361</v>
      </c>
      <c r="G105" s="1"/>
    </row>
    <row r="106" spans="1:7" s="89" customFormat="1" x14ac:dyDescent="0.2">
      <c r="A106" s="157">
        <v>44266</v>
      </c>
      <c r="B106" s="111">
        <f>15.85+57.92</f>
        <v>73.77</v>
      </c>
      <c r="C106" s="191"/>
      <c r="D106" s="112" t="s">
        <v>664</v>
      </c>
      <c r="E106" s="112" t="s">
        <v>633</v>
      </c>
      <c r="F106" s="113" t="s">
        <v>170</v>
      </c>
      <c r="G106" s="1"/>
    </row>
    <row r="107" spans="1:7" s="89" customFormat="1" x14ac:dyDescent="0.2">
      <c r="A107" s="157">
        <v>44267</v>
      </c>
      <c r="B107" s="111">
        <f>352.43</f>
        <v>352.43</v>
      </c>
      <c r="C107" s="191"/>
      <c r="D107" s="112" t="s">
        <v>664</v>
      </c>
      <c r="E107" s="112" t="s">
        <v>625</v>
      </c>
      <c r="F107" s="113" t="s">
        <v>359</v>
      </c>
      <c r="G107" s="1"/>
    </row>
    <row r="108" spans="1:7" s="89" customFormat="1" x14ac:dyDescent="0.2">
      <c r="A108" s="157">
        <v>44267</v>
      </c>
      <c r="B108" s="111">
        <v>24.35</v>
      </c>
      <c r="C108" s="191"/>
      <c r="D108" s="112" t="s">
        <v>665</v>
      </c>
      <c r="E108" s="112" t="s">
        <v>708</v>
      </c>
      <c r="F108" s="113" t="s">
        <v>666</v>
      </c>
      <c r="G108" s="1"/>
    </row>
    <row r="109" spans="1:7" s="89" customFormat="1" x14ac:dyDescent="0.2">
      <c r="A109" s="157">
        <v>44267</v>
      </c>
      <c r="B109" s="111">
        <v>40</v>
      </c>
      <c r="C109" s="191"/>
      <c r="D109" s="112" t="s">
        <v>667</v>
      </c>
      <c r="E109" s="112" t="s">
        <v>668</v>
      </c>
      <c r="F109" s="113" t="s">
        <v>359</v>
      </c>
      <c r="G109" s="1"/>
    </row>
    <row r="110" spans="1:7" s="187" customFormat="1" x14ac:dyDescent="0.2">
      <c r="A110" s="157">
        <v>44267</v>
      </c>
      <c r="B110" s="189">
        <v>52.37</v>
      </c>
      <c r="C110" s="191"/>
      <c r="D110" s="187" t="s">
        <v>664</v>
      </c>
      <c r="E110" s="187" t="s">
        <v>633</v>
      </c>
      <c r="F110" s="187" t="s">
        <v>359</v>
      </c>
      <c r="G110" s="188"/>
    </row>
    <row r="111" spans="1:7" s="89" customFormat="1" x14ac:dyDescent="0.2">
      <c r="A111" s="157">
        <v>44273</v>
      </c>
      <c r="B111" s="111">
        <f>867.57+49.63+0.5-495.5</f>
        <v>422.20000000000005</v>
      </c>
      <c r="C111" s="191"/>
      <c r="D111" s="112" t="s">
        <v>665</v>
      </c>
      <c r="E111" s="112" t="s">
        <v>625</v>
      </c>
      <c r="F111" s="113" t="s">
        <v>666</v>
      </c>
      <c r="G111" s="1"/>
    </row>
    <row r="112" spans="1:7" s="89" customFormat="1" x14ac:dyDescent="0.2">
      <c r="A112" s="157">
        <v>44273</v>
      </c>
      <c r="B112" s="111">
        <v>131.33000000000001</v>
      </c>
      <c r="C112" s="191"/>
      <c r="D112" s="112" t="s">
        <v>665</v>
      </c>
      <c r="E112" s="112" t="s">
        <v>624</v>
      </c>
      <c r="F112" s="113" t="s">
        <v>666</v>
      </c>
      <c r="G112" s="1"/>
    </row>
    <row r="113" spans="1:7" s="89" customFormat="1" x14ac:dyDescent="0.2">
      <c r="A113" s="157">
        <v>44273</v>
      </c>
      <c r="B113" s="111">
        <v>133.59</v>
      </c>
      <c r="C113" s="191"/>
      <c r="D113" s="112" t="s">
        <v>665</v>
      </c>
      <c r="E113" s="112" t="s">
        <v>626</v>
      </c>
      <c r="F113" s="113" t="s">
        <v>666</v>
      </c>
      <c r="G113" s="1"/>
    </row>
    <row r="114" spans="1:7" s="89" customFormat="1" x14ac:dyDescent="0.2">
      <c r="A114" s="167">
        <v>44280</v>
      </c>
      <c r="B114" s="111">
        <v>779.82</v>
      </c>
      <c r="C114" s="191"/>
      <c r="D114" s="116" t="s">
        <v>670</v>
      </c>
      <c r="E114" s="116" t="s">
        <v>625</v>
      </c>
      <c r="F114" s="117" t="s">
        <v>671</v>
      </c>
      <c r="G114" s="2"/>
    </row>
    <row r="115" spans="1:7" s="89" customFormat="1" x14ac:dyDescent="0.2">
      <c r="A115" s="157">
        <v>44286</v>
      </c>
      <c r="B115" s="111">
        <f>652.53+0.5</f>
        <v>653.03</v>
      </c>
      <c r="C115" s="191"/>
      <c r="D115" s="112" t="s">
        <v>672</v>
      </c>
      <c r="E115" s="112" t="s">
        <v>625</v>
      </c>
      <c r="F115" s="113" t="s">
        <v>714</v>
      </c>
      <c r="G115" s="1"/>
    </row>
    <row r="116" spans="1:7" s="89" customFormat="1" x14ac:dyDescent="0.2">
      <c r="A116" s="157">
        <v>44286</v>
      </c>
      <c r="B116" s="111">
        <v>116.2</v>
      </c>
      <c r="C116" s="191"/>
      <c r="D116" s="112" t="s">
        <v>672</v>
      </c>
      <c r="E116" s="112" t="s">
        <v>626</v>
      </c>
      <c r="F116" s="113" t="s">
        <v>714</v>
      </c>
      <c r="G116" s="1"/>
    </row>
    <row r="117" spans="1:7" s="89" customFormat="1" x14ac:dyDescent="0.2">
      <c r="A117" s="167">
        <v>44293</v>
      </c>
      <c r="B117" s="111">
        <v>202.16</v>
      </c>
      <c r="C117" s="191"/>
      <c r="D117" s="116" t="s">
        <v>674</v>
      </c>
      <c r="E117" s="116" t="s">
        <v>626</v>
      </c>
      <c r="F117" s="117" t="s">
        <v>359</v>
      </c>
      <c r="G117" s="2"/>
    </row>
    <row r="118" spans="1:7" s="89" customFormat="1" x14ac:dyDescent="0.2">
      <c r="A118" s="157">
        <v>44294</v>
      </c>
      <c r="B118" s="111">
        <v>230.2</v>
      </c>
      <c r="C118" s="191"/>
      <c r="D118" s="112" t="s">
        <v>731</v>
      </c>
      <c r="E118" s="112" t="s">
        <v>625</v>
      </c>
      <c r="F118" s="113" t="s">
        <v>359</v>
      </c>
      <c r="G118" s="1"/>
    </row>
    <row r="119" spans="1:7" s="89" customFormat="1" x14ac:dyDescent="0.2">
      <c r="A119" s="157">
        <v>44294</v>
      </c>
      <c r="B119" s="111">
        <v>67.83</v>
      </c>
      <c r="C119" s="191"/>
      <c r="D119" s="112" t="s">
        <v>674</v>
      </c>
      <c r="E119" s="112" t="s">
        <v>633</v>
      </c>
      <c r="F119" s="113" t="s">
        <v>359</v>
      </c>
      <c r="G119" s="1"/>
    </row>
    <row r="120" spans="1:7" s="89" customFormat="1" x14ac:dyDescent="0.2">
      <c r="A120" s="157">
        <v>44295</v>
      </c>
      <c r="B120" s="111">
        <f>146.63+21.85</f>
        <v>168.48</v>
      </c>
      <c r="C120" s="191"/>
      <c r="D120" s="112" t="s">
        <v>731</v>
      </c>
      <c r="E120" s="112" t="s">
        <v>624</v>
      </c>
      <c r="F120" s="113" t="s">
        <v>359</v>
      </c>
      <c r="G120" s="1"/>
    </row>
    <row r="121" spans="1:7" s="89" customFormat="1" x14ac:dyDescent="0.2">
      <c r="A121" s="167">
        <v>44302</v>
      </c>
      <c r="B121" s="111">
        <f>452.94+0.5</f>
        <v>453.44</v>
      </c>
      <c r="C121" s="191"/>
      <c r="D121" s="116" t="s">
        <v>677</v>
      </c>
      <c r="E121" s="112" t="s">
        <v>625</v>
      </c>
      <c r="F121" s="113" t="s">
        <v>650</v>
      </c>
      <c r="G121" s="1"/>
    </row>
    <row r="122" spans="1:7" s="89" customFormat="1" x14ac:dyDescent="0.2">
      <c r="A122" s="157">
        <v>44302</v>
      </c>
      <c r="B122" s="111">
        <v>116.2</v>
      </c>
      <c r="C122" s="191"/>
      <c r="D122" s="116" t="s">
        <v>677</v>
      </c>
      <c r="E122" s="112" t="s">
        <v>626</v>
      </c>
      <c r="F122" s="113" t="s">
        <v>650</v>
      </c>
      <c r="G122" s="1"/>
    </row>
    <row r="123" spans="1:7" s="89" customFormat="1" x14ac:dyDescent="0.2">
      <c r="A123" s="157">
        <v>44302</v>
      </c>
      <c r="B123" s="111">
        <v>43.68</v>
      </c>
      <c r="C123" s="191"/>
      <c r="D123" s="112" t="s">
        <v>678</v>
      </c>
      <c r="E123" s="112" t="s">
        <v>633</v>
      </c>
      <c r="F123" s="113" t="s">
        <v>359</v>
      </c>
      <c r="G123" s="1"/>
    </row>
    <row r="124" spans="1:7" s="89" customFormat="1" x14ac:dyDescent="0.2">
      <c r="A124" s="157">
        <v>44307</v>
      </c>
      <c r="B124" s="111">
        <f>440+13.99+335.65</f>
        <v>789.64</v>
      </c>
      <c r="C124" s="191"/>
      <c r="D124" s="112" t="s">
        <v>681</v>
      </c>
      <c r="E124" s="112" t="s">
        <v>625</v>
      </c>
      <c r="F124" s="113" t="s">
        <v>682</v>
      </c>
      <c r="G124" s="1"/>
    </row>
    <row r="125" spans="1:7" s="89" customFormat="1" x14ac:dyDescent="0.2">
      <c r="A125" s="157">
        <v>44307</v>
      </c>
      <c r="B125" s="111">
        <v>240.25</v>
      </c>
      <c r="C125" s="191"/>
      <c r="D125" s="112" t="s">
        <v>681</v>
      </c>
      <c r="E125" s="112" t="s">
        <v>624</v>
      </c>
      <c r="F125" s="113" t="s">
        <v>682</v>
      </c>
      <c r="G125" s="1"/>
    </row>
    <row r="126" spans="1:7" s="89" customFormat="1" x14ac:dyDescent="0.2">
      <c r="A126" s="157">
        <v>44307</v>
      </c>
      <c r="B126" s="111">
        <f>32.95</f>
        <v>32.950000000000003</v>
      </c>
      <c r="C126" s="191"/>
      <c r="D126" s="112" t="s">
        <v>681</v>
      </c>
      <c r="E126" s="112" t="s">
        <v>633</v>
      </c>
      <c r="F126" s="113" t="s">
        <v>682</v>
      </c>
      <c r="G126" s="1"/>
    </row>
    <row r="127" spans="1:7" s="89" customFormat="1" x14ac:dyDescent="0.2">
      <c r="A127" s="157">
        <v>44308</v>
      </c>
      <c r="B127" s="111">
        <v>49.9</v>
      </c>
      <c r="C127" s="191"/>
      <c r="D127" s="112" t="s">
        <v>681</v>
      </c>
      <c r="E127" s="112" t="s">
        <v>625</v>
      </c>
      <c r="F127" s="113" t="s">
        <v>682</v>
      </c>
      <c r="G127" s="1"/>
    </row>
    <row r="128" spans="1:7" s="89" customFormat="1" x14ac:dyDescent="0.2">
      <c r="A128" s="157">
        <v>44321</v>
      </c>
      <c r="B128" s="111">
        <f>213.26+11-111.05</f>
        <v>113.21</v>
      </c>
      <c r="C128" s="191"/>
      <c r="D128" s="112" t="s">
        <v>738</v>
      </c>
      <c r="E128" s="112" t="s">
        <v>626</v>
      </c>
      <c r="F128" s="113" t="s">
        <v>361</v>
      </c>
      <c r="G128" s="1"/>
    </row>
    <row r="129" spans="1:7" s="89" customFormat="1" x14ac:dyDescent="0.2">
      <c r="A129" s="157">
        <v>44321</v>
      </c>
      <c r="B129" s="111">
        <v>35.57</v>
      </c>
      <c r="C129" s="191"/>
      <c r="D129" s="112" t="s">
        <v>738</v>
      </c>
      <c r="E129" s="112" t="s">
        <v>633</v>
      </c>
      <c r="F129" s="113" t="s">
        <v>361</v>
      </c>
      <c r="G129" s="1"/>
    </row>
    <row r="130" spans="1:7" s="89" customFormat="1" x14ac:dyDescent="0.2">
      <c r="A130" s="157">
        <v>44322</v>
      </c>
      <c r="B130" s="111">
        <v>393.15</v>
      </c>
      <c r="C130" s="191"/>
      <c r="D130" s="112" t="s">
        <v>738</v>
      </c>
      <c r="E130" s="112" t="s">
        <v>625</v>
      </c>
      <c r="F130" s="113" t="s">
        <v>361</v>
      </c>
      <c r="G130" s="1"/>
    </row>
    <row r="131" spans="1:7" s="89" customFormat="1" x14ac:dyDescent="0.2">
      <c r="A131" s="157">
        <v>44326</v>
      </c>
      <c r="B131" s="111">
        <f>848.92+15.85+7.5+0.63+1.5</f>
        <v>874.4</v>
      </c>
      <c r="C131" s="191"/>
      <c r="D131" s="112" t="s">
        <v>657</v>
      </c>
      <c r="E131" s="112" t="s">
        <v>625</v>
      </c>
      <c r="F131" s="113" t="s">
        <v>656</v>
      </c>
      <c r="G131" s="1"/>
    </row>
    <row r="132" spans="1:7" s="89" customFormat="1" x14ac:dyDescent="0.2">
      <c r="A132" s="157">
        <v>44326</v>
      </c>
      <c r="B132" s="111">
        <v>42</v>
      </c>
      <c r="C132" s="191"/>
      <c r="D132" s="112" t="s">
        <v>657</v>
      </c>
      <c r="E132" s="112" t="s">
        <v>624</v>
      </c>
      <c r="F132" s="113" t="s">
        <v>656</v>
      </c>
      <c r="G132" s="1"/>
    </row>
    <row r="133" spans="1:7" s="89" customFormat="1" x14ac:dyDescent="0.2">
      <c r="A133" s="157">
        <v>44326</v>
      </c>
      <c r="B133" s="111">
        <v>94.46</v>
      </c>
      <c r="C133" s="191"/>
      <c r="D133" s="112" t="s">
        <v>657</v>
      </c>
      <c r="E133" s="112" t="s">
        <v>626</v>
      </c>
      <c r="F133" s="113" t="s">
        <v>656</v>
      </c>
      <c r="G133" s="1"/>
    </row>
    <row r="134" spans="1:7" s="89" customFormat="1" x14ac:dyDescent="0.2">
      <c r="A134" s="157">
        <v>44326</v>
      </c>
      <c r="B134" s="111">
        <v>47.44</v>
      </c>
      <c r="C134" s="191"/>
      <c r="D134" s="112" t="s">
        <v>657</v>
      </c>
      <c r="E134" s="112" t="s">
        <v>627</v>
      </c>
      <c r="F134" s="113" t="s">
        <v>656</v>
      </c>
      <c r="G134" s="1"/>
    </row>
    <row r="135" spans="1:7" s="89" customFormat="1" x14ac:dyDescent="0.2">
      <c r="A135" s="157">
        <v>44330</v>
      </c>
      <c r="B135" s="111">
        <f>141.41+16.85+0.5</f>
        <v>158.76</v>
      </c>
      <c r="C135" s="191"/>
      <c r="D135" s="112" t="s">
        <v>732</v>
      </c>
      <c r="E135" s="112" t="s">
        <v>626</v>
      </c>
      <c r="F135" s="113" t="s">
        <v>359</v>
      </c>
      <c r="G135" s="1"/>
    </row>
    <row r="136" spans="1:7" s="89" customFormat="1" x14ac:dyDescent="0.2">
      <c r="A136" s="157">
        <v>44332</v>
      </c>
      <c r="B136" s="111">
        <v>181.98</v>
      </c>
      <c r="C136" s="191"/>
      <c r="D136" s="112" t="s">
        <v>732</v>
      </c>
      <c r="E136" s="112" t="s">
        <v>625</v>
      </c>
      <c r="F136" s="113" t="s">
        <v>359</v>
      </c>
      <c r="G136" s="1"/>
    </row>
    <row r="137" spans="1:7" s="89" customFormat="1" x14ac:dyDescent="0.2">
      <c r="A137" s="157">
        <v>44342</v>
      </c>
      <c r="B137" s="111">
        <f>668.44+29.2+251.25</f>
        <v>948.8900000000001</v>
      </c>
      <c r="C137" s="191"/>
      <c r="D137" s="112" t="s">
        <v>684</v>
      </c>
      <c r="E137" s="112" t="s">
        <v>625</v>
      </c>
      <c r="F137" s="113" t="s">
        <v>721</v>
      </c>
      <c r="G137" s="1"/>
    </row>
    <row r="138" spans="1:7" s="89" customFormat="1" x14ac:dyDescent="0.2">
      <c r="A138" s="157">
        <v>44344</v>
      </c>
      <c r="B138" s="111">
        <f>304.67+16+82+375.65</f>
        <v>778.31999999999994</v>
      </c>
      <c r="C138" s="191"/>
      <c r="D138" s="112" t="s">
        <v>743</v>
      </c>
      <c r="E138" s="112" t="s">
        <v>625</v>
      </c>
      <c r="F138" s="113" t="s">
        <v>722</v>
      </c>
      <c r="G138" s="1"/>
    </row>
    <row r="139" spans="1:7" s="89" customFormat="1" x14ac:dyDescent="0.2">
      <c r="A139" s="157">
        <v>44345</v>
      </c>
      <c r="B139" s="111">
        <f>75.65+146.96+88.7</f>
        <v>311.31</v>
      </c>
      <c r="C139" s="191"/>
      <c r="D139" s="112" t="s">
        <v>743</v>
      </c>
      <c r="E139" s="112" t="s">
        <v>707</v>
      </c>
      <c r="F139" s="113" t="s">
        <v>722</v>
      </c>
      <c r="G139" s="1"/>
    </row>
    <row r="140" spans="1:7" s="89" customFormat="1" x14ac:dyDescent="0.2">
      <c r="A140" s="157">
        <v>44345</v>
      </c>
      <c r="B140" s="111">
        <f>162.77+184.48-184.48+5.85</f>
        <v>168.62</v>
      </c>
      <c r="C140" s="191"/>
      <c r="D140" s="112" t="s">
        <v>688</v>
      </c>
      <c r="E140" s="112" t="s">
        <v>625</v>
      </c>
      <c r="F140" s="113" t="s">
        <v>492</v>
      </c>
      <c r="G140" s="1"/>
    </row>
    <row r="141" spans="1:7" s="89" customFormat="1" x14ac:dyDescent="0.2">
      <c r="A141" s="157">
        <v>44345</v>
      </c>
      <c r="B141" s="111">
        <f>361.44+5.85</f>
        <v>367.29</v>
      </c>
      <c r="C141" s="191"/>
      <c r="D141" s="112" t="s">
        <v>689</v>
      </c>
      <c r="E141" s="112" t="s">
        <v>625</v>
      </c>
      <c r="F141" s="113" t="s">
        <v>306</v>
      </c>
      <c r="G141" s="1"/>
    </row>
    <row r="142" spans="1:7" s="89" customFormat="1" x14ac:dyDescent="0.2">
      <c r="A142" s="157">
        <v>44347</v>
      </c>
      <c r="B142" s="111">
        <v>35.22</v>
      </c>
      <c r="C142" s="191"/>
      <c r="D142" s="112" t="s">
        <v>685</v>
      </c>
      <c r="E142" s="112" t="s">
        <v>633</v>
      </c>
      <c r="F142" s="113" t="s">
        <v>656</v>
      </c>
      <c r="G142" s="1"/>
    </row>
    <row r="143" spans="1:7" s="89" customFormat="1" x14ac:dyDescent="0.2">
      <c r="A143" s="157">
        <v>44347</v>
      </c>
      <c r="B143" s="111">
        <f>314.71+5.85</f>
        <v>320.56</v>
      </c>
      <c r="C143" s="111"/>
      <c r="D143" s="112" t="s">
        <v>733</v>
      </c>
      <c r="E143" s="112" t="s">
        <v>625</v>
      </c>
      <c r="F143" s="113" t="s">
        <v>361</v>
      </c>
      <c r="G143" s="1"/>
    </row>
    <row r="144" spans="1:7" s="89" customFormat="1" x14ac:dyDescent="0.2">
      <c r="A144" s="157">
        <v>44350</v>
      </c>
      <c r="B144" s="111">
        <v>453.28</v>
      </c>
      <c r="C144" s="191"/>
      <c r="D144" s="112" t="s">
        <v>734</v>
      </c>
      <c r="E144" s="112" t="s">
        <v>625</v>
      </c>
      <c r="F144" s="113" t="s">
        <v>492</v>
      </c>
      <c r="G144" s="1"/>
    </row>
    <row r="145" spans="1:7" s="89" customFormat="1" x14ac:dyDescent="0.2">
      <c r="A145" s="157">
        <v>44358</v>
      </c>
      <c r="B145" s="111">
        <f>662.16</f>
        <v>662.16</v>
      </c>
      <c r="C145" s="191"/>
      <c r="D145" s="112" t="s">
        <v>745</v>
      </c>
      <c r="E145" s="112" t="s">
        <v>625</v>
      </c>
      <c r="F145" s="113" t="s">
        <v>361</v>
      </c>
      <c r="G145" s="1"/>
    </row>
    <row r="146" spans="1:7" s="89" customFormat="1" x14ac:dyDescent="0.2">
      <c r="A146" s="157">
        <v>44358</v>
      </c>
      <c r="B146" s="111">
        <f>126.5</f>
        <v>126.5</v>
      </c>
      <c r="C146" s="191"/>
      <c r="D146" s="112" t="s">
        <v>745</v>
      </c>
      <c r="E146" s="112" t="s">
        <v>624</v>
      </c>
      <c r="F146" s="113" t="s">
        <v>361</v>
      </c>
      <c r="G146" s="1"/>
    </row>
    <row r="147" spans="1:7" s="89" customFormat="1" x14ac:dyDescent="0.2">
      <c r="A147" s="157">
        <v>44361</v>
      </c>
      <c r="B147" s="111">
        <f>227.89+5.85</f>
        <v>233.73999999999998</v>
      </c>
      <c r="C147" s="191"/>
      <c r="D147" s="112" t="s">
        <v>686</v>
      </c>
      <c r="E147" s="112" t="s">
        <v>625</v>
      </c>
      <c r="F147" s="113" t="s">
        <v>359</v>
      </c>
      <c r="G147" s="1"/>
    </row>
    <row r="148" spans="1:7" s="89" customFormat="1" x14ac:dyDescent="0.2">
      <c r="A148" s="157">
        <v>44362</v>
      </c>
      <c r="B148" s="111">
        <f>784.71-78.21</f>
        <v>706.5</v>
      </c>
      <c r="C148" s="191"/>
      <c r="D148" s="112" t="s">
        <v>697</v>
      </c>
      <c r="E148" s="112" t="s">
        <v>625</v>
      </c>
      <c r="F148" s="113" t="s">
        <v>269</v>
      </c>
      <c r="G148" s="1"/>
    </row>
    <row r="149" spans="1:7" s="89" customFormat="1" x14ac:dyDescent="0.2">
      <c r="A149" s="157">
        <v>44372</v>
      </c>
      <c r="B149" s="111">
        <f>247.07+5.85+96.84+20</f>
        <v>369.76</v>
      </c>
      <c r="C149" s="191"/>
      <c r="D149" s="112" t="s">
        <v>703</v>
      </c>
      <c r="E149" s="112" t="s">
        <v>625</v>
      </c>
      <c r="F149" s="113" t="s">
        <v>272</v>
      </c>
      <c r="G149" s="1"/>
    </row>
    <row r="150" spans="1:7" s="89" customFormat="1" x14ac:dyDescent="0.2">
      <c r="A150" s="157">
        <v>44375</v>
      </c>
      <c r="B150" s="111">
        <f>780.88</f>
        <v>780.88</v>
      </c>
      <c r="C150" s="191"/>
      <c r="D150" s="112" t="s">
        <v>566</v>
      </c>
      <c r="E150" s="112" t="s">
        <v>625</v>
      </c>
      <c r="F150" s="113" t="s">
        <v>712</v>
      </c>
      <c r="G150" s="1"/>
    </row>
    <row r="151" spans="1:7" s="89" customFormat="1" x14ac:dyDescent="0.2">
      <c r="A151" s="157">
        <v>44376</v>
      </c>
      <c r="B151" s="111">
        <f>84.35</f>
        <v>84.35</v>
      </c>
      <c r="C151" s="191"/>
      <c r="D151" s="112" t="s">
        <v>704</v>
      </c>
      <c r="E151" s="112" t="s">
        <v>707</v>
      </c>
      <c r="F151" s="113" t="s">
        <v>361</v>
      </c>
      <c r="G151" s="1"/>
    </row>
    <row r="152" spans="1:7" s="89" customFormat="1" x14ac:dyDescent="0.2">
      <c r="A152" s="157">
        <v>44377</v>
      </c>
      <c r="B152" s="111">
        <f>247.91</f>
        <v>247.91</v>
      </c>
      <c r="C152" s="191"/>
      <c r="D152" s="112" t="s">
        <v>698</v>
      </c>
      <c r="E152" s="112" t="s">
        <v>625</v>
      </c>
      <c r="F152" s="113" t="s">
        <v>699</v>
      </c>
      <c r="G152" s="1"/>
    </row>
    <row r="153" spans="1:7" s="89" customFormat="1" ht="12.75" customHeight="1" x14ac:dyDescent="0.2">
      <c r="A153" s="157">
        <v>44377</v>
      </c>
      <c r="B153" s="111">
        <f>281.32</f>
        <v>281.32</v>
      </c>
      <c r="C153" s="191"/>
      <c r="D153" s="112" t="s">
        <v>705</v>
      </c>
      <c r="E153" s="112" t="s">
        <v>625</v>
      </c>
      <c r="F153" s="113" t="s">
        <v>269</v>
      </c>
      <c r="G153" s="1"/>
    </row>
    <row r="154" spans="1:7" s="89" customFormat="1" x14ac:dyDescent="0.2">
      <c r="A154" s="157">
        <v>44377</v>
      </c>
      <c r="B154" s="111">
        <v>474.99</v>
      </c>
      <c r="C154" s="191"/>
      <c r="D154" s="112" t="s">
        <v>744</v>
      </c>
      <c r="E154" s="112" t="s">
        <v>625</v>
      </c>
      <c r="F154" s="113" t="s">
        <v>706</v>
      </c>
      <c r="G154" s="1"/>
    </row>
    <row r="155" spans="1:7" s="89" customFormat="1" ht="9" customHeight="1" x14ac:dyDescent="0.2">
      <c r="A155" s="158"/>
      <c r="B155" s="159"/>
      <c r="C155" s="159"/>
      <c r="D155" s="160"/>
      <c r="E155" s="160"/>
      <c r="F155" s="160"/>
      <c r="G155" s="1"/>
    </row>
    <row r="156" spans="1:7" ht="19.5" customHeight="1" x14ac:dyDescent="0.2">
      <c r="A156" s="128" t="s">
        <v>155</v>
      </c>
      <c r="B156" s="129">
        <f>SUM(B23:B154)</f>
        <v>37426.69</v>
      </c>
      <c r="C156" s="129"/>
      <c r="D156" s="130" t="str">
        <f>IF(SUBTOTAL(3,B23:B154)=SUBTOTAL(103,B23:B154),'Summary and sign-off'!$A$47,'Summary and sign-off'!$A$48)</f>
        <v>Check - there are no hidden rows with data</v>
      </c>
      <c r="E156" s="212" t="str">
        <f>IF('Summary and sign-off'!F55='Summary and sign-off'!F53,'Summary and sign-off'!A50,'Summary and sign-off'!A49)</f>
        <v>Check - each entry provides sufficient information</v>
      </c>
      <c r="F156" s="212"/>
      <c r="G156" s="48"/>
    </row>
    <row r="157" spans="1:7" ht="10.5" customHeight="1" x14ac:dyDescent="0.2">
      <c r="A157" s="29"/>
      <c r="B157" s="24"/>
      <c r="C157" s="24"/>
      <c r="D157" s="29"/>
      <c r="E157" s="29"/>
      <c r="F157" s="29"/>
      <c r="G157" s="29"/>
    </row>
    <row r="158" spans="1:7" ht="24.75" customHeight="1" x14ac:dyDescent="0.2">
      <c r="A158" s="213" t="s">
        <v>44</v>
      </c>
      <c r="B158" s="213"/>
      <c r="C158" s="213"/>
      <c r="D158" s="213"/>
      <c r="E158" s="213"/>
      <c r="F158" s="213"/>
      <c r="G158" s="48"/>
    </row>
    <row r="159" spans="1:7" ht="27" customHeight="1" x14ac:dyDescent="0.2">
      <c r="A159" s="37" t="s">
        <v>49</v>
      </c>
      <c r="B159" s="37" t="s">
        <v>31</v>
      </c>
      <c r="C159" s="37"/>
      <c r="D159" s="37" t="s">
        <v>147</v>
      </c>
      <c r="E159" s="37" t="s">
        <v>88</v>
      </c>
      <c r="F159" s="37" t="s">
        <v>76</v>
      </c>
      <c r="G159" s="51"/>
    </row>
    <row r="160" spans="1:7" s="89" customFormat="1" hidden="1" x14ac:dyDescent="0.2">
      <c r="A160" s="114"/>
      <c r="B160" s="111"/>
      <c r="C160" s="111"/>
      <c r="D160" s="112"/>
      <c r="E160" s="112"/>
      <c r="F160" s="113"/>
      <c r="G160" s="1"/>
    </row>
    <row r="161" spans="1:7" s="89" customFormat="1" x14ac:dyDescent="0.2">
      <c r="A161" s="157">
        <v>44047</v>
      </c>
      <c r="B161" s="111">
        <v>29.17</v>
      </c>
      <c r="C161" s="191"/>
      <c r="D161" s="112" t="s">
        <v>637</v>
      </c>
      <c r="E161" s="112" t="s">
        <v>633</v>
      </c>
      <c r="F161" s="113" t="s">
        <v>170</v>
      </c>
      <c r="G161" s="1"/>
    </row>
    <row r="162" spans="1:7" s="89" customFormat="1" x14ac:dyDescent="0.2">
      <c r="A162" s="157">
        <v>44071</v>
      </c>
      <c r="B162" s="111">
        <v>25.76</v>
      </c>
      <c r="C162" s="191"/>
      <c r="D162" s="112" t="s">
        <v>296</v>
      </c>
      <c r="E162" s="112" t="s">
        <v>633</v>
      </c>
      <c r="F162" s="113" t="s">
        <v>170</v>
      </c>
      <c r="G162" s="1"/>
    </row>
    <row r="163" spans="1:7" s="89" customFormat="1" x14ac:dyDescent="0.2">
      <c r="A163" s="157">
        <v>44145</v>
      </c>
      <c r="B163" s="111">
        <v>24.15</v>
      </c>
      <c r="C163" s="191"/>
      <c r="D163" s="112" t="s">
        <v>489</v>
      </c>
      <c r="E163" s="112" t="s">
        <v>633</v>
      </c>
      <c r="F163" s="113" t="s">
        <v>170</v>
      </c>
      <c r="G163" s="1"/>
    </row>
    <row r="164" spans="1:7" s="89" customFormat="1" x14ac:dyDescent="0.2">
      <c r="A164" s="157">
        <v>44151</v>
      </c>
      <c r="B164" s="111">
        <v>22.63</v>
      </c>
      <c r="C164" s="191"/>
      <c r="D164" s="112" t="s">
        <v>490</v>
      </c>
      <c r="E164" s="112" t="s">
        <v>633</v>
      </c>
      <c r="F164" s="113" t="s">
        <v>170</v>
      </c>
      <c r="G164" s="1"/>
    </row>
    <row r="165" spans="1:7" s="89" customFormat="1" x14ac:dyDescent="0.2">
      <c r="A165" s="157">
        <v>44152</v>
      </c>
      <c r="B165" s="111">
        <v>26.07</v>
      </c>
      <c r="C165" s="191"/>
      <c r="D165" s="112" t="s">
        <v>488</v>
      </c>
      <c r="E165" s="112" t="s">
        <v>633</v>
      </c>
      <c r="F165" s="113" t="s">
        <v>170</v>
      </c>
      <c r="G165" s="1"/>
    </row>
    <row r="166" spans="1:7" s="89" customFormat="1" x14ac:dyDescent="0.2">
      <c r="A166" s="114"/>
      <c r="B166" s="111"/>
      <c r="C166" s="111"/>
      <c r="D166" s="112"/>
      <c r="E166" s="112"/>
      <c r="F166" s="113"/>
      <c r="G166" s="1"/>
    </row>
    <row r="167" spans="1:7" s="89" customFormat="1" x14ac:dyDescent="0.2">
      <c r="A167" s="114"/>
      <c r="B167" s="111"/>
      <c r="C167" s="111"/>
      <c r="D167" s="112"/>
      <c r="E167" s="112"/>
      <c r="F167" s="113"/>
      <c r="G167" s="1"/>
    </row>
    <row r="168" spans="1:7" s="89" customFormat="1" hidden="1" x14ac:dyDescent="0.2">
      <c r="A168" s="114"/>
      <c r="B168" s="111"/>
      <c r="C168" s="111"/>
      <c r="D168" s="112"/>
      <c r="E168" s="112"/>
      <c r="F168" s="113"/>
      <c r="G168" s="1"/>
    </row>
    <row r="169" spans="1:7" ht="19.5" customHeight="1" x14ac:dyDescent="0.2">
      <c r="A169" s="128" t="s">
        <v>152</v>
      </c>
      <c r="B169" s="129">
        <f>SUM(B160:B168)</f>
        <v>127.78</v>
      </c>
      <c r="C169" s="129"/>
      <c r="D169" s="130" t="str">
        <f>IF(SUBTOTAL(3,B160:B168)=SUBTOTAL(103,B160:B168),'Summary and sign-off'!$A$47,'Summary and sign-off'!$A$48)</f>
        <v>Check - there are no hidden rows with data</v>
      </c>
      <c r="E169" s="212" t="str">
        <f>IF('Summary and sign-off'!F56='Summary and sign-off'!F53,'Summary and sign-off'!A50,'Summary and sign-off'!A49)</f>
        <v>Check - each entry provides sufficient information</v>
      </c>
      <c r="F169" s="212"/>
      <c r="G169" s="48"/>
    </row>
    <row r="170" spans="1:7" ht="10.5" customHeight="1" x14ac:dyDescent="0.2">
      <c r="A170" s="29"/>
      <c r="B170" s="97"/>
      <c r="C170" s="97"/>
      <c r="D170" s="24"/>
      <c r="E170" s="29"/>
      <c r="F170" s="29"/>
      <c r="G170" s="29"/>
    </row>
    <row r="171" spans="1:7" ht="34.5" customHeight="1" x14ac:dyDescent="0.2">
      <c r="A171" s="52" t="s">
        <v>1</v>
      </c>
      <c r="B171" s="98">
        <f>B19+B156+B169</f>
        <v>37554.47</v>
      </c>
      <c r="C171" s="98"/>
      <c r="D171" s="53"/>
      <c r="E171" s="53"/>
      <c r="F171" s="53"/>
      <c r="G171" s="28"/>
    </row>
    <row r="172" spans="1:7" x14ac:dyDescent="0.2">
      <c r="A172" s="29"/>
      <c r="B172" s="24"/>
      <c r="C172" s="24"/>
      <c r="D172" s="29"/>
      <c r="E172" s="29"/>
      <c r="F172" s="29"/>
      <c r="G172" s="29"/>
    </row>
    <row r="173" spans="1:7" x14ac:dyDescent="0.2">
      <c r="A173" s="54" t="s">
        <v>8</v>
      </c>
      <c r="B173" s="27"/>
      <c r="C173" s="27"/>
      <c r="D173" s="28"/>
      <c r="E173" s="28"/>
      <c r="F173" s="28"/>
      <c r="G173" s="29"/>
    </row>
    <row r="174" spans="1:7" ht="12.6" customHeight="1" x14ac:dyDescent="0.2">
      <c r="A174" s="25" t="s">
        <v>50</v>
      </c>
      <c r="B174" s="55"/>
      <c r="C174" s="55"/>
      <c r="D174" s="55"/>
      <c r="E174" s="34"/>
      <c r="F174" s="34"/>
      <c r="G174" s="29"/>
    </row>
    <row r="175" spans="1:7" ht="12.95" customHeight="1" x14ac:dyDescent="0.2">
      <c r="A175" s="33" t="s">
        <v>156</v>
      </c>
      <c r="B175" s="29"/>
      <c r="C175" s="29"/>
      <c r="D175" s="34"/>
      <c r="E175" s="29"/>
      <c r="F175" s="34"/>
      <c r="G175" s="29"/>
    </row>
    <row r="176" spans="1:7" x14ac:dyDescent="0.2">
      <c r="A176" s="33" t="s">
        <v>149</v>
      </c>
      <c r="B176" s="34"/>
      <c r="C176" s="34"/>
      <c r="D176" s="34"/>
      <c r="E176" s="34"/>
      <c r="F176" s="56"/>
      <c r="G176" s="48"/>
    </row>
    <row r="177" spans="1:7" x14ac:dyDescent="0.2">
      <c r="A177" s="25" t="s">
        <v>157</v>
      </c>
      <c r="B177" s="27"/>
      <c r="C177" s="27"/>
      <c r="D177" s="28"/>
      <c r="E177" s="28"/>
      <c r="F177" s="28"/>
      <c r="G177" s="29"/>
    </row>
    <row r="178" spans="1:7" ht="12.95" customHeight="1" x14ac:dyDescent="0.2">
      <c r="A178" s="33" t="s">
        <v>148</v>
      </c>
      <c r="B178" s="29"/>
      <c r="C178" s="29"/>
      <c r="D178" s="34"/>
      <c r="E178" s="29"/>
      <c r="F178" s="34"/>
      <c r="G178" s="29"/>
    </row>
    <row r="179" spans="1:7" x14ac:dyDescent="0.2">
      <c r="A179" s="33" t="s">
        <v>153</v>
      </c>
      <c r="B179" s="34"/>
      <c r="C179" s="34"/>
      <c r="D179" s="34"/>
      <c r="E179" s="34"/>
      <c r="F179" s="56"/>
      <c r="G179" s="48"/>
    </row>
    <row r="180" spans="1:7" x14ac:dyDescent="0.2">
      <c r="A180" s="38" t="s">
        <v>165</v>
      </c>
      <c r="B180" s="38"/>
      <c r="C180" s="38"/>
      <c r="D180" s="38"/>
      <c r="E180" s="38"/>
      <c r="F180" s="56"/>
      <c r="G180" s="48"/>
    </row>
    <row r="181" spans="1:7" x14ac:dyDescent="0.2">
      <c r="A181" s="42"/>
      <c r="B181" s="29"/>
      <c r="C181" s="29"/>
      <c r="D181" s="29"/>
      <c r="E181" s="29"/>
      <c r="F181" s="48"/>
      <c r="G181" s="48"/>
    </row>
    <row r="182" spans="1:7" hidden="1" x14ac:dyDescent="0.2">
      <c r="A182" s="42"/>
      <c r="B182" s="29"/>
      <c r="C182" s="29"/>
      <c r="D182" s="29"/>
      <c r="E182" s="29"/>
      <c r="F182" s="48"/>
      <c r="G182" s="48"/>
    </row>
    <row r="183" spans="1:7" x14ac:dyDescent="0.2"/>
    <row r="184" spans="1:7" x14ac:dyDescent="0.2"/>
    <row r="185" spans="1:7" x14ac:dyDescent="0.2"/>
    <row r="186" spans="1:7" x14ac:dyDescent="0.2"/>
    <row r="187" spans="1:7" ht="12.75" hidden="1" customHeight="1" x14ac:dyDescent="0.2"/>
    <row r="188" spans="1:7" x14ac:dyDescent="0.2"/>
    <row r="189" spans="1:7" x14ac:dyDescent="0.2"/>
    <row r="190" spans="1:7" hidden="1" x14ac:dyDescent="0.2">
      <c r="A190" s="57"/>
      <c r="B190" s="48"/>
      <c r="C190" s="48"/>
      <c r="D190" s="48"/>
      <c r="E190" s="48"/>
      <c r="F190" s="48"/>
      <c r="G190" s="48"/>
    </row>
    <row r="191" spans="1:7" hidden="1" x14ac:dyDescent="0.2">
      <c r="A191" s="57"/>
      <c r="B191" s="48"/>
      <c r="C191" s="48"/>
      <c r="D191" s="48"/>
      <c r="E191" s="48"/>
      <c r="F191" s="48"/>
      <c r="G191" s="48"/>
    </row>
    <row r="192" spans="1:7" hidden="1" x14ac:dyDescent="0.2">
      <c r="A192" s="57"/>
      <c r="B192" s="48"/>
      <c r="C192" s="48"/>
      <c r="D192" s="48"/>
      <c r="E192" s="48"/>
      <c r="F192" s="48"/>
      <c r="G192" s="48"/>
    </row>
    <row r="193" spans="1:7" hidden="1" x14ac:dyDescent="0.2">
      <c r="A193" s="57"/>
      <c r="B193" s="48"/>
      <c r="C193" s="48"/>
      <c r="D193" s="48"/>
      <c r="E193" s="48"/>
      <c r="F193" s="48"/>
      <c r="G193" s="48"/>
    </row>
    <row r="194" spans="1:7" hidden="1" x14ac:dyDescent="0.2">
      <c r="A194" s="57"/>
      <c r="B194" s="48"/>
      <c r="C194" s="48"/>
      <c r="D194" s="48"/>
      <c r="E194" s="48"/>
      <c r="F194" s="48"/>
      <c r="G194" s="48"/>
    </row>
    <row r="195" spans="1:7" x14ac:dyDescent="0.2"/>
    <row r="196" spans="1:7" x14ac:dyDescent="0.2"/>
    <row r="197" spans="1:7" x14ac:dyDescent="0.2"/>
    <row r="198" spans="1:7" x14ac:dyDescent="0.2"/>
    <row r="199" spans="1:7" x14ac:dyDescent="0.2"/>
    <row r="200" spans="1:7" x14ac:dyDescent="0.2"/>
    <row r="201" spans="1:7" x14ac:dyDescent="0.2"/>
    <row r="202" spans="1:7" x14ac:dyDescent="0.2"/>
    <row r="203" spans="1:7" x14ac:dyDescent="0.2"/>
    <row r="204" spans="1:7" x14ac:dyDescent="0.2"/>
    <row r="205" spans="1:7" x14ac:dyDescent="0.2"/>
    <row r="206" spans="1:7" x14ac:dyDescent="0.2"/>
    <row r="207" spans="1:7" x14ac:dyDescent="0.2"/>
    <row r="208" spans="1:7"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sheetData>
  <sheetProtection formatCells="0" formatRows="0" insertColumns="0" insertRows="0" deleteRows="0"/>
  <autoFilter ref="A24:F147" xr:uid="{00000000-0001-0000-0200-000000000000}"/>
  <mergeCells count="15">
    <mergeCell ref="B7:F7"/>
    <mergeCell ref="B5:F5"/>
    <mergeCell ref="E169:F169"/>
    <mergeCell ref="A1:F1"/>
    <mergeCell ref="A21:F21"/>
    <mergeCell ref="A158:F158"/>
    <mergeCell ref="B2:F2"/>
    <mergeCell ref="B3:F3"/>
    <mergeCell ref="B4:F4"/>
    <mergeCell ref="A8:F8"/>
    <mergeCell ref="A9:F9"/>
    <mergeCell ref="B6:F6"/>
    <mergeCell ref="E19:F19"/>
    <mergeCell ref="E156:F156"/>
    <mergeCell ref="A10:F10"/>
  </mergeCells>
  <dataValidations xWindow="139" yWindow="560"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8 A160:A168 A23:A109 A111:A155"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59 A22 A11" xr:uid="{00000000-0002-0000-0200-000001000000}"/>
  </dataValidations>
  <pageMargins left="0.70866141732283472" right="0.39370078740157483" top="0.51181102362204722" bottom="0.43307086614173229" header="0.47244094488188981" footer="0.15748031496062992"/>
  <pageSetup paperSize="9" scale="68" fitToHeight="0" orientation="landscape" r:id="rId1"/>
  <headerFooter alignWithMargins="0">
    <oddFooter>&amp;L&amp;8CE Expense Disclosure Workbook 2019&amp;C&amp;8page &amp;P of &amp;N&amp;RWorksheet - Travel</oddFooter>
  </headerFooter>
  <rowBreaks count="2" manualBreakCount="2">
    <brk id="19" max="4" man="1"/>
    <brk id="157" max="4" man="1"/>
  </rowBreaks>
  <customProperties>
    <customPr name="_pios_id" r:id="rId2"/>
  </customProperties>
  <legacyDrawing r:id="rId3"/>
  <extLst>
    <ext xmlns:x14="http://schemas.microsoft.com/office/spreadsheetml/2009/9/main" uri="{CCE6A557-97BC-4b89-ADB6-D9C93CAAB3DF}">
      <x14:dataValidations xmlns:xm="http://schemas.microsoft.com/office/excel/2006/main" xWindow="139" yWindow="560"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B6:F6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B7:F7</xm:sqref>
        </x14:dataValidation>
        <x14:dataValidation type="decimal" operator="greaterThan" allowBlank="1" showInputMessage="1" showErrorMessage="1" error="This cell must contain a dollar figure" xr:uid="{00000000-0002-0000-0200-000004000000}">
          <x14:formula1>
            <xm:f>'Summary and sign-off'!$A$46</xm:f>
          </x14:formula1>
          <xm:sqref>B12:C18 B23:C109 B160:C168 C110:C146 B111:B146 B147:C155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K115"/>
  <sheetViews>
    <sheetView zoomScale="90" zoomScaleNormal="90" workbookViewId="0">
      <selection activeCell="D17" sqref="D17"/>
    </sheetView>
  </sheetViews>
  <sheetFormatPr defaultColWidth="0" defaultRowHeight="12.75" zeroHeight="1" x14ac:dyDescent="0.2"/>
  <cols>
    <col min="1" max="1" width="35.5703125" style="17" customWidth="1"/>
    <col min="2" max="2" width="14.42578125" style="199" customWidth="1"/>
    <col min="3" max="3" width="14.42578125" style="17" hidden="1" customWidth="1"/>
    <col min="4" max="4" width="71.42578125" style="17" customWidth="1" collapsed="1"/>
    <col min="5" max="5" width="50" style="17" customWidth="1"/>
    <col min="6" max="6" width="21.42578125" style="17" customWidth="1"/>
    <col min="7" max="7" width="39.42578125" style="17" customWidth="1"/>
    <col min="8" max="11" width="9.140625" style="17" hidden="1" customWidth="1"/>
    <col min="12" max="14" width="0" style="17" hidden="1" customWidth="1"/>
    <col min="15" max="16384" width="0" style="17" hidden="1"/>
  </cols>
  <sheetData>
    <row r="1" spans="1:7" ht="26.25" customHeight="1" x14ac:dyDescent="0.2">
      <c r="A1" s="208" t="s">
        <v>6</v>
      </c>
      <c r="B1" s="208"/>
      <c r="C1" s="208"/>
      <c r="D1" s="208"/>
      <c r="E1" s="208"/>
      <c r="F1" s="208"/>
      <c r="G1" s="40"/>
    </row>
    <row r="2" spans="1:7" ht="21" customHeight="1" x14ac:dyDescent="0.2">
      <c r="A2" s="4" t="s">
        <v>2</v>
      </c>
      <c r="B2" s="211" t="str">
        <f>'Summary and sign-off'!B2:F2</f>
        <v>The Department of Conservation</v>
      </c>
      <c r="C2" s="211"/>
      <c r="D2" s="211"/>
      <c r="E2" s="211"/>
      <c r="F2" s="211"/>
      <c r="G2" s="40"/>
    </row>
    <row r="3" spans="1:7" ht="21" customHeight="1" x14ac:dyDescent="0.2">
      <c r="A3" s="4" t="s">
        <v>3</v>
      </c>
      <c r="B3" s="211" t="str">
        <f>'Summary and sign-off'!B3:F3</f>
        <v>Lou Sanson</v>
      </c>
      <c r="C3" s="211"/>
      <c r="D3" s="211"/>
      <c r="E3" s="211"/>
      <c r="F3" s="211"/>
      <c r="G3" s="40"/>
    </row>
    <row r="4" spans="1:7" ht="21" customHeight="1" x14ac:dyDescent="0.2">
      <c r="A4" s="4" t="s">
        <v>77</v>
      </c>
      <c r="B4" s="211">
        <f>'Summary and sign-off'!B4:F4</f>
        <v>44013</v>
      </c>
      <c r="C4" s="211"/>
      <c r="D4" s="211"/>
      <c r="E4" s="211"/>
      <c r="F4" s="211"/>
      <c r="G4" s="40"/>
    </row>
    <row r="5" spans="1:7" ht="21" customHeight="1" x14ac:dyDescent="0.2">
      <c r="A5" s="4" t="s">
        <v>78</v>
      </c>
      <c r="B5" s="211">
        <f>'Summary and sign-off'!B5:F5</f>
        <v>44377</v>
      </c>
      <c r="C5" s="211"/>
      <c r="D5" s="211"/>
      <c r="E5" s="211"/>
      <c r="F5" s="211"/>
      <c r="G5" s="40"/>
    </row>
    <row r="6" spans="1:7" ht="21" customHeight="1" x14ac:dyDescent="0.2">
      <c r="A6" s="4" t="s">
        <v>29</v>
      </c>
      <c r="B6" s="206" t="s">
        <v>28</v>
      </c>
      <c r="C6" s="206"/>
      <c r="D6" s="206"/>
      <c r="E6" s="206"/>
      <c r="F6" s="206"/>
      <c r="G6" s="40"/>
    </row>
    <row r="7" spans="1:7" ht="21" customHeight="1" x14ac:dyDescent="0.2">
      <c r="A7" s="4"/>
      <c r="B7" s="206" t="s">
        <v>116</v>
      </c>
      <c r="C7" s="206"/>
      <c r="D7" s="206"/>
      <c r="E7" s="206"/>
      <c r="F7" s="206"/>
      <c r="G7" s="40"/>
    </row>
    <row r="8" spans="1:7" ht="35.25" customHeight="1" x14ac:dyDescent="0.25">
      <c r="A8" s="221" t="s">
        <v>158</v>
      </c>
      <c r="B8" s="221"/>
      <c r="C8" s="221"/>
      <c r="D8" s="222"/>
      <c r="E8" s="222"/>
      <c r="F8" s="222"/>
      <c r="G8" s="44"/>
    </row>
    <row r="9" spans="1:7" ht="35.25" customHeight="1" x14ac:dyDescent="0.25">
      <c r="A9" s="219" t="s">
        <v>135</v>
      </c>
      <c r="B9" s="220"/>
      <c r="C9" s="220"/>
      <c r="D9" s="220"/>
      <c r="E9" s="220"/>
      <c r="F9" s="220"/>
      <c r="G9" s="44"/>
    </row>
    <row r="10" spans="1:7" ht="27" customHeight="1" x14ac:dyDescent="0.2">
      <c r="A10" s="37" t="s">
        <v>161</v>
      </c>
      <c r="B10" s="192" t="s">
        <v>31</v>
      </c>
      <c r="C10" s="37"/>
      <c r="D10" s="37" t="s">
        <v>89</v>
      </c>
      <c r="E10" s="37" t="s">
        <v>87</v>
      </c>
      <c r="F10" s="37" t="s">
        <v>76</v>
      </c>
      <c r="G10" s="25"/>
    </row>
    <row r="11" spans="1:7" s="201" customFormat="1" x14ac:dyDescent="0.2">
      <c r="A11" s="157">
        <v>44036</v>
      </c>
      <c r="B11" s="203">
        <v>74.78</v>
      </c>
      <c r="C11" s="191"/>
      <c r="D11" s="112" t="s">
        <v>370</v>
      </c>
      <c r="E11" s="112" t="s">
        <v>632</v>
      </c>
      <c r="F11" s="113" t="s">
        <v>306</v>
      </c>
      <c r="G11" s="200"/>
    </row>
    <row r="12" spans="1:7" s="201" customFormat="1" x14ac:dyDescent="0.2">
      <c r="A12" s="167">
        <v>44042</v>
      </c>
      <c r="B12" s="203">
        <v>175.74</v>
      </c>
      <c r="C12" s="191"/>
      <c r="D12" s="116" t="s">
        <v>711</v>
      </c>
      <c r="E12" s="116" t="s">
        <v>630</v>
      </c>
      <c r="F12" s="117" t="s">
        <v>170</v>
      </c>
      <c r="G12" s="202"/>
    </row>
    <row r="13" spans="1:7" s="201" customFormat="1" x14ac:dyDescent="0.2">
      <c r="A13" s="157">
        <v>44042</v>
      </c>
      <c r="B13" s="203">
        <v>80.430000000000007</v>
      </c>
      <c r="C13" s="191"/>
      <c r="D13" s="112" t="s">
        <v>302</v>
      </c>
      <c r="E13" s="112" t="s">
        <v>747</v>
      </c>
      <c r="F13" s="113" t="s">
        <v>303</v>
      </c>
      <c r="G13" s="200"/>
    </row>
    <row r="14" spans="1:7" x14ac:dyDescent="0.2">
      <c r="A14" s="167">
        <v>44042</v>
      </c>
      <c r="B14" s="204">
        <v>23.65</v>
      </c>
      <c r="C14" s="191"/>
      <c r="D14" s="116" t="s">
        <v>634</v>
      </c>
      <c r="E14" s="116" t="s">
        <v>635</v>
      </c>
      <c r="F14" s="117" t="s">
        <v>272</v>
      </c>
    </row>
    <row r="15" spans="1:7" s="89" customFormat="1" x14ac:dyDescent="0.2">
      <c r="A15" s="167">
        <v>44042</v>
      </c>
      <c r="B15" s="204">
        <v>27.83</v>
      </c>
      <c r="C15" s="191"/>
      <c r="D15" s="116" t="s">
        <v>636</v>
      </c>
      <c r="E15" s="116" t="s">
        <v>735</v>
      </c>
      <c r="F15" s="117" t="s">
        <v>170</v>
      </c>
      <c r="G15" s="2"/>
    </row>
    <row r="16" spans="1:7" s="89" customFormat="1" x14ac:dyDescent="0.2">
      <c r="A16" s="167">
        <v>44043</v>
      </c>
      <c r="B16" s="204">
        <v>17.649999999999999</v>
      </c>
      <c r="C16" s="191"/>
      <c r="D16" s="116" t="s">
        <v>691</v>
      </c>
      <c r="E16" s="116" t="s">
        <v>736</v>
      </c>
      <c r="F16" s="117" t="s">
        <v>170</v>
      </c>
      <c r="G16" s="2"/>
    </row>
    <row r="17" spans="1:7" s="89" customFormat="1" x14ac:dyDescent="0.2">
      <c r="A17" s="167">
        <v>44047</v>
      </c>
      <c r="B17" s="204">
        <v>24.78</v>
      </c>
      <c r="C17" s="191"/>
      <c r="D17" s="116" t="s">
        <v>683</v>
      </c>
      <c r="E17" s="116" t="s">
        <v>735</v>
      </c>
      <c r="F17" s="117" t="s">
        <v>170</v>
      </c>
      <c r="G17" s="2"/>
    </row>
    <row r="18" spans="1:7" s="89" customFormat="1" x14ac:dyDescent="0.2">
      <c r="A18" s="167">
        <v>44047</v>
      </c>
      <c r="B18" s="204">
        <v>246.09</v>
      </c>
      <c r="C18" s="191"/>
      <c r="D18" s="116" t="s">
        <v>692</v>
      </c>
      <c r="E18" s="116" t="s">
        <v>638</v>
      </c>
      <c r="F18" s="117" t="s">
        <v>170</v>
      </c>
      <c r="G18" s="2"/>
    </row>
    <row r="19" spans="1:7" s="89" customFormat="1" x14ac:dyDescent="0.2">
      <c r="A19" s="167">
        <v>44049</v>
      </c>
      <c r="B19" s="204">
        <v>218.7</v>
      </c>
      <c r="C19" s="191"/>
      <c r="D19" s="116" t="s">
        <v>726</v>
      </c>
      <c r="E19" s="116" t="s">
        <v>632</v>
      </c>
      <c r="F19" s="117" t="s">
        <v>276</v>
      </c>
      <c r="G19" s="2"/>
    </row>
    <row r="20" spans="1:7" s="89" customFormat="1" x14ac:dyDescent="0.2">
      <c r="A20" s="167">
        <v>44067</v>
      </c>
      <c r="B20" s="204">
        <f>89.57+80</f>
        <v>169.57</v>
      </c>
      <c r="C20" s="191"/>
      <c r="D20" s="116" t="s">
        <v>710</v>
      </c>
      <c r="E20" s="116" t="s">
        <v>639</v>
      </c>
      <c r="F20" s="117" t="s">
        <v>170</v>
      </c>
      <c r="G20" s="2"/>
    </row>
    <row r="21" spans="1:7" s="89" customFormat="1" x14ac:dyDescent="0.2">
      <c r="A21" s="157">
        <v>44071</v>
      </c>
      <c r="B21" s="204">
        <v>188.03</v>
      </c>
      <c r="C21" s="191"/>
      <c r="D21" s="112" t="s">
        <v>296</v>
      </c>
      <c r="E21" s="112" t="s">
        <v>632</v>
      </c>
      <c r="F21" s="113" t="s">
        <v>170</v>
      </c>
      <c r="G21" s="1"/>
    </row>
    <row r="22" spans="1:7" s="89" customFormat="1" x14ac:dyDescent="0.2">
      <c r="A22" s="167">
        <v>44084</v>
      </c>
      <c r="B22" s="204">
        <v>20.43</v>
      </c>
      <c r="C22" s="191"/>
      <c r="D22" s="116" t="s">
        <v>641</v>
      </c>
      <c r="E22" s="116" t="s">
        <v>735</v>
      </c>
      <c r="F22" s="117" t="s">
        <v>170</v>
      </c>
      <c r="G22" s="2"/>
    </row>
    <row r="23" spans="1:7" s="89" customFormat="1" x14ac:dyDescent="0.2">
      <c r="A23" s="167">
        <v>44094</v>
      </c>
      <c r="B23" s="204">
        <v>48.26</v>
      </c>
      <c r="C23" s="191"/>
      <c r="D23" s="116" t="s">
        <v>642</v>
      </c>
      <c r="E23" s="116" t="s">
        <v>643</v>
      </c>
      <c r="F23" s="117" t="s">
        <v>361</v>
      </c>
      <c r="G23" s="2"/>
    </row>
    <row r="24" spans="1:7" s="89" customFormat="1" x14ac:dyDescent="0.2">
      <c r="A24" s="167">
        <v>44105</v>
      </c>
      <c r="B24" s="204">
        <v>22.61</v>
      </c>
      <c r="C24" s="191"/>
      <c r="D24" s="116" t="s">
        <v>497</v>
      </c>
      <c r="E24" s="116" t="s">
        <v>735</v>
      </c>
      <c r="F24" s="117" t="s">
        <v>170</v>
      </c>
      <c r="G24" s="2"/>
    </row>
    <row r="25" spans="1:7" s="89" customFormat="1" x14ac:dyDescent="0.2">
      <c r="A25" s="167">
        <v>44110</v>
      </c>
      <c r="B25" s="204">
        <v>50</v>
      </c>
      <c r="C25" s="191"/>
      <c r="D25" s="116" t="s">
        <v>693</v>
      </c>
      <c r="E25" s="116" t="s">
        <v>736</v>
      </c>
      <c r="F25" s="117" t="s">
        <v>170</v>
      </c>
      <c r="G25" s="2"/>
    </row>
    <row r="26" spans="1:7" s="89" customFormat="1" x14ac:dyDescent="0.2">
      <c r="A26" s="167">
        <v>44112</v>
      </c>
      <c r="B26" s="204">
        <v>36.520000000000003</v>
      </c>
      <c r="C26" s="191"/>
      <c r="D26" s="116" t="s">
        <v>694</v>
      </c>
      <c r="E26" s="116" t="s">
        <v>643</v>
      </c>
      <c r="F26" s="117" t="s">
        <v>170</v>
      </c>
      <c r="G26" s="2"/>
    </row>
    <row r="27" spans="1:7" s="167" customFormat="1" x14ac:dyDescent="0.2">
      <c r="A27" s="167">
        <v>44141</v>
      </c>
      <c r="B27" s="204">
        <v>16.170000000000002</v>
      </c>
      <c r="C27" s="190"/>
      <c r="D27" s="167" t="s">
        <v>646</v>
      </c>
      <c r="E27" s="167" t="s">
        <v>735</v>
      </c>
      <c r="F27" s="167" t="s">
        <v>269</v>
      </c>
    </row>
    <row r="28" spans="1:7" s="167" customFormat="1" x14ac:dyDescent="0.2">
      <c r="A28" s="167">
        <v>44141</v>
      </c>
      <c r="B28" s="204">
        <v>24.35</v>
      </c>
      <c r="C28" s="190"/>
      <c r="D28" s="167" t="s">
        <v>647</v>
      </c>
      <c r="E28" s="167" t="s">
        <v>735</v>
      </c>
      <c r="F28" s="167" t="s">
        <v>269</v>
      </c>
    </row>
    <row r="29" spans="1:7" s="167" customFormat="1" x14ac:dyDescent="0.2">
      <c r="A29" s="167">
        <v>44166</v>
      </c>
      <c r="B29" s="204">
        <v>11.53</v>
      </c>
      <c r="D29" s="167" t="s">
        <v>696</v>
      </c>
      <c r="E29" s="116" t="s">
        <v>736</v>
      </c>
      <c r="F29" s="167" t="s">
        <v>170</v>
      </c>
    </row>
    <row r="30" spans="1:7" s="167" customFormat="1" x14ac:dyDescent="0.2">
      <c r="A30" s="167">
        <v>44189</v>
      </c>
      <c r="B30" s="204">
        <v>21.39</v>
      </c>
      <c r="C30" s="190"/>
      <c r="D30" s="167" t="s">
        <v>695</v>
      </c>
      <c r="E30" s="167" t="s">
        <v>735</v>
      </c>
      <c r="F30" s="167" t="s">
        <v>492</v>
      </c>
    </row>
    <row r="31" spans="1:7" s="167" customFormat="1" x14ac:dyDescent="0.2">
      <c r="A31" s="167">
        <v>44211</v>
      </c>
      <c r="B31" s="204">
        <v>65.22</v>
      </c>
      <c r="C31" s="190"/>
      <c r="D31" s="167" t="s">
        <v>649</v>
      </c>
      <c r="E31" s="167" t="s">
        <v>643</v>
      </c>
      <c r="F31" s="167" t="s">
        <v>170</v>
      </c>
    </row>
    <row r="32" spans="1:7" s="167" customFormat="1" x14ac:dyDescent="0.2">
      <c r="A32" s="167">
        <v>44228</v>
      </c>
      <c r="B32" s="204">
        <v>100.87</v>
      </c>
      <c r="C32" s="190"/>
      <c r="D32" s="167" t="s">
        <v>651</v>
      </c>
      <c r="E32" s="167" t="s">
        <v>643</v>
      </c>
      <c r="F32" s="167" t="s">
        <v>170</v>
      </c>
    </row>
    <row r="33" spans="1:7" s="167" customFormat="1" x14ac:dyDescent="0.2">
      <c r="A33" s="167">
        <v>44230</v>
      </c>
      <c r="B33" s="204">
        <v>88.7</v>
      </c>
      <c r="C33" s="190"/>
      <c r="D33" s="167" t="s">
        <v>652</v>
      </c>
      <c r="E33" s="167" t="s">
        <v>643</v>
      </c>
      <c r="F33" s="167" t="s">
        <v>265</v>
      </c>
    </row>
    <row r="34" spans="1:7" s="167" customFormat="1" x14ac:dyDescent="0.2">
      <c r="A34" s="167">
        <v>44238</v>
      </c>
      <c r="B34" s="204">
        <v>14.78</v>
      </c>
      <c r="C34" s="190"/>
      <c r="D34" s="167" t="s">
        <v>725</v>
      </c>
      <c r="E34" s="167" t="s">
        <v>735</v>
      </c>
      <c r="F34" s="167" t="s">
        <v>170</v>
      </c>
    </row>
    <row r="35" spans="1:7" s="167" customFormat="1" x14ac:dyDescent="0.2">
      <c r="A35" s="167">
        <v>44245</v>
      </c>
      <c r="B35" s="204">
        <v>16.52</v>
      </c>
      <c r="C35" s="190"/>
      <c r="D35" s="167" t="s">
        <v>658</v>
      </c>
      <c r="E35" s="167" t="s">
        <v>735</v>
      </c>
      <c r="F35" s="167" t="s">
        <v>170</v>
      </c>
    </row>
    <row r="36" spans="1:7" s="167" customFormat="1" x14ac:dyDescent="0.2">
      <c r="A36" s="167">
        <v>44249</v>
      </c>
      <c r="B36" s="204">
        <v>40.869999999999997</v>
      </c>
      <c r="C36" s="190"/>
      <c r="D36" s="167" t="s">
        <v>659</v>
      </c>
      <c r="E36" s="167" t="s">
        <v>660</v>
      </c>
      <c r="F36" s="167" t="s">
        <v>170</v>
      </c>
    </row>
    <row r="37" spans="1:7" s="167" customFormat="1" x14ac:dyDescent="0.2">
      <c r="A37" s="167">
        <v>44250</v>
      </c>
      <c r="B37" s="204">
        <v>50.44</v>
      </c>
      <c r="C37" s="190"/>
      <c r="D37" s="167" t="s">
        <v>661</v>
      </c>
      <c r="E37" s="167" t="s">
        <v>645</v>
      </c>
      <c r="F37" s="167" t="s">
        <v>170</v>
      </c>
    </row>
    <row r="38" spans="1:7" s="167" customFormat="1" x14ac:dyDescent="0.2">
      <c r="A38" s="167">
        <v>44267</v>
      </c>
      <c r="B38" s="204">
        <v>25.13</v>
      </c>
      <c r="D38" s="167" t="s">
        <v>669</v>
      </c>
      <c r="E38" s="167" t="s">
        <v>643</v>
      </c>
      <c r="F38" s="167" t="s">
        <v>359</v>
      </c>
    </row>
    <row r="39" spans="1:7" s="167" customFormat="1" x14ac:dyDescent="0.2">
      <c r="A39" s="167">
        <v>44273</v>
      </c>
      <c r="B39" s="204">
        <v>47.83</v>
      </c>
      <c r="C39" s="190"/>
      <c r="D39" s="167" t="s">
        <v>727</v>
      </c>
      <c r="E39" s="167" t="s">
        <v>660</v>
      </c>
      <c r="F39" s="167" t="s">
        <v>170</v>
      </c>
    </row>
    <row r="40" spans="1:7" s="89" customFormat="1" x14ac:dyDescent="0.2">
      <c r="A40" s="167">
        <v>44292</v>
      </c>
      <c r="B40" s="204">
        <v>129.47999999999999</v>
      </c>
      <c r="C40" s="190"/>
      <c r="D40" s="116" t="s">
        <v>739</v>
      </c>
      <c r="E40" s="116" t="s">
        <v>660</v>
      </c>
      <c r="F40" s="117" t="s">
        <v>170</v>
      </c>
      <c r="G40" s="2"/>
    </row>
    <row r="41" spans="1:7" s="89" customFormat="1" x14ac:dyDescent="0.2">
      <c r="A41" s="167">
        <v>44292</v>
      </c>
      <c r="B41" s="204">
        <v>34.35</v>
      </c>
      <c r="C41" s="190"/>
      <c r="D41" s="116" t="s">
        <v>673</v>
      </c>
      <c r="E41" s="116" t="s">
        <v>643</v>
      </c>
      <c r="F41" s="117" t="s">
        <v>170</v>
      </c>
      <c r="G41" s="2"/>
    </row>
    <row r="42" spans="1:7" s="89" customFormat="1" x14ac:dyDescent="0.2">
      <c r="A42" s="167">
        <v>44298</v>
      </c>
      <c r="B42" s="204">
        <v>391.3</v>
      </c>
      <c r="C42" s="190"/>
      <c r="D42" s="116" t="s">
        <v>675</v>
      </c>
      <c r="E42" s="116" t="s">
        <v>676</v>
      </c>
      <c r="F42" s="117" t="s">
        <v>170</v>
      </c>
      <c r="G42" s="2"/>
    </row>
    <row r="43" spans="1:7" s="89" customFormat="1" x14ac:dyDescent="0.2">
      <c r="A43" s="167">
        <v>44302</v>
      </c>
      <c r="B43" s="204">
        <v>31.3</v>
      </c>
      <c r="C43" s="190"/>
      <c r="D43" s="116" t="s">
        <v>680</v>
      </c>
      <c r="E43" s="116" t="s">
        <v>643</v>
      </c>
      <c r="F43" s="117" t="s">
        <v>650</v>
      </c>
      <c r="G43" s="2"/>
    </row>
    <row r="44" spans="1:7" s="89" customFormat="1" x14ac:dyDescent="0.2">
      <c r="A44" s="167">
        <v>44305</v>
      </c>
      <c r="B44" s="204">
        <v>25.01</v>
      </c>
      <c r="C44" s="190"/>
      <c r="D44" s="116" t="s">
        <v>679</v>
      </c>
      <c r="E44" s="116" t="s">
        <v>643</v>
      </c>
      <c r="F44" s="117" t="s">
        <v>170</v>
      </c>
      <c r="G44" s="2"/>
    </row>
    <row r="45" spans="1:7" s="89" customFormat="1" x14ac:dyDescent="0.2">
      <c r="A45" s="167">
        <v>44309</v>
      </c>
      <c r="B45" s="204">
        <v>23.04</v>
      </c>
      <c r="C45" s="190"/>
      <c r="D45" s="116" t="s">
        <v>683</v>
      </c>
      <c r="E45" s="116" t="s">
        <v>643</v>
      </c>
      <c r="F45" s="117" t="s">
        <v>682</v>
      </c>
      <c r="G45" s="2"/>
    </row>
    <row r="46" spans="1:7" s="89" customFormat="1" x14ac:dyDescent="0.2">
      <c r="A46" s="167">
        <v>44318</v>
      </c>
      <c r="B46" s="204">
        <v>15.65</v>
      </c>
      <c r="C46" s="190"/>
      <c r="D46" s="116" t="s">
        <v>683</v>
      </c>
      <c r="E46" s="116" t="s">
        <v>643</v>
      </c>
      <c r="F46" s="117" t="s">
        <v>170</v>
      </c>
      <c r="G46" s="2"/>
    </row>
    <row r="47" spans="1:7" s="89" customFormat="1" x14ac:dyDescent="0.2">
      <c r="A47" s="167">
        <v>44376</v>
      </c>
      <c r="B47" s="204">
        <v>93.91</v>
      </c>
      <c r="C47" s="190"/>
      <c r="D47" s="116" t="s">
        <v>740</v>
      </c>
      <c r="E47" s="116" t="s">
        <v>643</v>
      </c>
      <c r="F47" s="117" t="s">
        <v>361</v>
      </c>
      <c r="G47" s="2"/>
    </row>
    <row r="48" spans="1:7" s="89" customFormat="1" x14ac:dyDescent="0.2">
      <c r="A48" s="167">
        <v>44376</v>
      </c>
      <c r="B48" s="204">
        <v>50.24</v>
      </c>
      <c r="C48" s="190"/>
      <c r="D48" s="116" t="s">
        <v>687</v>
      </c>
      <c r="E48" s="116" t="s">
        <v>645</v>
      </c>
      <c r="F48" s="117" t="s">
        <v>170</v>
      </c>
      <c r="G48" s="2"/>
    </row>
    <row r="49" spans="1:7" s="89" customFormat="1" x14ac:dyDescent="0.2">
      <c r="A49" s="167">
        <v>44376</v>
      </c>
      <c r="B49" s="204">
        <v>118.26</v>
      </c>
      <c r="C49" s="190"/>
      <c r="D49" s="116" t="s">
        <v>690</v>
      </c>
      <c r="E49" s="116" t="s">
        <v>643</v>
      </c>
      <c r="F49" s="117" t="s">
        <v>359</v>
      </c>
      <c r="G49" s="2"/>
    </row>
    <row r="50" spans="1:7" s="89" customFormat="1" x14ac:dyDescent="0.2">
      <c r="A50" s="167">
        <v>44376</v>
      </c>
      <c r="B50" s="204">
        <v>17.39</v>
      </c>
      <c r="C50" s="190"/>
      <c r="D50" s="116" t="s">
        <v>746</v>
      </c>
      <c r="E50" s="116" t="s">
        <v>643</v>
      </c>
      <c r="F50" s="117" t="s">
        <v>361</v>
      </c>
      <c r="G50" s="2"/>
    </row>
    <row r="51" spans="1:7" s="89" customFormat="1" x14ac:dyDescent="0.2">
      <c r="A51" s="167"/>
      <c r="B51" s="193"/>
      <c r="C51" s="111"/>
      <c r="D51" s="116"/>
      <c r="E51" s="116"/>
      <c r="F51" s="117"/>
      <c r="G51" s="2"/>
    </row>
    <row r="52" spans="1:7" s="89" customFormat="1" x14ac:dyDescent="0.2">
      <c r="A52" s="114"/>
      <c r="B52" s="193"/>
      <c r="C52" s="156"/>
      <c r="D52" s="116"/>
      <c r="E52" s="116"/>
      <c r="F52" s="117"/>
      <c r="G52" s="2"/>
    </row>
    <row r="53" spans="1:7" s="89" customFormat="1" ht="11.25" hidden="1" customHeight="1" x14ac:dyDescent="0.2">
      <c r="A53" s="110"/>
      <c r="B53" s="193"/>
      <c r="C53" s="111"/>
      <c r="D53" s="116"/>
      <c r="E53" s="116"/>
      <c r="F53" s="117"/>
      <c r="G53" s="2"/>
    </row>
    <row r="54" spans="1:7" ht="34.5" customHeight="1" x14ac:dyDescent="0.2">
      <c r="A54" s="90" t="s">
        <v>129</v>
      </c>
      <c r="B54" s="194">
        <f>SUM(B11:B53)</f>
        <v>2878.8</v>
      </c>
      <c r="C54" s="102"/>
      <c r="D54" s="123" t="str">
        <f>IF(SUBTOTAL(3,B14:B53)=SUBTOTAL(103,B14:B53),'Summary and sign-off'!$A$47,'Summary and sign-off'!$A$48)</f>
        <v>Check - there are no hidden rows with data</v>
      </c>
      <c r="E54" s="212" t="str">
        <f>IF('Summary and sign-off'!F57='Summary and sign-off'!F53,'Summary and sign-off'!A50,'Summary and sign-off'!A49)</f>
        <v>Check - each entry provides sufficient information</v>
      </c>
      <c r="F54" s="212"/>
      <c r="G54" s="2"/>
    </row>
    <row r="55" spans="1:7" x14ac:dyDescent="0.2">
      <c r="A55" s="23"/>
      <c r="B55" s="195"/>
      <c r="C55" s="22"/>
      <c r="D55" s="22"/>
      <c r="E55" s="22"/>
      <c r="F55" s="22"/>
      <c r="G55" s="40"/>
    </row>
    <row r="56" spans="1:7" x14ac:dyDescent="0.2">
      <c r="A56" s="23" t="s">
        <v>8</v>
      </c>
      <c r="B56" s="196"/>
      <c r="C56" s="24"/>
      <c r="D56" s="29"/>
      <c r="E56" s="22"/>
      <c r="F56" s="22"/>
      <c r="G56" s="40"/>
    </row>
    <row r="57" spans="1:7" ht="12.75" customHeight="1" x14ac:dyDescent="0.2">
      <c r="A57" s="25" t="s">
        <v>160</v>
      </c>
      <c r="B57" s="197"/>
      <c r="C57" s="25"/>
      <c r="D57" s="25"/>
      <c r="E57" s="25"/>
      <c r="F57" s="25"/>
      <c r="G57" s="40"/>
    </row>
    <row r="58" spans="1:7" x14ac:dyDescent="0.2">
      <c r="A58" s="25" t="s">
        <v>159</v>
      </c>
      <c r="B58" s="197"/>
      <c r="C58" s="33"/>
      <c r="D58" s="45"/>
      <c r="E58" s="46"/>
      <c r="F58" s="46"/>
      <c r="G58" s="40"/>
    </row>
    <row r="59" spans="1:7" x14ac:dyDescent="0.2">
      <c r="A59" s="25" t="s">
        <v>157</v>
      </c>
      <c r="B59" s="198"/>
      <c r="C59" s="27"/>
      <c r="D59" s="28"/>
      <c r="E59" s="28"/>
      <c r="F59" s="28"/>
      <c r="G59" s="29"/>
    </row>
    <row r="60" spans="1:7" x14ac:dyDescent="0.2">
      <c r="A60" s="33" t="s">
        <v>13</v>
      </c>
      <c r="B60" s="197"/>
      <c r="C60" s="33"/>
      <c r="D60" s="45"/>
      <c r="E60" s="45"/>
      <c r="F60" s="45"/>
      <c r="G60" s="40"/>
    </row>
    <row r="61" spans="1:7" ht="12.75" customHeight="1" x14ac:dyDescent="0.2">
      <c r="A61" s="33" t="s">
        <v>166</v>
      </c>
      <c r="B61" s="197"/>
      <c r="C61" s="33"/>
      <c r="D61" s="47"/>
      <c r="E61" s="47"/>
      <c r="F61" s="35"/>
      <c r="G61" s="40"/>
    </row>
    <row r="62" spans="1:7" x14ac:dyDescent="0.2">
      <c r="A62" s="22"/>
      <c r="B62" s="195"/>
      <c r="C62" s="22"/>
      <c r="D62" s="22"/>
      <c r="E62" s="22"/>
      <c r="F62" s="22"/>
      <c r="G62" s="40"/>
    </row>
    <row r="63" spans="1:7" x14ac:dyDescent="0.2"/>
    <row r="64" spans="1:7"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7" x14ac:dyDescent="0.2"/>
    <row r="98" x14ac:dyDescent="0.2"/>
    <row r="99"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sheetData>
  <sheetProtection formatCells="0" insertRows="0" deleteRows="0"/>
  <mergeCells count="10">
    <mergeCell ref="E54:F54"/>
    <mergeCell ref="B6:F6"/>
    <mergeCell ref="B5:F5"/>
    <mergeCell ref="A1:F1"/>
    <mergeCell ref="A9:F9"/>
    <mergeCell ref="B2:F2"/>
    <mergeCell ref="B3:F3"/>
    <mergeCell ref="B4:F4"/>
    <mergeCell ref="A8:F8"/>
    <mergeCell ref="B7:F7"/>
  </mergeCells>
  <phoneticPr fontId="36" type="noConversion"/>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39 A41 A43:A53"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B6:F6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B7:F7</xm:sqref>
        </x14:dataValidation>
        <x14:dataValidation type="decimal" operator="greaterThan" allowBlank="1" showInputMessage="1" showErrorMessage="1" error="This cell must contain a dollar figure" xr:uid="{00000000-0002-0000-0300-000004000000}">
          <x14:formula1>
            <xm:f>'Summary and sign-off'!$A$46</xm:f>
          </x14:formula1>
          <xm:sqref>B11:C39 B41:C41 C40 B43:B51 C42:C51 B52:C53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10" zoomScaleNormal="100" workbookViewId="0">
      <selection activeCell="E12" sqref="E12"/>
    </sheetView>
  </sheetViews>
  <sheetFormatPr defaultColWidth="0" defaultRowHeight="12.75" zeroHeight="1" x14ac:dyDescent="0.2"/>
  <cols>
    <col min="1" max="1" width="35.5703125" style="17" customWidth="1"/>
    <col min="2" max="2" width="14.425781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208" t="s">
        <v>6</v>
      </c>
      <c r="B1" s="208"/>
      <c r="C1" s="208"/>
      <c r="D1" s="208"/>
      <c r="E1" s="208"/>
      <c r="F1" s="26"/>
    </row>
    <row r="2" spans="1:6" ht="21" customHeight="1" x14ac:dyDescent="0.2">
      <c r="A2" s="4" t="s">
        <v>2</v>
      </c>
      <c r="B2" s="211" t="str">
        <f>'Summary and sign-off'!B2:F2</f>
        <v>The Department of Conservation</v>
      </c>
      <c r="C2" s="211"/>
      <c r="D2" s="211"/>
      <c r="E2" s="211"/>
      <c r="F2" s="26"/>
    </row>
    <row r="3" spans="1:6" ht="21" customHeight="1" x14ac:dyDescent="0.2">
      <c r="A3" s="4" t="s">
        <v>3</v>
      </c>
      <c r="B3" s="211" t="str">
        <f>'Summary and sign-off'!B3:F3</f>
        <v>Lou Sanson</v>
      </c>
      <c r="C3" s="211"/>
      <c r="D3" s="211"/>
      <c r="E3" s="211"/>
      <c r="F3" s="26"/>
    </row>
    <row r="4" spans="1:6" ht="21" customHeight="1" x14ac:dyDescent="0.2">
      <c r="A4" s="4" t="s">
        <v>77</v>
      </c>
      <c r="B4" s="211">
        <f>'Summary and sign-off'!B4:F4</f>
        <v>44013</v>
      </c>
      <c r="C4" s="211"/>
      <c r="D4" s="211"/>
      <c r="E4" s="211"/>
      <c r="F4" s="26"/>
    </row>
    <row r="5" spans="1:6" ht="21" customHeight="1" x14ac:dyDescent="0.2">
      <c r="A5" s="4" t="s">
        <v>78</v>
      </c>
      <c r="B5" s="211">
        <f>'Summary and sign-off'!B5:F5</f>
        <v>44377</v>
      </c>
      <c r="C5" s="211"/>
      <c r="D5" s="211"/>
      <c r="E5" s="211"/>
      <c r="F5" s="26"/>
    </row>
    <row r="6" spans="1:6" ht="21" customHeight="1" x14ac:dyDescent="0.2">
      <c r="A6" s="4" t="s">
        <v>29</v>
      </c>
      <c r="B6" s="206" t="s">
        <v>28</v>
      </c>
      <c r="C6" s="206"/>
      <c r="D6" s="206"/>
      <c r="E6" s="206"/>
      <c r="F6" s="36"/>
    </row>
    <row r="7" spans="1:6" ht="21" customHeight="1" x14ac:dyDescent="0.2">
      <c r="A7" s="4" t="s">
        <v>104</v>
      </c>
      <c r="B7" s="206" t="s">
        <v>116</v>
      </c>
      <c r="C7" s="206"/>
      <c r="D7" s="206"/>
      <c r="E7" s="206"/>
      <c r="F7" s="36"/>
    </row>
    <row r="8" spans="1:6" ht="35.25" customHeight="1" x14ac:dyDescent="0.2">
      <c r="A8" s="215" t="s">
        <v>0</v>
      </c>
      <c r="B8" s="215"/>
      <c r="C8" s="222"/>
      <c r="D8" s="222"/>
      <c r="E8" s="222"/>
      <c r="F8" s="26"/>
    </row>
    <row r="9" spans="1:6" ht="35.25" customHeight="1" x14ac:dyDescent="0.2">
      <c r="A9" s="223" t="s">
        <v>127</v>
      </c>
      <c r="B9" s="224"/>
      <c r="C9" s="224"/>
      <c r="D9" s="224"/>
      <c r="E9" s="224"/>
      <c r="F9" s="26"/>
    </row>
    <row r="10" spans="1:6" ht="27" customHeight="1" x14ac:dyDescent="0.2">
      <c r="A10" s="37" t="s">
        <v>49</v>
      </c>
      <c r="B10" s="37" t="s">
        <v>31</v>
      </c>
      <c r="C10" s="37" t="s">
        <v>51</v>
      </c>
      <c r="D10" s="37" t="s">
        <v>162</v>
      </c>
      <c r="E10" s="37" t="s">
        <v>76</v>
      </c>
      <c r="F10" s="38"/>
    </row>
    <row r="11" spans="1:6" s="89" customFormat="1" hidden="1" x14ac:dyDescent="0.2">
      <c r="A11" s="110"/>
      <c r="B11" s="111"/>
      <c r="C11" s="116"/>
      <c r="D11" s="116"/>
      <c r="E11" s="117"/>
      <c r="F11" s="3"/>
    </row>
    <row r="12" spans="1:6" s="89" customFormat="1" x14ac:dyDescent="0.2">
      <c r="A12" s="114"/>
      <c r="B12" s="111"/>
      <c r="C12" s="116"/>
      <c r="D12" s="116"/>
      <c r="E12" s="117"/>
      <c r="F12" s="3"/>
    </row>
    <row r="13" spans="1:6" s="89" customFormat="1" x14ac:dyDescent="0.2">
      <c r="A13" s="114"/>
      <c r="B13" s="111"/>
      <c r="C13" s="116"/>
      <c r="D13" s="116"/>
      <c r="E13" s="117"/>
      <c r="F13" s="3"/>
    </row>
    <row r="14" spans="1:6" s="89" customFormat="1" x14ac:dyDescent="0.2">
      <c r="A14" s="114"/>
      <c r="B14" s="111"/>
      <c r="C14" s="116"/>
      <c r="D14" s="116"/>
      <c r="E14" s="117"/>
      <c r="F14" s="3"/>
    </row>
    <row r="15" spans="1:6" s="89" customFormat="1" x14ac:dyDescent="0.2">
      <c r="A15" s="114"/>
      <c r="B15" s="111"/>
      <c r="C15" s="116"/>
      <c r="D15" s="116"/>
      <c r="E15" s="117"/>
      <c r="F15" s="3"/>
    </row>
    <row r="16" spans="1:6" s="89" customFormat="1" x14ac:dyDescent="0.2">
      <c r="A16" s="114"/>
      <c r="B16" s="111"/>
      <c r="C16" s="116"/>
      <c r="D16" s="116"/>
      <c r="E16" s="117"/>
      <c r="F16" s="3"/>
    </row>
    <row r="17" spans="1:6" s="89" customFormat="1" x14ac:dyDescent="0.2">
      <c r="A17" s="114"/>
      <c r="B17" s="111"/>
      <c r="C17" s="116"/>
      <c r="D17" s="116"/>
      <c r="E17" s="117"/>
      <c r="F17" s="3"/>
    </row>
    <row r="18" spans="1:6" s="89" customFormat="1" x14ac:dyDescent="0.2">
      <c r="A18" s="114"/>
      <c r="B18" s="111"/>
      <c r="C18" s="116"/>
      <c r="D18" s="116"/>
      <c r="E18" s="117"/>
      <c r="F18" s="3"/>
    </row>
    <row r="19" spans="1:6" s="89" customFormat="1" x14ac:dyDescent="0.2">
      <c r="A19" s="114"/>
      <c r="B19" s="111"/>
      <c r="C19" s="116"/>
      <c r="D19" s="116"/>
      <c r="E19" s="117"/>
      <c r="F19" s="3"/>
    </row>
    <row r="20" spans="1:6" s="89" customFormat="1" x14ac:dyDescent="0.2">
      <c r="A20" s="114"/>
      <c r="B20" s="111"/>
      <c r="C20" s="116"/>
      <c r="D20" s="116"/>
      <c r="E20" s="117"/>
      <c r="F20" s="3"/>
    </row>
    <row r="21" spans="1:6" s="89" customFormat="1" x14ac:dyDescent="0.2">
      <c r="A21" s="114"/>
      <c r="B21" s="111"/>
      <c r="C21" s="116"/>
      <c r="D21" s="116"/>
      <c r="E21" s="117"/>
      <c r="F21" s="3"/>
    </row>
    <row r="22" spans="1:6" s="89" customFormat="1" x14ac:dyDescent="0.2">
      <c r="A22" s="110"/>
      <c r="B22" s="111"/>
      <c r="C22" s="116"/>
      <c r="D22" s="116"/>
      <c r="E22" s="117"/>
      <c r="F22" s="3"/>
    </row>
    <row r="23" spans="1:6" s="89" customFormat="1" x14ac:dyDescent="0.2">
      <c r="A23" s="110"/>
      <c r="B23" s="111"/>
      <c r="C23" s="116"/>
      <c r="D23" s="116"/>
      <c r="E23" s="117"/>
      <c r="F23" s="3"/>
    </row>
    <row r="24" spans="1:6" s="89" customFormat="1" hidden="1" x14ac:dyDescent="0.2">
      <c r="A24" s="110"/>
      <c r="B24" s="111"/>
      <c r="C24" s="116"/>
      <c r="D24" s="116"/>
      <c r="E24" s="117"/>
      <c r="F24" s="3"/>
    </row>
    <row r="25" spans="1:6" ht="34.5" customHeight="1" x14ac:dyDescent="0.2">
      <c r="A25" s="90" t="s">
        <v>136</v>
      </c>
      <c r="B25" s="102">
        <f>SUM(B11:B24)</f>
        <v>0</v>
      </c>
      <c r="C25" s="123" t="str">
        <f>IF(SUBTOTAL(3,B11:B24)=SUBTOTAL(103,B11:B24),'Summary and sign-off'!$A$47,'Summary and sign-off'!$A$48)</f>
        <v>Check - there are no hidden rows with data</v>
      </c>
      <c r="D25" s="212" t="str">
        <f>IF('Summary and sign-off'!F58='Summary and sign-off'!F53,'Summary and sign-off'!A50,'Summary and sign-off'!A49)</f>
        <v>Check - each entry provides sufficient information</v>
      </c>
      <c r="E25" s="212"/>
      <c r="F25" s="39"/>
    </row>
    <row r="26" spans="1:6" ht="14.1" customHeight="1" x14ac:dyDescent="0.2">
      <c r="A26" s="40"/>
      <c r="B26" s="29"/>
      <c r="C26" s="22"/>
      <c r="D26" s="22"/>
      <c r="E26" s="22"/>
      <c r="F26" s="26"/>
    </row>
    <row r="27" spans="1:6" x14ac:dyDescent="0.2">
      <c r="A27" s="23" t="s">
        <v>7</v>
      </c>
      <c r="B27" s="22"/>
      <c r="C27" s="22"/>
      <c r="D27" s="22"/>
      <c r="E27" s="22"/>
      <c r="F27" s="26"/>
    </row>
    <row r="28" spans="1:6" ht="12.6" customHeight="1" x14ac:dyDescent="0.2">
      <c r="A28" s="25" t="s">
        <v>50</v>
      </c>
      <c r="B28" s="22"/>
      <c r="C28" s="22"/>
      <c r="D28" s="22"/>
      <c r="E28" s="22"/>
      <c r="F28" s="26"/>
    </row>
    <row r="29" spans="1:6" x14ac:dyDescent="0.2">
      <c r="A29" s="25" t="s">
        <v>157</v>
      </c>
      <c r="B29" s="27"/>
      <c r="C29" s="28"/>
      <c r="D29" s="28"/>
      <c r="E29" s="28"/>
      <c r="F29" s="29"/>
    </row>
    <row r="30" spans="1:6" x14ac:dyDescent="0.2">
      <c r="A30" s="33" t="s">
        <v>13</v>
      </c>
      <c r="B30" s="34"/>
      <c r="C30" s="29"/>
      <c r="D30" s="29"/>
      <c r="E30" s="29"/>
      <c r="F30" s="29"/>
    </row>
    <row r="31" spans="1:6" ht="12.75" customHeight="1" x14ac:dyDescent="0.2">
      <c r="A31" s="33" t="s">
        <v>166</v>
      </c>
      <c r="B31" s="41"/>
      <c r="C31" s="35"/>
      <c r="D31" s="35"/>
      <c r="E31" s="35"/>
      <c r="F31" s="35"/>
    </row>
    <row r="32" spans="1:6" x14ac:dyDescent="0.2">
      <c r="A32" s="40"/>
      <c r="B32" s="42"/>
      <c r="C32" s="22"/>
      <c r="D32" s="22"/>
      <c r="E32" s="22"/>
      <c r="F32" s="40"/>
    </row>
    <row r="33" spans="1:6" hidden="1" x14ac:dyDescent="0.2">
      <c r="A33" s="22"/>
      <c r="B33" s="22"/>
      <c r="C33" s="22"/>
      <c r="D33" s="22"/>
      <c r="E33" s="40"/>
    </row>
    <row r="34" spans="1:6" ht="12.75" hidden="1" customHeight="1" x14ac:dyDescent="0.2"/>
    <row r="35" spans="1:6" hidden="1" x14ac:dyDescent="0.2">
      <c r="A35" s="43"/>
      <c r="B35" s="43"/>
      <c r="C35" s="43"/>
      <c r="D35" s="43"/>
      <c r="E35" s="43"/>
      <c r="F35" s="26"/>
    </row>
    <row r="36" spans="1:6" hidden="1" x14ac:dyDescent="0.2">
      <c r="A36" s="43"/>
      <c r="B36" s="43"/>
      <c r="C36" s="43"/>
      <c r="D36" s="43"/>
      <c r="E36" s="43"/>
      <c r="F36" s="26"/>
    </row>
    <row r="37" spans="1:6" hidden="1" x14ac:dyDescent="0.2">
      <c r="A37" s="43"/>
      <c r="B37" s="43"/>
      <c r="C37" s="43"/>
      <c r="D37" s="43"/>
      <c r="E37" s="43"/>
      <c r="F37" s="26"/>
    </row>
    <row r="38" spans="1:6" hidden="1" x14ac:dyDescent="0.2">
      <c r="A38" s="43"/>
      <c r="B38" s="43"/>
      <c r="C38" s="43"/>
      <c r="D38" s="43"/>
      <c r="E38" s="43"/>
      <c r="F38" s="26"/>
    </row>
    <row r="39" spans="1:6" hidden="1" x14ac:dyDescent="0.2">
      <c r="A39" s="43"/>
      <c r="B39" s="43"/>
      <c r="C39" s="43"/>
      <c r="D39" s="43"/>
      <c r="E39" s="43"/>
      <c r="F39" s="26"/>
    </row>
  </sheetData>
  <sheetProtection formatCells="0" insertRows="0" deleteRows="0"/>
  <mergeCells count="10">
    <mergeCell ref="D25:E25"/>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view="pageLayout" zoomScaleNormal="100" workbookViewId="0">
      <selection activeCell="A9" sqref="A9:F9"/>
    </sheetView>
  </sheetViews>
  <sheetFormatPr defaultColWidth="0" defaultRowHeight="12.75" zeroHeight="1" x14ac:dyDescent="0.2"/>
  <cols>
    <col min="1" max="1" width="35.5703125" style="17" customWidth="1"/>
    <col min="2" max="2" width="46.85546875" style="17" customWidth="1"/>
    <col min="3" max="3" width="22.140625" style="17" customWidth="1"/>
    <col min="4" max="4" width="25.42578125" style="17" customWidth="1"/>
    <col min="5" max="6" width="35.570312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208" t="s">
        <v>32</v>
      </c>
      <c r="B1" s="208"/>
      <c r="C1" s="208"/>
      <c r="D1" s="208"/>
      <c r="E1" s="208"/>
      <c r="F1" s="208"/>
    </row>
    <row r="2" spans="1:6" ht="21" customHeight="1" x14ac:dyDescent="0.2">
      <c r="A2" s="4" t="s">
        <v>2</v>
      </c>
      <c r="B2" s="211" t="str">
        <f>'Summary and sign-off'!B2:F2</f>
        <v>The Department of Conservation</v>
      </c>
      <c r="C2" s="211"/>
      <c r="D2" s="211"/>
      <c r="E2" s="211"/>
      <c r="F2" s="211"/>
    </row>
    <row r="3" spans="1:6" ht="21" customHeight="1" x14ac:dyDescent="0.2">
      <c r="A3" s="4" t="s">
        <v>3</v>
      </c>
      <c r="B3" s="211" t="str">
        <f>'Summary and sign-off'!B3:F3</f>
        <v>Lou Sanson</v>
      </c>
      <c r="C3" s="211"/>
      <c r="D3" s="211"/>
      <c r="E3" s="211"/>
      <c r="F3" s="211"/>
    </row>
    <row r="4" spans="1:6" ht="21" customHeight="1" x14ac:dyDescent="0.2">
      <c r="A4" s="4" t="s">
        <v>77</v>
      </c>
      <c r="B4" s="211">
        <f>'Summary and sign-off'!B4:F4</f>
        <v>44013</v>
      </c>
      <c r="C4" s="211"/>
      <c r="D4" s="211"/>
      <c r="E4" s="211"/>
      <c r="F4" s="211"/>
    </row>
    <row r="5" spans="1:6" ht="21" customHeight="1" x14ac:dyDescent="0.2">
      <c r="A5" s="4" t="s">
        <v>78</v>
      </c>
      <c r="B5" s="211">
        <f>'Summary and sign-off'!B5:F5</f>
        <v>44377</v>
      </c>
      <c r="C5" s="211"/>
      <c r="D5" s="211"/>
      <c r="E5" s="211"/>
      <c r="F5" s="211"/>
    </row>
    <row r="6" spans="1:6" ht="21" customHeight="1" x14ac:dyDescent="0.2">
      <c r="A6" s="4" t="s">
        <v>167</v>
      </c>
      <c r="B6" s="206" t="s">
        <v>28</v>
      </c>
      <c r="C6" s="206"/>
      <c r="D6" s="206"/>
      <c r="E6" s="206"/>
      <c r="F6" s="206"/>
    </row>
    <row r="7" spans="1:6" ht="21" customHeight="1" x14ac:dyDescent="0.2">
      <c r="A7" s="4" t="s">
        <v>104</v>
      </c>
      <c r="B7" s="206" t="s">
        <v>116</v>
      </c>
      <c r="C7" s="206"/>
      <c r="D7" s="206"/>
      <c r="E7" s="206"/>
      <c r="F7" s="206"/>
    </row>
    <row r="8" spans="1:6" ht="36" customHeight="1" x14ac:dyDescent="0.2">
      <c r="A8" s="215" t="s">
        <v>52</v>
      </c>
      <c r="B8" s="215"/>
      <c r="C8" s="215"/>
      <c r="D8" s="215"/>
      <c r="E8" s="215"/>
      <c r="F8" s="215"/>
    </row>
    <row r="9" spans="1:6" ht="36" customHeight="1" x14ac:dyDescent="0.2">
      <c r="A9" s="223" t="s">
        <v>134</v>
      </c>
      <c r="B9" s="224"/>
      <c r="C9" s="224"/>
      <c r="D9" s="224"/>
      <c r="E9" s="224"/>
      <c r="F9" s="224"/>
    </row>
    <row r="10" spans="1:6" ht="39" customHeight="1" x14ac:dyDescent="0.2">
      <c r="A10" s="18" t="s">
        <v>49</v>
      </c>
      <c r="B10" s="9" t="s">
        <v>163</v>
      </c>
      <c r="C10" s="9" t="s">
        <v>82</v>
      </c>
      <c r="D10" s="9" t="s">
        <v>33</v>
      </c>
      <c r="E10" s="9" t="s">
        <v>83</v>
      </c>
      <c r="F10" s="9" t="s">
        <v>126</v>
      </c>
    </row>
    <row r="11" spans="1:6" s="89" customFormat="1" hidden="1" x14ac:dyDescent="0.2">
      <c r="A11" s="114"/>
      <c r="B11" s="116"/>
      <c r="C11" s="122"/>
      <c r="D11" s="116"/>
      <c r="E11" s="118"/>
      <c r="F11" s="117"/>
    </row>
    <row r="12" spans="1:6" s="89" customFormat="1" ht="25.5" x14ac:dyDescent="0.2">
      <c r="A12" s="114">
        <v>44051</v>
      </c>
      <c r="B12" s="119" t="s">
        <v>723</v>
      </c>
      <c r="C12" s="122" t="s">
        <v>34</v>
      </c>
      <c r="D12" s="119" t="s">
        <v>700</v>
      </c>
      <c r="E12" s="118">
        <v>200</v>
      </c>
      <c r="F12" s="120" t="s">
        <v>237</v>
      </c>
    </row>
    <row r="13" spans="1:6" s="89" customFormat="1" x14ac:dyDescent="0.2">
      <c r="A13" s="114">
        <v>44107</v>
      </c>
      <c r="B13" s="119" t="s">
        <v>279</v>
      </c>
      <c r="C13" s="122" t="s">
        <v>36</v>
      </c>
      <c r="D13" s="119" t="s">
        <v>701</v>
      </c>
      <c r="E13" s="118">
        <v>200</v>
      </c>
      <c r="F13" s="120"/>
    </row>
    <row r="14" spans="1:6" s="89" customFormat="1" ht="25.5" x14ac:dyDescent="0.2">
      <c r="A14" s="114">
        <v>44244</v>
      </c>
      <c r="B14" s="119" t="s">
        <v>573</v>
      </c>
      <c r="C14" s="122" t="s">
        <v>34</v>
      </c>
      <c r="D14" s="119" t="s">
        <v>574</v>
      </c>
      <c r="E14" s="118">
        <v>1000</v>
      </c>
      <c r="F14" s="120"/>
    </row>
    <row r="15" spans="1:6" s="89" customFormat="1" x14ac:dyDescent="0.2">
      <c r="A15" s="114">
        <v>44346</v>
      </c>
      <c r="B15" s="119" t="s">
        <v>622</v>
      </c>
      <c r="C15" s="122" t="s">
        <v>34</v>
      </c>
      <c r="D15" s="119" t="s">
        <v>623</v>
      </c>
      <c r="E15" s="118">
        <v>1000</v>
      </c>
      <c r="F15" s="120" t="s">
        <v>724</v>
      </c>
    </row>
    <row r="16" spans="1:6" s="89" customFormat="1" x14ac:dyDescent="0.2">
      <c r="A16" s="114"/>
      <c r="B16" s="119"/>
      <c r="C16" s="122"/>
      <c r="D16" s="119"/>
      <c r="E16" s="118"/>
      <c r="F16" s="120"/>
    </row>
    <row r="17" spans="1:7" s="89" customFormat="1" x14ac:dyDescent="0.2">
      <c r="A17" s="114"/>
      <c r="B17" s="119"/>
      <c r="C17" s="122"/>
      <c r="D17" s="119"/>
      <c r="E17" s="118"/>
      <c r="F17" s="120"/>
    </row>
    <row r="18" spans="1:7" s="89" customFormat="1" x14ac:dyDescent="0.2">
      <c r="A18" s="114"/>
      <c r="B18" s="119"/>
      <c r="C18" s="122"/>
      <c r="D18" s="119"/>
      <c r="E18" s="118"/>
      <c r="F18" s="120"/>
    </row>
    <row r="19" spans="1:7" s="89" customFormat="1" x14ac:dyDescent="0.2">
      <c r="A19" s="114"/>
      <c r="B19" s="119"/>
      <c r="C19" s="122"/>
      <c r="D19" s="119"/>
      <c r="E19" s="118"/>
      <c r="F19" s="120"/>
    </row>
    <row r="20" spans="1:7" s="89" customFormat="1" x14ac:dyDescent="0.2">
      <c r="A20" s="114"/>
      <c r="B20" s="119"/>
      <c r="C20" s="122"/>
      <c r="D20" s="119"/>
      <c r="E20" s="118"/>
      <c r="F20" s="120"/>
    </row>
    <row r="21" spans="1:7" s="89" customFormat="1" x14ac:dyDescent="0.2">
      <c r="A21" s="114"/>
      <c r="B21" s="119"/>
      <c r="C21" s="122"/>
      <c r="D21" s="119"/>
      <c r="E21" s="118"/>
      <c r="F21" s="120"/>
    </row>
    <row r="22" spans="1:7" s="89" customFormat="1" x14ac:dyDescent="0.2">
      <c r="A22" s="114"/>
      <c r="B22" s="119"/>
      <c r="C22" s="122"/>
      <c r="D22" s="119"/>
      <c r="E22" s="118"/>
      <c r="F22" s="120"/>
    </row>
    <row r="23" spans="1:7" s="89" customFormat="1" hidden="1" x14ac:dyDescent="0.2">
      <c r="A23" s="114"/>
      <c r="B23" s="116"/>
      <c r="C23" s="122"/>
      <c r="D23" s="116"/>
      <c r="E23" s="118"/>
      <c r="F23" s="117"/>
    </row>
    <row r="24" spans="1:7" ht="34.5" customHeight="1" x14ac:dyDescent="0.2">
      <c r="A24" s="91" t="s">
        <v>164</v>
      </c>
      <c r="B24" s="92" t="s">
        <v>35</v>
      </c>
      <c r="C24" s="93">
        <f>C25+C26</f>
        <v>4</v>
      </c>
      <c r="D24" s="131" t="str">
        <f>IF(SUBTOTAL(3,C11:C23)=SUBTOTAL(103,C11:C23),'Summary and sign-off'!$A$47,'Summary and sign-off'!$A$48)</f>
        <v>Check - there are no hidden rows with data</v>
      </c>
      <c r="E24" s="225" t="str">
        <f>IF('Summary and sign-off'!F59='Summary and sign-off'!F53,'Summary and sign-off'!A51,'Summary and sign-off'!A49)</f>
        <v>Check - each entry provides sufficient information</v>
      </c>
      <c r="F24" s="225"/>
      <c r="G24" s="89"/>
    </row>
    <row r="25" spans="1:7" ht="25.5" customHeight="1" x14ac:dyDescent="0.25">
      <c r="A25" s="94"/>
      <c r="B25" s="95" t="s">
        <v>36</v>
      </c>
      <c r="C25" s="96">
        <f>COUNTIF(C11:C23,'Summary and sign-off'!A44)</f>
        <v>1</v>
      </c>
      <c r="D25" s="19"/>
      <c r="E25" s="20"/>
      <c r="F25" s="21"/>
    </row>
    <row r="26" spans="1:7" ht="25.5" customHeight="1" x14ac:dyDescent="0.25">
      <c r="A26" s="94"/>
      <c r="B26" s="95" t="s">
        <v>34</v>
      </c>
      <c r="C26" s="96">
        <f>COUNTIF(C11:C23,'Summary and sign-off'!A45)</f>
        <v>3</v>
      </c>
      <c r="D26" s="19"/>
      <c r="E26" s="20"/>
      <c r="F26" s="21"/>
    </row>
    <row r="27" spans="1:7" x14ac:dyDescent="0.2">
      <c r="A27" s="22"/>
      <c r="B27" s="23"/>
      <c r="C27" s="22"/>
      <c r="D27" s="24"/>
      <c r="E27" s="24"/>
      <c r="F27" s="22"/>
    </row>
    <row r="28" spans="1:7" x14ac:dyDescent="0.2">
      <c r="A28" s="23" t="s">
        <v>7</v>
      </c>
      <c r="B28" s="23"/>
      <c r="C28" s="23"/>
      <c r="D28" s="23"/>
      <c r="E28" s="23"/>
      <c r="F28" s="23"/>
    </row>
    <row r="29" spans="1:7" ht="12.6" customHeight="1" x14ac:dyDescent="0.2">
      <c r="A29" s="25" t="s">
        <v>50</v>
      </c>
      <c r="B29" s="22"/>
      <c r="C29" s="22"/>
      <c r="D29" s="22"/>
      <c r="E29" s="22"/>
      <c r="F29" s="26"/>
    </row>
    <row r="30" spans="1:7" x14ac:dyDescent="0.2">
      <c r="A30" s="25" t="s">
        <v>157</v>
      </c>
      <c r="B30" s="27"/>
      <c r="C30" s="28"/>
      <c r="D30" s="28"/>
      <c r="E30" s="28"/>
      <c r="F30" s="29"/>
    </row>
    <row r="31" spans="1:7" x14ac:dyDescent="0.2">
      <c r="A31" s="25" t="s">
        <v>15</v>
      </c>
      <c r="B31" s="30"/>
      <c r="C31" s="30"/>
      <c r="D31" s="30"/>
      <c r="E31" s="30"/>
      <c r="F31" s="30"/>
    </row>
    <row r="32" spans="1:7" ht="12.75" customHeight="1" x14ac:dyDescent="0.2">
      <c r="A32" s="25" t="s">
        <v>93</v>
      </c>
      <c r="B32" s="22"/>
      <c r="C32" s="22"/>
      <c r="D32" s="22"/>
      <c r="E32" s="22"/>
      <c r="F32" s="22"/>
    </row>
    <row r="33" spans="1:6" ht="12.95" customHeight="1" x14ac:dyDescent="0.2">
      <c r="A33" s="31" t="s">
        <v>37</v>
      </c>
      <c r="B33" s="32"/>
      <c r="C33" s="32"/>
      <c r="D33" s="32"/>
      <c r="E33" s="32"/>
      <c r="F33" s="32"/>
    </row>
    <row r="34" spans="1:6" x14ac:dyDescent="0.2">
      <c r="A34" s="33" t="s">
        <v>53</v>
      </c>
      <c r="B34" s="34"/>
      <c r="C34" s="29"/>
      <c r="D34" s="29"/>
      <c r="E34" s="29"/>
      <c r="F34" s="29"/>
    </row>
    <row r="35" spans="1:6" ht="12.75" customHeight="1" x14ac:dyDescent="0.2">
      <c r="A35" s="33" t="s">
        <v>166</v>
      </c>
      <c r="B35" s="25"/>
      <c r="C35" s="35"/>
      <c r="D35" s="35"/>
      <c r="E35" s="35"/>
      <c r="F35" s="35"/>
    </row>
    <row r="36" spans="1:6" ht="12.75" customHeight="1" x14ac:dyDescent="0.2">
      <c r="A36" s="25"/>
      <c r="B36" s="25"/>
      <c r="C36" s="35"/>
      <c r="D36" s="35"/>
      <c r="E36" s="35"/>
      <c r="F36" s="35"/>
    </row>
    <row r="37" spans="1:6" ht="12.75" hidden="1" customHeight="1" x14ac:dyDescent="0.2">
      <c r="A37" s="25"/>
      <c r="B37" s="25"/>
      <c r="C37" s="35"/>
      <c r="D37" s="35"/>
      <c r="E37" s="35"/>
      <c r="F37" s="35"/>
    </row>
    <row r="40" spans="1:6" hidden="1" x14ac:dyDescent="0.2">
      <c r="A40" s="23"/>
      <c r="B40" s="23"/>
      <c r="C40" s="23"/>
      <c r="D40" s="23"/>
      <c r="E40" s="23"/>
      <c r="F40" s="23"/>
    </row>
    <row r="41" spans="1:6" hidden="1" x14ac:dyDescent="0.2">
      <c r="A41" s="23"/>
      <c r="B41" s="23"/>
      <c r="C41" s="23"/>
      <c r="D41" s="23"/>
      <c r="E41" s="23"/>
      <c r="F41" s="23"/>
    </row>
    <row r="42" spans="1:6" hidden="1" x14ac:dyDescent="0.2">
      <c r="A42" s="23"/>
      <c r="B42" s="23"/>
      <c r="C42" s="23"/>
      <c r="D42" s="23"/>
      <c r="E42" s="23"/>
      <c r="F42" s="23"/>
    </row>
    <row r="43" spans="1:6" hidden="1" x14ac:dyDescent="0.2">
      <c r="A43" s="23"/>
      <c r="B43" s="23"/>
      <c r="C43" s="23"/>
      <c r="D43" s="23"/>
      <c r="E43" s="23"/>
      <c r="F43" s="23"/>
    </row>
    <row r="44" spans="1:6" hidden="1" x14ac:dyDescent="0.2">
      <c r="A44" s="23"/>
      <c r="B44" s="23"/>
      <c r="C44" s="23"/>
      <c r="D44" s="23"/>
      <c r="E44" s="23"/>
      <c r="F44" s="23"/>
    </row>
    <row r="65" x14ac:dyDescent="0.2"/>
  </sheetData>
  <sheetProtection formatCells="0" insertRows="0" deleteRows="0"/>
  <mergeCells count="10">
    <mergeCell ref="E24:F24"/>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3"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sign-off'!$A$44:$A$45</xm:f>
          </x14:formula1>
          <xm:sqref>C11:C23</xm:sqref>
        </x14:dataValidation>
        <x14:dataValidation type="list" errorStyle="information" operator="greaterThan" allowBlank="1" showInputMessage="1" prompt="Provide specific $ value if possible" xr:uid="{00000000-0002-0000-0500-000003000000}">
          <x14:formula1>
            <xm:f>'Summary and sign-off'!$A$38:$A$43</xm:f>
          </x14:formula1>
          <xm:sqref>E11:E23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zoomScale="85" zoomScaleNormal="85" workbookViewId="0">
      <selection activeCell="A4" sqref="A4"/>
    </sheetView>
  </sheetViews>
  <sheetFormatPr defaultColWidth="0" defaultRowHeight="14.25" zeroHeight="1" x14ac:dyDescent="0.2"/>
  <cols>
    <col min="1" max="1" width="219.42578125" style="72" customWidth="1"/>
    <col min="2" max="2" width="33.42578125" style="71" customWidth="1"/>
    <col min="3" max="16384" width="8.5703125" style="17" hidden="1"/>
  </cols>
  <sheetData>
    <row r="1" spans="1:2" ht="23.25" customHeight="1" x14ac:dyDescent="0.2">
      <c r="A1" s="70" t="s">
        <v>86</v>
      </c>
    </row>
    <row r="2" spans="1:2" ht="33" customHeight="1" x14ac:dyDescent="0.2">
      <c r="A2" s="155" t="s">
        <v>119</v>
      </c>
    </row>
    <row r="3" spans="1:2" ht="17.25" customHeight="1" x14ac:dyDescent="0.2"/>
    <row r="4" spans="1:2" ht="23.25" customHeight="1" x14ac:dyDescent="0.2">
      <c r="A4" s="115" t="s">
        <v>124</v>
      </c>
    </row>
    <row r="5" spans="1:2" ht="17.25" customHeight="1" x14ac:dyDescent="0.2"/>
    <row r="6" spans="1:2" ht="23.25" customHeight="1" x14ac:dyDescent="0.2">
      <c r="A6" s="73" t="s">
        <v>14</v>
      </c>
    </row>
    <row r="7" spans="1:2" ht="17.25" customHeight="1" x14ac:dyDescent="0.2">
      <c r="A7" s="74" t="s">
        <v>16</v>
      </c>
    </row>
    <row r="8" spans="1:2" ht="17.25" customHeight="1" x14ac:dyDescent="0.2">
      <c r="A8" s="75" t="s">
        <v>90</v>
      </c>
    </row>
    <row r="9" spans="1:2" ht="17.25" customHeight="1" x14ac:dyDescent="0.2">
      <c r="A9" s="75"/>
    </row>
    <row r="10" spans="1:2" ht="23.25" customHeight="1" x14ac:dyDescent="0.2">
      <c r="A10" s="73" t="s">
        <v>17</v>
      </c>
      <c r="B10" s="121" t="s">
        <v>128</v>
      </c>
    </row>
    <row r="11" spans="1:2" ht="17.25" customHeight="1" x14ac:dyDescent="0.2">
      <c r="A11" s="76" t="s">
        <v>27</v>
      </c>
    </row>
    <row r="12" spans="1:2" ht="17.25" customHeight="1" x14ac:dyDescent="0.2">
      <c r="A12" s="75" t="s">
        <v>18</v>
      </c>
    </row>
    <row r="13" spans="1:2" ht="17.25" customHeight="1" x14ac:dyDescent="0.2">
      <c r="A13" s="75" t="s">
        <v>19</v>
      </c>
    </row>
    <row r="14" spans="1:2" ht="17.25" customHeight="1" x14ac:dyDescent="0.2">
      <c r="A14" s="77" t="s">
        <v>20</v>
      </c>
    </row>
    <row r="15" spans="1:2" ht="17.25" customHeight="1" x14ac:dyDescent="0.2">
      <c r="A15" s="75" t="s">
        <v>21</v>
      </c>
    </row>
    <row r="16" spans="1:2" ht="17.25" customHeight="1" x14ac:dyDescent="0.2">
      <c r="A16" s="75"/>
    </row>
    <row r="17" spans="1:1" ht="23.25" customHeight="1" x14ac:dyDescent="0.2">
      <c r="A17" s="73" t="s">
        <v>22</v>
      </c>
    </row>
    <row r="18" spans="1:1" ht="17.25" customHeight="1" x14ac:dyDescent="0.2">
      <c r="A18" s="77" t="s">
        <v>10</v>
      </c>
    </row>
    <row r="19" spans="1:1" ht="17.25" customHeight="1" x14ac:dyDescent="0.2">
      <c r="A19" s="77" t="s">
        <v>26</v>
      </c>
    </row>
    <row r="20" spans="1:1" ht="17.25" customHeight="1" x14ac:dyDescent="0.2">
      <c r="A20" s="106" t="s">
        <v>118</v>
      </c>
    </row>
    <row r="21" spans="1:1" ht="17.25" customHeight="1" x14ac:dyDescent="0.2">
      <c r="A21" s="78"/>
    </row>
    <row r="22" spans="1:1" ht="23.25" customHeight="1" x14ac:dyDescent="0.2">
      <c r="A22" s="73" t="s">
        <v>11</v>
      </c>
    </row>
    <row r="23" spans="1:1" ht="17.25" customHeight="1" x14ac:dyDescent="0.2">
      <c r="A23" s="78" t="s">
        <v>85</v>
      </c>
    </row>
    <row r="24" spans="1:1" ht="17.25" customHeight="1" x14ac:dyDescent="0.2">
      <c r="A24" s="78"/>
    </row>
    <row r="25" spans="1:1" ht="23.25" customHeight="1" x14ac:dyDescent="0.2">
      <c r="A25" s="73" t="s">
        <v>54</v>
      </c>
    </row>
    <row r="26" spans="1:1" ht="17.25" customHeight="1" x14ac:dyDescent="0.2">
      <c r="A26" s="79" t="s">
        <v>60</v>
      </c>
    </row>
    <row r="27" spans="1:1" ht="32.25" customHeight="1" x14ac:dyDescent="0.2">
      <c r="A27" s="77" t="s">
        <v>112</v>
      </c>
    </row>
    <row r="28" spans="1:1" ht="17.25" customHeight="1" x14ac:dyDescent="0.2">
      <c r="A28" s="79" t="s">
        <v>55</v>
      </c>
    </row>
    <row r="29" spans="1:1" ht="32.25" customHeight="1" x14ac:dyDescent="0.2">
      <c r="A29" s="77" t="s">
        <v>150</v>
      </c>
    </row>
    <row r="30" spans="1:1" ht="17.25" customHeight="1" x14ac:dyDescent="0.2">
      <c r="A30" s="79" t="s">
        <v>12</v>
      </c>
    </row>
    <row r="31" spans="1:1" ht="17.25" customHeight="1" x14ac:dyDescent="0.2">
      <c r="A31" s="77" t="s">
        <v>56</v>
      </c>
    </row>
    <row r="32" spans="1:1" ht="17.25" customHeight="1" x14ac:dyDescent="0.2">
      <c r="A32" s="79" t="s">
        <v>57</v>
      </c>
    </row>
    <row r="33" spans="1:1" ht="32.25" customHeight="1" x14ac:dyDescent="0.2">
      <c r="A33" s="80" t="s">
        <v>58</v>
      </c>
    </row>
    <row r="34" spans="1:1" ht="32.25" customHeight="1" x14ac:dyDescent="0.2">
      <c r="A34" s="81" t="s">
        <v>23</v>
      </c>
    </row>
    <row r="35" spans="1:1" ht="17.25" customHeight="1" x14ac:dyDescent="0.2">
      <c r="A35" s="79" t="s">
        <v>47</v>
      </c>
    </row>
    <row r="36" spans="1:1" ht="32.25" customHeight="1" x14ac:dyDescent="0.2">
      <c r="A36" s="77" t="s">
        <v>130</v>
      </c>
    </row>
    <row r="37" spans="1:1" ht="32.25" customHeight="1" x14ac:dyDescent="0.2">
      <c r="A37" s="80" t="s">
        <v>25</v>
      </c>
    </row>
    <row r="38" spans="1:1" ht="32.25" customHeight="1" x14ac:dyDescent="0.2">
      <c r="A38" s="77" t="s">
        <v>61</v>
      </c>
    </row>
    <row r="39" spans="1:1" ht="17.25" customHeight="1" x14ac:dyDescent="0.2">
      <c r="A39" s="81"/>
    </row>
    <row r="40" spans="1:1" ht="22.5" customHeight="1" x14ac:dyDescent="0.2">
      <c r="A40" s="73" t="s">
        <v>5</v>
      </c>
    </row>
    <row r="41" spans="1:1" ht="17.25" customHeight="1" x14ac:dyDescent="0.2">
      <c r="A41" s="86" t="s">
        <v>120</v>
      </c>
    </row>
    <row r="42" spans="1:1" ht="17.25" customHeight="1" x14ac:dyDescent="0.2">
      <c r="A42" s="82" t="s">
        <v>68</v>
      </c>
    </row>
    <row r="43" spans="1:1" ht="17.25" customHeight="1" x14ac:dyDescent="0.2">
      <c r="A43" s="83" t="s">
        <v>131</v>
      </c>
    </row>
    <row r="44" spans="1:1" ht="32.25" customHeight="1" x14ac:dyDescent="0.2">
      <c r="A44" s="83" t="s">
        <v>103</v>
      </c>
    </row>
    <row r="45" spans="1:1" ht="32.25" customHeight="1" x14ac:dyDescent="0.2">
      <c r="A45" s="83" t="s">
        <v>69</v>
      </c>
    </row>
    <row r="46" spans="1:1" ht="17.25" customHeight="1" x14ac:dyDescent="0.2">
      <c r="A46" s="84" t="s">
        <v>132</v>
      </c>
    </row>
    <row r="47" spans="1:1" ht="32.25" customHeight="1" x14ac:dyDescent="0.2">
      <c r="A47" s="80" t="s">
        <v>70</v>
      </c>
    </row>
    <row r="48" spans="1:1" ht="32.25" customHeight="1" x14ac:dyDescent="0.2">
      <c r="A48" s="80" t="s">
        <v>62</v>
      </c>
    </row>
    <row r="49" spans="1:1" ht="32.25" customHeight="1" x14ac:dyDescent="0.2">
      <c r="A49" s="83" t="s">
        <v>151</v>
      </c>
    </row>
    <row r="50" spans="1:1" ht="17.25" customHeight="1" x14ac:dyDescent="0.2">
      <c r="A50" s="83" t="s">
        <v>71</v>
      </c>
    </row>
    <row r="51" spans="1:1" ht="17.25" customHeight="1" x14ac:dyDescent="0.2">
      <c r="A51" s="83" t="s">
        <v>24</v>
      </c>
    </row>
    <row r="52" spans="1:1" ht="17.25" customHeight="1" x14ac:dyDescent="0.2">
      <c r="A52" s="83"/>
    </row>
    <row r="53" spans="1:1" ht="22.5" customHeight="1" x14ac:dyDescent="0.2">
      <c r="A53" s="73" t="s">
        <v>59</v>
      </c>
    </row>
    <row r="54" spans="1:1" ht="32.25" customHeight="1" x14ac:dyDescent="0.2">
      <c r="A54" s="155" t="s">
        <v>121</v>
      </c>
    </row>
    <row r="55" spans="1:1" ht="17.25" customHeight="1" x14ac:dyDescent="0.2">
      <c r="A55" s="85" t="s">
        <v>122</v>
      </c>
    </row>
    <row r="56" spans="1:1" ht="17.25" customHeight="1" x14ac:dyDescent="0.2">
      <c r="A56" s="86" t="s">
        <v>75</v>
      </c>
    </row>
    <row r="57" spans="1:1" ht="17.25" customHeight="1" x14ac:dyDescent="0.2">
      <c r="A57" s="106" t="s">
        <v>123</v>
      </c>
    </row>
    <row r="58" spans="1:1" ht="17.25" customHeight="1" x14ac:dyDescent="0.2">
      <c r="A58" s="87" t="s">
        <v>74</v>
      </c>
    </row>
    <row r="59" spans="1:1" x14ac:dyDescent="0.2"/>
    <row r="61" spans="1:1" hidden="1" x14ac:dyDescent="0.2">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customProperties>
    <customPr name="_pios_id" r:id="rId10"/>
  </customProperties>
  <legacy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terms/"/>
    <ds:schemaRef ds:uri="http://schemas.microsoft.com/office/2006/documentManagement/types"/>
    <ds:schemaRef ds:uri="12165527-d881-4234-97f9-ee139a3f0c31"/>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Line items</vt:lpstr>
      <vt:lpstr>Notes on how to update</vt:lpstr>
      <vt:lpstr>Summary and sign-off</vt:lpstr>
      <vt:lpstr>Travel</vt:lpstr>
      <vt:lpstr>Hospitality</vt:lpstr>
      <vt:lpstr>All other expenses</vt:lpstr>
      <vt:lpstr>Gifts and benefits</vt:lpstr>
      <vt:lpstr>Guidance for agencies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 2017 - Jun 2018: Director-General's expenses, gifts and hospitality</dc:title>
  <dc:creator>Melissa Reid</dc:creator>
  <cp:keywords>Jul 2020 - Jun 2021: Director-General's expenses, gifts and hospitality</cp:keywords>
  <dc:description>Version 7 - for review by SIT - ready 2/10/18</dc:description>
  <cp:lastModifiedBy>Melissa Reid</cp:lastModifiedBy>
  <cp:lastPrinted>2021-07-20T02:59:08Z</cp:lastPrinted>
  <dcterms:created xsi:type="dcterms:W3CDTF">2010-10-17T20:59:02Z</dcterms:created>
  <dcterms:modified xsi:type="dcterms:W3CDTF">2021-07-29T02:32:32Z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DISdDocName">
    <vt:lpwstr>DOC-5979595</vt:lpwstr>
  </property>
  <property fmtid="{D5CDD505-2E9C-101B-9397-08002B2CF9AE}" pid="8" name="DISProperties">
    <vt:lpwstr>DISdDocName,DIScgiUrl,DISdUser,DISdID,DISidcName,DISTaskPaneUrl</vt:lpwstr>
  </property>
  <property fmtid="{D5CDD505-2E9C-101B-9397-08002B2CF9AE}" pid="9" name="DIScgiUrl">
    <vt:lpwstr>https://doccm.doc.govt.nz/cs/idcplg</vt:lpwstr>
  </property>
  <property fmtid="{D5CDD505-2E9C-101B-9397-08002B2CF9AE}" pid="10" name="DISdUser">
    <vt:lpwstr>mreid</vt:lpwstr>
  </property>
  <property fmtid="{D5CDD505-2E9C-101B-9397-08002B2CF9AE}" pid="11" name="DISdID">
    <vt:lpwstr>6508580</vt:lpwstr>
  </property>
  <property fmtid="{D5CDD505-2E9C-101B-9397-08002B2CF9AE}" pid="12" name="DISidcName">
    <vt:lpwstr>docprd12con116200</vt:lpwstr>
  </property>
  <property fmtid="{D5CDD505-2E9C-101B-9397-08002B2CF9AE}" pid="13" name="DISTaskPaneUrl">
    <vt:lpwstr>https://doccm.doc.govt.nz/cs/idcplg?IdcService=DESKTOP_DOC_INFO&amp;dDocName=DOC-5979595&amp;dID=6508580&amp;ClientControlled=DocMan,taskpane&amp;coreContentOnly=1</vt:lpwstr>
  </property>
</Properties>
</file>