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efaultThemeVersion="124226"/>
  <mc:AlternateContent xmlns:mc="http://schemas.openxmlformats.org/markup-compatibility/2006">
    <mc:Choice Requires="x15">
      <x15ac:absPath xmlns:x15ac="http://schemas.microsoft.com/office/spreadsheetml/2010/11/ac" url="D:\Users\mreid\Desktop\apdfs\"/>
    </mc:Choice>
  </mc:AlternateContent>
  <xr:revisionPtr revIDLastSave="0" documentId="8_{68375EC3-0A3C-4E87-9FDC-F6115CDFA466}" xr6:coauthVersionLast="43" xr6:coauthVersionMax="43" xr10:uidLastSave="{00000000-0000-0000-0000-000000000000}"/>
  <bookViews>
    <workbookView xWindow="30612" yWindow="-108" windowWidth="30936" windowHeight="17496" xr2:uid="{00000000-000D-0000-FFFF-FFFF00000000}"/>
  </bookViews>
  <sheets>
    <sheet name="Summary and sign-off" sheetId="13" r:id="rId1"/>
    <sheet name="Travel" sheetId="1" r:id="rId2"/>
    <sheet name="Hospitality" sheetId="2" r:id="rId3"/>
    <sheet name="All other expenses" sheetId="3" r:id="rId4"/>
    <sheet name="Guidance for agencies" sheetId="5" r:id="rId5"/>
    <sheet name="Gifts and benefits" sheetId="4" r:id="rId6"/>
  </sheets>
  <definedNames>
    <definedName name="_xlnm.Print_Area" localSheetId="3">'All other expenses'!$A$1:$E$31</definedName>
    <definedName name="_xlnm.Print_Area" localSheetId="5">'Gifts and benefits'!$A$1:$F$36</definedName>
    <definedName name="_xlnm.Print_Area" localSheetId="4">'Guidance for agencies'!$A$1:$A$58</definedName>
    <definedName name="_xlnm.Print_Area" localSheetId="2">Hospitality!$A$1:$E$36</definedName>
    <definedName name="_xlnm.Print_Area" localSheetId="0">'Summary and sign-off'!$A$1:$F$23</definedName>
    <definedName name="_xlnm.Print_Area" localSheetId="1">Travel!$A$1:$E$125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6" i="1" l="1"/>
  <c r="B76" i="1" l="1"/>
  <c r="B62" i="1"/>
  <c r="B50" i="1"/>
  <c r="B85" i="1"/>
  <c r="B69" i="1"/>
  <c r="B55" i="1"/>
  <c r="B46" i="1"/>
  <c r="B41" i="1"/>
  <c r="B29" i="1" l="1"/>
  <c r="B33" i="1"/>
  <c r="B30" i="1"/>
  <c r="B28" i="1"/>
  <c r="B27" i="1"/>
  <c r="B26" i="1"/>
  <c r="B24" i="1"/>
  <c r="B75" i="1"/>
  <c r="B66" i="1"/>
  <c r="B17" i="1" l="1"/>
  <c r="B14" i="1"/>
  <c r="B15" i="1"/>
  <c r="B88" i="1" l="1"/>
  <c r="B89" i="1"/>
  <c r="B96" i="1"/>
  <c r="B90" i="1"/>
  <c r="B65" i="1"/>
  <c r="B79" i="1"/>
  <c r="B80" i="1"/>
  <c r="B77" i="1"/>
  <c r="B74" i="1"/>
  <c r="B71" i="1"/>
  <c r="B60" i="1" l="1"/>
  <c r="B40" i="1"/>
  <c r="B64" i="1"/>
  <c r="B63" i="1"/>
  <c r="B61" i="1"/>
  <c r="B57" i="1"/>
  <c r="B56" i="1"/>
  <c r="B49" i="1"/>
  <c r="B39" i="1"/>
  <c r="B38" i="1"/>
  <c r="B35" i="1"/>
  <c r="B32" i="1"/>
  <c r="B44" i="1"/>
  <c r="B45" i="1"/>
  <c r="B12" i="2"/>
  <c r="B98" i="1" l="1"/>
  <c r="B97" i="1"/>
  <c r="B94" i="1"/>
  <c r="B95" i="1" l="1"/>
  <c r="B93" i="1"/>
  <c r="B92" i="1"/>
  <c r="B84" i="1"/>
  <c r="B91" i="1"/>
  <c r="B87" i="1"/>
  <c r="B72" i="1"/>
  <c r="B86" i="1"/>
  <c r="B83" i="1"/>
  <c r="B82" i="1"/>
  <c r="B81" i="1"/>
  <c r="B70" i="1"/>
  <c r="B78" i="1"/>
  <c r="B73" i="1"/>
  <c r="B59" i="1" l="1"/>
  <c r="B58" i="1"/>
  <c r="B54" i="1"/>
  <c r="B53" i="1"/>
  <c r="B51" i="1"/>
  <c r="B52" i="1"/>
  <c r="B48" i="1"/>
  <c r="B47" i="1"/>
  <c r="B37" i="1"/>
  <c r="B43" i="1"/>
  <c r="B42" i="1"/>
  <c r="B34" i="1" l="1"/>
  <c r="B31" i="1"/>
  <c r="B25" i="1"/>
  <c r="B16" i="1" l="1"/>
  <c r="B13" i="1"/>
  <c r="A14" i="2" l="1"/>
  <c r="A15" i="2" s="1"/>
  <c r="A16" i="2" s="1"/>
  <c r="A17" i="2" s="1"/>
  <c r="A18" i="2" s="1"/>
  <c r="A17" i="4" l="1"/>
  <c r="D25" i="4" l="1"/>
  <c r="C25" i="3"/>
  <c r="C29" i="2"/>
  <c r="C100" i="1"/>
  <c r="C114" i="1"/>
  <c r="C19" i="1"/>
  <c r="B6" i="13" l="1"/>
  <c r="E59" i="13"/>
  <c r="C59" i="13"/>
  <c r="C27" i="4"/>
  <c r="C26" i="4"/>
  <c r="B59" i="13" l="1"/>
  <c r="B58" i="13"/>
  <c r="D58" i="13"/>
  <c r="B57" i="13"/>
  <c r="D57" i="13"/>
  <c r="D56" i="13"/>
  <c r="B56" i="13"/>
  <c r="D55" i="13"/>
  <c r="B55" i="13"/>
  <c r="D54" i="13"/>
  <c r="B54" i="13"/>
  <c r="B2" i="4"/>
  <c r="B3" i="4"/>
  <c r="B2" i="3"/>
  <c r="B3" i="3"/>
  <c r="B2" i="2"/>
  <c r="B3" i="2"/>
  <c r="B2" i="1"/>
  <c r="B3" i="1"/>
  <c r="F57" i="13" l="1"/>
  <c r="D29" i="2" s="1"/>
  <c r="F59" i="13"/>
  <c r="E25" i="4" s="1"/>
  <c r="F58" i="13"/>
  <c r="D25" i="3" s="1"/>
  <c r="F56" i="13"/>
  <c r="D114" i="1" s="1"/>
  <c r="F55" i="13"/>
  <c r="D100" i="1" s="1"/>
  <c r="F54" i="13"/>
  <c r="D19" i="1" s="1"/>
  <c r="C13" i="13"/>
  <c r="C12" i="13"/>
  <c r="C11" i="13"/>
  <c r="C16" i="13" l="1"/>
  <c r="C17" i="13"/>
  <c r="B5" i="4" l="1"/>
  <c r="B4" i="4"/>
  <c r="B5" i="3"/>
  <c r="B4" i="3"/>
  <c r="B5" i="2"/>
  <c r="B4" i="2"/>
  <c r="B5" i="1"/>
  <c r="B4" i="1"/>
  <c r="C15" i="13" l="1"/>
  <c r="F12" i="13" l="1"/>
  <c r="C25" i="4"/>
  <c r="F11" i="13" s="1"/>
  <c r="F13" i="13" l="1"/>
  <c r="B114" i="1"/>
  <c r="B17" i="13" s="1"/>
  <c r="B100" i="1"/>
  <c r="B16" i="13" s="1"/>
  <c r="B19" i="1"/>
  <c r="B15" i="13" s="1"/>
  <c r="B11" i="13" l="1"/>
  <c r="B25" i="3"/>
  <c r="B13" i="13" s="1"/>
  <c r="B29" i="2"/>
  <c r="B12" i="13" s="1"/>
  <c r="B1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2"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03"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<sst xmlns="http://schemas.openxmlformats.org/spreadsheetml/2006/main" count="589" uniqueCount="351">
  <si>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</si>
  <si>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</si>
  <si>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</si>
  <si>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</si>
  <si>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</si>
  <si>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</si>
  <si>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</si>
  <si>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</si>
  <si>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</si>
  <si>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</si>
  <si>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</si>
  <si>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</si>
  <si>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</si>
  <si>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</si>
  <si>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</si>
  <si>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</si>
  <si>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</si>
  <si>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</si>
  <si>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</si>
  <si>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</si>
  <si>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</si>
  <si>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</si>
  <si>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</si>
  <si>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</si>
  <si>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</si>
  <si>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</si>
  <si>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</si>
  <si>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</si>
  <si>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</si>
  <si>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</si>
  <si>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</si>
  <si>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</si>
  <si>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</si>
  <si>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</si>
  <si>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</si>
  <si>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</si>
  <si>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</si>
  <si>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</si>
  <si>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</si>
  <si>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</si>
  <si>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</si>
  <si>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</si>
  <si>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</si>
  <si>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</si>
  <si>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</si>
  <si>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</si>
  <si>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</si>
  <si>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</si>
  <si>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</si>
  <si>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</si>
  <si>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</si>
  <si>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</si>
  <si>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</si>
  <si>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</si>
  <si>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</si>
  <si>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</si>
  <si>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</si>
  <si>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</si>
  <si>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</si>
  <si>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</si>
  <si>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</si>
  <si>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</si>
  <si>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</si>
  <si>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</si>
  <si>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</si>
  <si>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</si>
  <si>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</si>
  <si>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</si>
  <si>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</si>
  <si>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</si>
  <si>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</si>
  <si>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</si>
  <si>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</si>
  <si>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</si>
  <si>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</si>
  <si>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</si>
  <si>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</si>
  <si>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</si>
  <si>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</si>
  <si>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</si>
  <si>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</si>
  <si>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</si>
  <si>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</si>
  <si>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</si>
  <si>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</si>
  <si>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</si>
  <si>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</si>
  <si>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</si>
  <si>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</si>
  <si>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</si>
  <si>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</si>
  <si>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</si>
  <si>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</si>
  <si>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</si>
  <si>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</si>
  <si>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</si>
  <si>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</si>
  <si>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</si>
  <si>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</si>
  <si>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</si>
  <si>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</si>
  <si>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</si>
  <si>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</si>
  <si>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</si>
  <si>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</si>
  <si>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</si>
  <si>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</si>
  <si>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</si>
  <si>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</si>
  <si>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</si>
  <si>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</si>
  <si>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</si>
  <si>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</si>
  <si>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</si>
  <si>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</si>
  <si>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</si>
  <si>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</si>
  <si>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</si>
  <si>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</si>
  <si>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</si>
  <si>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</si>
  <si>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</si>
  <si>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</si>
  <si>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</si>
  <si>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</si>
  <si>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</si>
  <si>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</si>
  <si>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</si>
  <si>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</si>
  <si>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</si>
  <si>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</si>
  <si>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</si>
  <si>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</si>
  <si>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</si>
  <si>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</si>
  <si>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</si>
  <si>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</si>
  <si>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</si>
  <si>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</si>
  <si>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</si>
  <si>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</si>
  <si>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</si>
  <si>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</si>
  <si>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</si>
  <si>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</si>
  <si>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</si>
  <si>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</si>
  <si>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</si>
  <si>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</si>
  <si>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</si>
  <si>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</si>
  <si>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</si>
  <si>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</si>
  <si>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</si>
  <si>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</si>
  <si>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</si>
  <si>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</si>
  <si>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</si>
  <si>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</si>
  <si>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</si>
  <si>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</si>
  <si>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</si>
  <si>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</si>
  <si>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</si>
  <si>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</si>
  <si>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</si>
  <si>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</si>
  <si>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</si>
  <si>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The Department of Conservation</t>
  </si>
  <si>
    <t>Lou Sanson</t>
  </si>
  <si>
    <t>Richard Lauder, Real Journeys</t>
  </si>
  <si>
    <t>Mission concert - Phil collins</t>
  </si>
  <si>
    <t>Andy Lowe, Lowe Corporation Ltd</t>
  </si>
  <si>
    <t>Bottle wine and nibbles/crackers</t>
  </si>
  <si>
    <t>Wanderer Cruise Doubtful Sound to Cooper Island in Dusky Sound with Scenic Helicopter out</t>
  </si>
  <si>
    <t>Bob Fulton, Fulton Hogan</t>
  </si>
  <si>
    <t>Suzy and James Cameron</t>
  </si>
  <si>
    <t>Distributed to staff</t>
  </si>
  <si>
    <t>Book - "Fight for the Forests"</t>
  </si>
  <si>
    <t>2 x tickets to All Blacks vs South Africa game 27th July 2019</t>
  </si>
  <si>
    <t>Xmas Gift box - food and book</t>
  </si>
  <si>
    <t xml:space="preserve">Book - "Down the Bay" </t>
  </si>
  <si>
    <t>Philip Simpson</t>
  </si>
  <si>
    <t>Paul Bensemann</t>
  </si>
  <si>
    <t>Air NZ</t>
  </si>
  <si>
    <t xml:space="preserve">Business Meeting - CE Ngai Tahu </t>
  </si>
  <si>
    <t>Christchurch</t>
  </si>
  <si>
    <t>Business Meeting - Taribon</t>
  </si>
  <si>
    <t>Business Meeting - CE SPCA</t>
  </si>
  <si>
    <t>Wellington</t>
  </si>
  <si>
    <t>Business Meeting - Wellington Business Developer</t>
  </si>
  <si>
    <t>Dinner for 2</t>
  </si>
  <si>
    <t>Lunch for 2</t>
  </si>
  <si>
    <t>Business Meeting - BDM AirNZ</t>
  </si>
  <si>
    <t>Business Meeting - President PSA</t>
  </si>
  <si>
    <t>Business Meeting - The Nature Conservancy</t>
  </si>
  <si>
    <t>Business Meeting - CEO Meridian</t>
  </si>
  <si>
    <t>Business Meeting - Silver Eye Production</t>
  </si>
  <si>
    <t>Business Meeting - Federated Farmers former President</t>
  </si>
  <si>
    <t>28/09/2018-31/10/2018</t>
  </si>
  <si>
    <t>29/11/2018-31/12/2018</t>
  </si>
  <si>
    <t>27/02/2019-29/04/2019</t>
  </si>
  <si>
    <t>Airfares, meals, taxis, accommodation</t>
  </si>
  <si>
    <t>South Pacific Regional Environment Programme - September 2019</t>
  </si>
  <si>
    <t>Apia, Samoa</t>
  </si>
  <si>
    <t>Te Hono Boot Camp - 20-27th July 2019</t>
  </si>
  <si>
    <t>Airfares</t>
  </si>
  <si>
    <t>Airfares, meals, accommodation</t>
  </si>
  <si>
    <t>Vancouver, Canada</t>
  </si>
  <si>
    <t>Townsville, Australia</t>
  </si>
  <si>
    <t>Melbourne, Australia</t>
  </si>
  <si>
    <t>business meeting</t>
  </si>
  <si>
    <t>Uber</t>
  </si>
  <si>
    <t>taxi</t>
  </si>
  <si>
    <t>Tranz Tasman dinner at Australian High Commission</t>
  </si>
  <si>
    <t>Event - late night, home</t>
  </si>
  <si>
    <t>Event at Government House - Jane Goodall</t>
  </si>
  <si>
    <t>Parks Canada meeting (1-3 October 2018)</t>
  </si>
  <si>
    <t>Global Eco Conference/Heads of Parks (25-28 November 2018)</t>
  </si>
  <si>
    <t>World Park Areas Leaders Forum (25-29 March 2019)</t>
  </si>
  <si>
    <t>Dinner for 4</t>
  </si>
  <si>
    <t>airfares</t>
  </si>
  <si>
    <t>accommodation</t>
  </si>
  <si>
    <t>WLG,AKL ZQN</t>
  </si>
  <si>
    <t>accommodation, vehicle hire</t>
  </si>
  <si>
    <t>Northland</t>
  </si>
  <si>
    <t>Auckland</t>
  </si>
  <si>
    <t>23/07/2018-10/08/2018</t>
  </si>
  <si>
    <t>Rotorua</t>
  </si>
  <si>
    <t>23/07/2018-28/08/2018</t>
  </si>
  <si>
    <t>Business meetings</t>
  </si>
  <si>
    <t>taxis</t>
  </si>
  <si>
    <t>31/08/2018-26/09/2018</t>
  </si>
  <si>
    <t>taxi, Uber</t>
  </si>
  <si>
    <t>Staff meetings</t>
  </si>
  <si>
    <t>Nelson area</t>
  </si>
  <si>
    <t>Vehicle, meals x 1</t>
  </si>
  <si>
    <t>Internal flights</t>
  </si>
  <si>
    <t>Accommodation</t>
  </si>
  <si>
    <t>taxi/uber</t>
  </si>
  <si>
    <t>Viaduct/Hump Ridge event</t>
  </si>
  <si>
    <t>accommodation, vehicle hire, airfares, meals</t>
  </si>
  <si>
    <t>meal</t>
  </si>
  <si>
    <t>Holitika</t>
  </si>
  <si>
    <t>Auckland/Wellington</t>
  </si>
  <si>
    <t xml:space="preserve">Nelson  </t>
  </si>
  <si>
    <t>Tauranga</t>
  </si>
  <si>
    <t>meet with Jim Boult Mayor Queenstown</t>
  </si>
  <si>
    <t>travelling to Golden Bay staff meeting</t>
  </si>
  <si>
    <t>Queenstown</t>
  </si>
  <si>
    <t>Nelson</t>
  </si>
  <si>
    <t>Timaru</t>
  </si>
  <si>
    <t>Blenheim</t>
  </si>
  <si>
    <t>World Park Areas Leaders Forum</t>
  </si>
  <si>
    <t>Melbourne</t>
  </si>
  <si>
    <t>28/02/2019-31/03/2019</t>
  </si>
  <si>
    <t>Hokitika</t>
  </si>
  <si>
    <t>Napier</t>
  </si>
  <si>
    <t>Invercargill</t>
  </si>
  <si>
    <t>airfares, accommodation</t>
  </si>
  <si>
    <t>airfares, domestic fee, meals, vehicle rental</t>
  </si>
  <si>
    <t>travel to airport</t>
  </si>
  <si>
    <t>taxi/Uber</t>
  </si>
  <si>
    <t>31/03/2019-30/04/2019</t>
  </si>
  <si>
    <t>Staff Visits</t>
  </si>
  <si>
    <t>28/02/2019-30/04/2019</t>
  </si>
  <si>
    <t>airfares, taxi, meals</t>
  </si>
  <si>
    <t>taxi/uber, meals</t>
  </si>
  <si>
    <t>Twizel</t>
  </si>
  <si>
    <t>Catalyst Trust speaking engagement pvte accomm</t>
  </si>
  <si>
    <t xml:space="preserve">Trojan meeting </t>
  </si>
  <si>
    <t xml:space="preserve">Ngai Tahu meeting  </t>
  </si>
  <si>
    <t>Auckland/Christchurch</t>
  </si>
  <si>
    <t>meetings with staff/business Partners</t>
  </si>
  <si>
    <t>Dunedin</t>
  </si>
  <si>
    <t>Wanganui</t>
  </si>
  <si>
    <t>Canterbury</t>
  </si>
  <si>
    <t>Picton</t>
  </si>
  <si>
    <t>Taupo</t>
  </si>
  <si>
    <t>Chathams</t>
  </si>
  <si>
    <t>airfare etc.</t>
  </si>
  <si>
    <t>Wanaka</t>
  </si>
  <si>
    <t>Te Anau</t>
  </si>
  <si>
    <t>Airfares, meals, taxis, accommodation 1 attendee</t>
  </si>
  <si>
    <t>airfares, meals, accommodation</t>
  </si>
  <si>
    <t>airfares, accommodation and meal</t>
  </si>
  <si>
    <t>airfare</t>
  </si>
  <si>
    <t>Ngai Tahu meeting 24.10.2018</t>
  </si>
  <si>
    <t>Staff visits upper South Island 22.08.2018</t>
  </si>
  <si>
    <t>accommodation, meal,vehicle</t>
  </si>
  <si>
    <t>Ngai Tahu/Transpower Agreement, official signing 29.06.2018</t>
  </si>
  <si>
    <t>EDS 2018 conference 02.08.2018</t>
  </si>
  <si>
    <t>Lincoln Symposium PA2050 20.06.2018</t>
  </si>
  <si>
    <t>Roroa CEO/Waipoua Forest 22.06.2018</t>
  </si>
  <si>
    <t>NZCA meeting 25.06.2018</t>
  </si>
  <si>
    <t>Ngai Tahu/ DOC Culture meetings 07.08.2018</t>
  </si>
  <si>
    <t>Ngati Tuwharetoa Maori Trust Board/Crown CEOs 10.08.2018</t>
  </si>
  <si>
    <t>University of Canterbury - School of Forestry 16.08.2018</t>
  </si>
  <si>
    <t>NZ Cruise Assn conference and DOC staff visits 22-23.08.2018</t>
  </si>
  <si>
    <t>DOC Office visits/Takaka/Motueka 22.08.2018</t>
  </si>
  <si>
    <t>Mackenzie/LINZ meetings 28.08.2018</t>
  </si>
  <si>
    <t>Staff funerals - Wanaka 30.07.2018</t>
  </si>
  <si>
    <t>airfare, vehicle</t>
  </si>
  <si>
    <t>Rangers function/staff meetings 23.08.2018</t>
  </si>
  <si>
    <t>AIRNZ meeting, Auckland DOC office 31.08.2018</t>
  </si>
  <si>
    <t>airfare, accommodation</t>
  </si>
  <si>
    <t>taxis, vehicle</t>
  </si>
  <si>
    <t>Fulton Hogan Awards 05.11.2018</t>
  </si>
  <si>
    <t>Governor General visit to Chathams 08.12.2018</t>
  </si>
  <si>
    <t>Tiritiri Matangi supporters function 13.10.2018</t>
  </si>
  <si>
    <t>Meeting with Sir Michael Fay and others 19.10.2018</t>
  </si>
  <si>
    <t>Marlborough Sounds Restoration Trust 08.11.2018</t>
  </si>
  <si>
    <t>Biosecurity NZ Forum (keynote speaker) and trip to Hokitika with film crew 10-12 November 2018</t>
  </si>
  <si>
    <t>PF2050 Ltd Board meeting 16.11.2018</t>
  </si>
  <si>
    <t>Global Eco Conference/Heads of Parks Forum 26.11.2018 AKL ZQN</t>
  </si>
  <si>
    <t>Supporters of Tiritiri Matangi 30th Dinner 13.10.2018</t>
  </si>
  <si>
    <t>staff visits 20.10.2018</t>
  </si>
  <si>
    <t>Helicopter accident Wanaka/funerals  28.10.2018,01-03.11.2018</t>
  </si>
  <si>
    <t>airfare, accommodation, meal</t>
  </si>
  <si>
    <t>Tuhoe Board meeting 06.12.2018</t>
  </si>
  <si>
    <t>airfares, vehicle</t>
  </si>
  <si>
    <t xml:space="preserve">Golden Bay - Tukurua 10.01.2019 </t>
  </si>
  <si>
    <t>Visit Te Roroa Northland 14.12.2018</t>
  </si>
  <si>
    <t>airfares,accommodation, meals</t>
  </si>
  <si>
    <t>meet with Hot Shots fire crew in NZ from US 18.01.2019</t>
  </si>
  <si>
    <t>visit Hokitika and staff 20.12.2018</t>
  </si>
  <si>
    <t>airfares, meal</t>
  </si>
  <si>
    <t>Staff visit Te Anau 07.01.2019</t>
  </si>
  <si>
    <t>Ngai Tahu/DOC Governance hui 13.03.2019</t>
  </si>
  <si>
    <t>meeting with fishing industry key players 21.02.2019</t>
  </si>
  <si>
    <t>Mackenzie Field Trip with Ces 28.02.2018</t>
  </si>
  <si>
    <t>Sustainable Trails Conference 01.04.2019</t>
  </si>
  <si>
    <t>Catalyst Trust Meeting 03.05.2019</t>
  </si>
  <si>
    <t>internal airfares, domestic fees, meals</t>
  </si>
  <si>
    <t>NZ Conservation Authority Board meeting 05.04.2019</t>
  </si>
  <si>
    <t>DOC Engagement/AIRNZ Sustainability Advisory Panel 10.03.2019</t>
  </si>
  <si>
    <t>Visit to Cape Kidnappers site of road collapse 15.03.2019</t>
  </si>
  <si>
    <t>Office/Staff visits 10.04.2019</t>
  </si>
  <si>
    <t>Funeral Jane Davis - iwi leader 19.03.2019</t>
  </si>
  <si>
    <t>airfares, accommodation, vehicle</t>
  </si>
  <si>
    <t>Ngai Tahu/DOC Governance hui - 06.06.2019</t>
  </si>
  <si>
    <t>Christchurch office visit 08.05.2019</t>
  </si>
  <si>
    <t>meetings various business leaders and PF2050 Board meeting 10.05.2019</t>
  </si>
  <si>
    <t>TRENZ Conference/DOC Rotorua Staff 15.05.2019</t>
  </si>
  <si>
    <t>ZIP/Kiwicare/CHC Helos and staff meetings 31.05.2019</t>
  </si>
  <si>
    <t>Whangapaoua Estuary/staff visit 10-12.05.2019</t>
  </si>
  <si>
    <t>staff/mayor visit/Whenua Hou Book launch with MOC 11.07.2019</t>
  </si>
  <si>
    <t>Te Kopuka hui w Vicky Robertson MFE (weather disruption) 30.05.2019</t>
  </si>
  <si>
    <t>Auckland and Wellington</t>
  </si>
  <si>
    <t>Los Angeles, California</t>
  </si>
  <si>
    <t>This disclosure has been approved by the 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</si>
</sst>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8"/>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4">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ont="1" applyFill="1" applyBorder="1" applyAlignment="1" applyProtection="1">
      <alignment horizontal="left" vertical="center" wrapText="1"/>
      <protection locked="0"/>
    </xf>
    <xf numFmtId="0" fontId="0" fillId="10" borderId="5" xfId="0" applyFont="1" applyFill="1" applyBorder="1" applyAlignment="1" applyProtection="1">
      <alignment horizontal="lef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4" fontId="0" fillId="10" borderId="4" xfId="0" applyNumberFormat="1" applyFont="1" applyFill="1" applyBorder="1" applyAlignment="1" applyProtection="1">
      <alignment vertical="center" wrapText="1"/>
      <protection locked="0"/>
    </xf>
    <xf numFmtId="2" fontId="0" fillId="10" borderId="4" xfId="0" applyNumberFormat="1" applyFont="1" applyFill="1" applyBorder="1" applyAlignment="1" applyProtection="1">
      <alignment vertical="center" wrapText="1"/>
      <protection locked="0"/>
    </xf>
    <xf numFmtId="2" fontId="15" fillId="10" borderId="4" xfId="0" applyNumberFormat="1" applyFont="1" applyFill="1" applyBorder="1" applyAlignment="1" applyProtection="1">
      <alignment vertical="center" wrapText="1"/>
      <protection locked="0"/>
    </xf>
    <xf numFmtId="167" fontId="15" fillId="10" borderId="3" xfId="0" applyNumberFormat="1" applyFont="1" applyFill="1" applyBorder="1" applyAlignment="1" applyProtection="1">
      <alignment horizontal="right" vertical="center"/>
      <protection locked="0"/>
    </xf>
    <xf numFmtId="167" fontId="15" fillId="10" borderId="0" xfId="0" applyNumberFormat="1" applyFont="1" applyFill="1" applyBorder="1" applyAlignment="1" applyProtection="1">
      <alignment vertical="center"/>
      <protection locked="0"/>
    </xf>
    <xf numFmtId="164" fontId="15" fillId="10" borderId="0" xfId="0" applyNumberFormat="1" applyFont="1" applyFill="1" applyBorder="1" applyAlignment="1" applyProtection="1">
      <alignment vertical="center" wrapText="1"/>
      <protection locked="0"/>
    </xf>
    <xf numFmtId="0" fontId="15" fillId="10" borderId="0" xfId="0"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12" Type="http://schemas.openxmlformats.org/officeDocument/2006/relationships/comments" Target="../comments4.xm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vmlDrawing" Target="../drawings/vmlDrawing4.vml"/><Relationship Id="rId5" Type="http://schemas.openxmlformats.org/officeDocument/2006/relationships/hyperlink" Target="http://www.ssc.govt.nz/ce-expenses-disclosure" TargetMode="External"/><Relationship Id="rId10" Type="http://schemas.openxmlformats.org/officeDocument/2006/relationships/customProperty" Target="../customProperty5.bin"/><Relationship Id="rId4" Type="http://schemas.openxmlformats.org/officeDocument/2006/relationships/hyperlink" Target="mailto:info@data.govt.nz"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6"/>
  <sheetViews>
    <sheetView tabSelected="1" zoomScaleNormal="100" workbookViewId="0">
      <selection activeCell="G9" sqref="G9"/>
    </sheetView>
  </sheetViews>
  <sheetFormatPr defaultColWidth="0" defaultRowHeight="13.2" zeroHeight="1" x14ac:dyDescent="0.25"/>
  <cols>
    <col min="1" max="1" width="35.6640625" style="17" customWidth="1"/>
    <col min="2" max="2" width="21.5546875" style="17" customWidth="1"/>
    <col min="3" max="3" width="33.5546875" style="17" customWidth="1"/>
    <col min="4" max="4" width="4.44140625" style="17" customWidth="1"/>
    <col min="5" max="5" width="29" style="17" customWidth="1"/>
    <col min="6" max="6" width="19" style="17" customWidth="1"/>
    <col min="7" max="7" width="42" style="17" customWidth="1"/>
    <col min="8" max="11" width="9.109375" style="17" hidden="1" customWidth="1"/>
    <col min="12" max="16384" width="9.109375" style="17" hidden="1"/>
  </cols>
  <sheetData>
    <row r="1" spans="1:11" ht="26.25" customHeight="1" x14ac:dyDescent="0.25">
      <c r="A1" s="166" t="s">
        <v>98</v>
      </c>
      <c r="B1" s="166"/>
      <c r="C1" s="166"/>
      <c r="D1" s="166"/>
      <c r="E1" s="166"/>
      <c r="F1" s="166"/>
      <c r="G1" s="48"/>
      <c r="H1" s="48"/>
      <c r="I1" s="48"/>
      <c r="J1" s="48"/>
      <c r="K1" s="48"/>
    </row>
    <row r="2" spans="1:11" ht="21" customHeight="1" x14ac:dyDescent="0.25">
      <c r="A2" s="4" t="s">
        <v>2</v>
      </c>
      <c r="B2" s="167" t="s">
        <v>168</v>
      </c>
      <c r="C2" s="167"/>
      <c r="D2" s="167"/>
      <c r="E2" s="167"/>
      <c r="F2" s="167"/>
      <c r="G2" s="48"/>
      <c r="H2" s="48"/>
      <c r="I2" s="48"/>
      <c r="J2" s="48"/>
      <c r="K2" s="48"/>
    </row>
    <row r="3" spans="1:11" ht="21" customHeight="1" x14ac:dyDescent="0.25">
      <c r="A3" s="4" t="s">
        <v>99</v>
      </c>
      <c r="B3" s="167" t="s">
        <v>169</v>
      </c>
      <c r="C3" s="167"/>
      <c r="D3" s="167"/>
      <c r="E3" s="167"/>
      <c r="F3" s="167"/>
      <c r="G3" s="48"/>
      <c r="H3" s="48"/>
      <c r="I3" s="48"/>
      <c r="J3" s="48"/>
      <c r="K3" s="48"/>
    </row>
    <row r="4" spans="1:11" ht="21" customHeight="1" x14ac:dyDescent="0.25">
      <c r="A4" s="4" t="s">
        <v>79</v>
      </c>
      <c r="B4" s="168">
        <v>43282</v>
      </c>
      <c r="C4" s="168"/>
      <c r="D4" s="168"/>
      <c r="E4" s="168"/>
      <c r="F4" s="168"/>
      <c r="G4" s="48"/>
      <c r="H4" s="48"/>
      <c r="I4" s="48"/>
      <c r="J4" s="48"/>
      <c r="K4" s="48"/>
    </row>
    <row r="5" spans="1:11" ht="21" customHeight="1" x14ac:dyDescent="0.25">
      <c r="A5" s="4" t="s">
        <v>80</v>
      </c>
      <c r="B5" s="168">
        <v>43646</v>
      </c>
      <c r="C5" s="168"/>
      <c r="D5" s="168"/>
      <c r="E5" s="168"/>
      <c r="F5" s="168"/>
      <c r="G5" s="48"/>
      <c r="H5" s="48"/>
      <c r="I5" s="48"/>
      <c r="J5" s="48"/>
      <c r="K5" s="48"/>
    </row>
    <row r="6" spans="1:11" ht="21" customHeight="1" x14ac:dyDescent="0.25">
      <c r="A6" s="4" t="s">
        <v>104</v>
      </c>
      <c r="B6" s="165" t="str">
        <f>IF(AND(Travel!B7&lt;&gt;A30,Hospitality!B7&lt;&gt;A30,'All other expenses'!B7&lt;&gt;A30,'Gifts and benefits'!B7&lt;&gt;A30),A31,IF(AND(Travel!B7=A30,Hospitality!B7=A30,'All other expenses'!B7=A30,'Gifts and benefits'!B7=A30),A33,A32))</f>
        <v>Data and totals checked on all sheets</v>
      </c>
      <c r="C6" s="165"/>
      <c r="D6" s="165"/>
      <c r="E6" s="165"/>
      <c r="F6" s="165"/>
      <c r="G6" s="36"/>
      <c r="H6" s="48"/>
      <c r="I6" s="48"/>
      <c r="J6" s="48"/>
      <c r="K6" s="48"/>
    </row>
    <row r="7" spans="1:11" ht="21" customHeight="1" x14ac:dyDescent="0.25">
      <c r="A7" s="4" t="s">
        <v>133</v>
      </c>
      <c r="B7" s="164" t="s">
        <v>63</v>
      </c>
      <c r="C7" s="164"/>
      <c r="D7" s="164"/>
      <c r="E7" s="164"/>
      <c r="F7" s="164"/>
      <c r="G7" s="36"/>
      <c r="H7" s="48"/>
      <c r="I7" s="48"/>
      <c r="J7" s="48"/>
      <c r="K7" s="48"/>
    </row>
    <row r="8" spans="1:11" ht="21" customHeight="1" x14ac:dyDescent="0.25">
      <c r="A8" s="4" t="s">
        <v>100</v>
      </c>
      <c r="B8" s="164" t="s">
        <v>350</v>
      </c>
      <c r="C8" s="164"/>
      <c r="D8" s="164"/>
      <c r="E8" s="164"/>
      <c r="F8" s="164"/>
      <c r="G8" s="36"/>
      <c r="H8" s="48"/>
      <c r="I8" s="48"/>
      <c r="J8" s="48"/>
      <c r="K8" s="48"/>
    </row>
    <row r="9" spans="1:11" ht="66.75" customHeight="1" x14ac:dyDescent="0.25">
      <c r="A9" s="163" t="s">
        <v>125</v>
      </c>
      <c r="B9" s="163"/>
      <c r="C9" s="163"/>
      <c r="D9" s="163"/>
      <c r="E9" s="163"/>
      <c r="F9" s="163"/>
      <c r="G9" s="36"/>
      <c r="H9" s="48"/>
      <c r="I9" s="48"/>
      <c r="J9" s="48"/>
      <c r="K9" s="48"/>
    </row>
    <row r="10" spans="1:11" s="154" customFormat="1" ht="36" customHeight="1" x14ac:dyDescent="0.25">
      <c r="A10" s="148" t="s">
        <v>48</v>
      </c>
      <c r="B10" s="149" t="s">
        <v>31</v>
      </c>
      <c r="C10" s="149" t="s">
        <v>65</v>
      </c>
      <c r="D10" s="150"/>
      <c r="E10" s="151" t="s">
        <v>47</v>
      </c>
      <c r="F10" s="152" t="s">
        <v>72</v>
      </c>
      <c r="G10" s="153"/>
      <c r="H10" s="153"/>
      <c r="I10" s="153"/>
      <c r="J10" s="153"/>
      <c r="K10" s="153"/>
    </row>
    <row r="11" spans="1:11" ht="27.75" customHeight="1" x14ac:dyDescent="0.3">
      <c r="A11" s="11" t="s">
        <v>84</v>
      </c>
      <c r="B11" s="99">
        <f>B15+B16+B17</f>
        <v>41244.26</v>
      </c>
      <c r="C11" s="107" t="str">
        <f>IF(Travel!B6="",A34,Travel!B6)</f>
        <v>Figures exclude GST</v>
      </c>
      <c r="D11" s="8"/>
      <c r="E11" s="11" t="s">
        <v>95</v>
      </c>
      <c r="F11" s="58">
        <f>'Gifts and benefits'!C25</f>
        <v>7</v>
      </c>
      <c r="G11" s="49"/>
      <c r="H11" s="49"/>
      <c r="I11" s="49"/>
      <c r="J11" s="49"/>
      <c r="K11" s="49"/>
    </row>
    <row r="12" spans="1:11" ht="27.75" customHeight="1" x14ac:dyDescent="0.3">
      <c r="A12" s="11" t="s">
        <v>12</v>
      </c>
      <c r="B12" s="99">
        <f>Hospitality!B29</f>
        <v>847.75</v>
      </c>
      <c r="C12" s="107" t="str">
        <f>IF(Hospitality!B6="",A34,Hospitality!B6)</f>
        <v>Figures exclude GST</v>
      </c>
      <c r="D12" s="8"/>
      <c r="E12" s="11" t="s">
        <v>96</v>
      </c>
      <c r="F12" s="58">
        <f>'Gifts and benefits'!C26</f>
        <v>4</v>
      </c>
      <c r="G12" s="49"/>
      <c r="H12" s="49"/>
      <c r="I12" s="49"/>
      <c r="J12" s="49"/>
      <c r="K12" s="49"/>
    </row>
    <row r="13" spans="1:11" ht="27.75" customHeight="1" x14ac:dyDescent="0.25">
      <c r="A13" s="11" t="s">
        <v>30</v>
      </c>
      <c r="B13" s="99">
        <f>'All other expenses'!B25</f>
        <v>0</v>
      </c>
      <c r="C13" s="107" t="str">
        <f>IF('All other expenses'!B6="",A34,'All other expenses'!B6)</f>
        <v>Figures exclude GST</v>
      </c>
      <c r="D13" s="8"/>
      <c r="E13" s="11" t="s">
        <v>97</v>
      </c>
      <c r="F13" s="58">
        <f>'Gifts and benefits'!C27</f>
        <v>3</v>
      </c>
      <c r="G13" s="48"/>
      <c r="H13" s="48"/>
      <c r="I13" s="48"/>
      <c r="J13" s="48"/>
      <c r="K13" s="48"/>
    </row>
    <row r="14" spans="1:11" ht="12.75" customHeight="1" x14ac:dyDescent="0.25">
      <c r="A14" s="10"/>
      <c r="B14" s="100"/>
      <c r="C14" s="108"/>
      <c r="D14" s="59"/>
      <c r="E14" s="8"/>
      <c r="F14" s="60"/>
      <c r="G14" s="28"/>
      <c r="H14" s="28"/>
      <c r="I14" s="28"/>
      <c r="J14" s="28"/>
      <c r="K14" s="28"/>
    </row>
    <row r="15" spans="1:11" ht="27.75" customHeight="1" x14ac:dyDescent="0.25">
      <c r="A15" s="12" t="s">
        <v>45</v>
      </c>
      <c r="B15" s="101">
        <f>Travel!B19</f>
        <v>11221.71</v>
      </c>
      <c r="C15" s="109" t="str">
        <f>C11</f>
        <v>Figures exclude GST</v>
      </c>
      <c r="D15" s="8"/>
      <c r="E15" s="8"/>
      <c r="F15" s="60"/>
      <c r="G15" s="48"/>
      <c r="H15" s="48"/>
      <c r="I15" s="48"/>
      <c r="J15" s="48"/>
      <c r="K15" s="48"/>
    </row>
    <row r="16" spans="1:11" ht="27.75" customHeight="1" x14ac:dyDescent="0.25">
      <c r="A16" s="12" t="s">
        <v>91</v>
      </c>
      <c r="B16" s="101">
        <f>Travel!B100</f>
        <v>29908.340000000004</v>
      </c>
      <c r="C16" s="109" t="str">
        <f>C11</f>
        <v>Figures exclude GST</v>
      </c>
      <c r="D16" s="61"/>
      <c r="E16" s="8"/>
      <c r="F16" s="62"/>
      <c r="G16" s="48"/>
      <c r="H16" s="48"/>
      <c r="I16" s="48"/>
      <c r="J16" s="48"/>
      <c r="K16" s="48"/>
    </row>
    <row r="17" spans="1:11" ht="27.75" customHeight="1" x14ac:dyDescent="0.25">
      <c r="A17" s="12" t="s">
        <v>46</v>
      </c>
      <c r="B17" s="101">
        <f>Travel!B114</f>
        <v>114.21000000000001</v>
      </c>
      <c r="C17" s="109" t="str">
        <f>C11</f>
        <v>Figures exclude GST</v>
      </c>
      <c r="D17" s="8"/>
      <c r="E17" s="8"/>
      <c r="F17" s="62"/>
      <c r="G17" s="48"/>
      <c r="H17" s="48"/>
      <c r="I17" s="48"/>
      <c r="J17" s="48"/>
      <c r="K17" s="48"/>
    </row>
    <row r="18" spans="1:11" ht="27.75" customHeight="1" x14ac:dyDescent="0.25">
      <c r="A18" s="29"/>
      <c r="B18" s="24"/>
      <c r="C18" s="29"/>
      <c r="D18" s="7"/>
      <c r="E18" s="7"/>
      <c r="F18" s="63"/>
      <c r="G18" s="64"/>
      <c r="H18" s="64"/>
      <c r="I18" s="64"/>
      <c r="J18" s="64"/>
      <c r="K18" s="64"/>
    </row>
    <row r="19" spans="1:11" x14ac:dyDescent="0.25">
      <c r="A19" s="54" t="s">
        <v>8</v>
      </c>
      <c r="B19" s="27"/>
      <c r="C19" s="28"/>
      <c r="D19" s="29"/>
      <c r="E19" s="29"/>
      <c r="F19" s="29"/>
      <c r="G19" s="29"/>
      <c r="H19" s="29"/>
      <c r="I19" s="29"/>
      <c r="J19" s="29"/>
      <c r="K19" s="29"/>
    </row>
    <row r="20" spans="1:11" x14ac:dyDescent="0.25">
      <c r="A20" s="25" t="s">
        <v>9</v>
      </c>
      <c r="B20" s="55"/>
      <c r="C20" s="55"/>
      <c r="D20" s="28"/>
      <c r="E20" s="28"/>
      <c r="F20" s="28"/>
      <c r="G20" s="29"/>
      <c r="H20" s="29"/>
      <c r="I20" s="29"/>
      <c r="J20" s="29"/>
      <c r="K20" s="29"/>
    </row>
    <row r="21" spans="1:11" ht="12.6" customHeight="1" x14ac:dyDescent="0.25">
      <c r="A21" s="25" t="s">
        <v>66</v>
      </c>
      <c r="B21" s="55"/>
      <c r="C21" s="55"/>
      <c r="D21" s="22"/>
      <c r="E21" s="29"/>
      <c r="F21" s="29"/>
      <c r="G21" s="29"/>
      <c r="H21" s="29"/>
      <c r="I21" s="29"/>
      <c r="J21" s="29"/>
      <c r="K21" s="29"/>
    </row>
    <row r="22" spans="1:11" ht="12.6" customHeight="1" x14ac:dyDescent="0.25">
      <c r="A22" s="25" t="s">
        <v>81</v>
      </c>
      <c r="B22" s="55"/>
      <c r="C22" s="55"/>
      <c r="D22" s="22"/>
      <c r="E22" s="29"/>
      <c r="F22" s="29"/>
      <c r="G22" s="29"/>
      <c r="H22" s="29"/>
      <c r="I22" s="29"/>
      <c r="J22" s="29"/>
      <c r="K22" s="29"/>
    </row>
    <row r="23" spans="1:11" ht="12.6" customHeight="1" x14ac:dyDescent="0.25">
      <c r="A23" s="25" t="s">
        <v>101</v>
      </c>
      <c r="B23" s="55"/>
      <c r="C23" s="55"/>
      <c r="D23" s="22"/>
      <c r="E23" s="29"/>
      <c r="F23" s="29"/>
      <c r="G23" s="29"/>
      <c r="H23" s="29"/>
      <c r="I23" s="29"/>
      <c r="J23" s="29"/>
      <c r="K23" s="29"/>
    </row>
    <row r="24" spans="1:11" x14ac:dyDescent="0.25">
      <c r="A24" s="42"/>
      <c r="B24" s="29"/>
      <c r="C24" s="29"/>
      <c r="D24" s="29"/>
      <c r="E24" s="29"/>
      <c r="F24" s="48"/>
      <c r="G24" s="48"/>
      <c r="H24" s="48"/>
      <c r="I24" s="48"/>
      <c r="J24" s="48"/>
      <c r="K24" s="48"/>
    </row>
    <row r="25" spans="1:11" hidden="1" x14ac:dyDescent="0.25">
      <c r="A25" s="15" t="s">
        <v>141</v>
      </c>
      <c r="B25" s="16"/>
      <c r="C25" s="16"/>
      <c r="D25" s="16"/>
      <c r="E25" s="16"/>
      <c r="F25" s="16"/>
      <c r="G25" s="48"/>
      <c r="H25" s="48"/>
      <c r="I25" s="48"/>
      <c r="J25" s="48"/>
      <c r="K25" s="48"/>
    </row>
    <row r="26" spans="1:11" ht="12.75" hidden="1" customHeight="1" x14ac:dyDescent="0.25">
      <c r="A26" s="14" t="s">
        <v>157</v>
      </c>
      <c r="B26" s="6"/>
      <c r="C26" s="6"/>
      <c r="D26" s="14"/>
      <c r="E26" s="14"/>
      <c r="F26" s="14"/>
      <c r="G26" s="48"/>
      <c r="H26" s="48"/>
      <c r="I26" s="48"/>
      <c r="J26" s="48"/>
      <c r="K26" s="48"/>
    </row>
    <row r="27" spans="1:11" hidden="1" x14ac:dyDescent="0.25">
      <c r="A27" s="13" t="s">
        <v>64</v>
      </c>
      <c r="B27" s="13"/>
      <c r="C27" s="13"/>
      <c r="D27" s="13"/>
      <c r="E27" s="13"/>
      <c r="F27" s="13"/>
      <c r="G27" s="48"/>
      <c r="H27" s="48"/>
      <c r="I27" s="48"/>
      <c r="J27" s="48"/>
      <c r="K27" s="48"/>
    </row>
    <row r="28" spans="1:11" hidden="1" x14ac:dyDescent="0.25">
      <c r="A28" s="13" t="s">
        <v>28</v>
      </c>
      <c r="B28" s="13"/>
      <c r="C28" s="13"/>
      <c r="D28" s="13"/>
      <c r="E28" s="13"/>
      <c r="F28" s="13"/>
      <c r="G28" s="48"/>
      <c r="H28" s="48"/>
      <c r="I28" s="48"/>
      <c r="J28" s="48"/>
      <c r="K28" s="48"/>
    </row>
    <row r="29" spans="1:11" hidden="1" x14ac:dyDescent="0.25">
      <c r="A29" s="14" t="s">
        <v>115</v>
      </c>
      <c r="B29" s="14"/>
      <c r="C29" s="14"/>
      <c r="D29" s="14"/>
      <c r="E29" s="14"/>
      <c r="F29" s="14"/>
      <c r="G29" s="48"/>
      <c r="H29" s="48"/>
      <c r="I29" s="48"/>
      <c r="J29" s="48"/>
      <c r="K29" s="48"/>
    </row>
    <row r="30" spans="1:11" hidden="1" x14ac:dyDescent="0.25">
      <c r="A30" s="14" t="s">
        <v>116</v>
      </c>
      <c r="B30" s="14"/>
      <c r="C30" s="14"/>
      <c r="D30" s="14"/>
      <c r="E30" s="14"/>
      <c r="F30" s="14"/>
      <c r="G30" s="48"/>
      <c r="H30" s="48"/>
      <c r="I30" s="48"/>
      <c r="J30" s="48"/>
      <c r="K30" s="48"/>
    </row>
    <row r="31" spans="1:11" hidden="1" x14ac:dyDescent="0.25">
      <c r="A31" s="13" t="s">
        <v>106</v>
      </c>
      <c r="B31" s="13"/>
      <c r="C31" s="13"/>
      <c r="D31" s="13"/>
      <c r="E31" s="13"/>
      <c r="F31" s="13"/>
      <c r="G31" s="48"/>
      <c r="H31" s="48"/>
      <c r="I31" s="48"/>
      <c r="J31" s="48"/>
      <c r="K31" s="48"/>
    </row>
    <row r="32" spans="1:11" hidden="1" x14ac:dyDescent="0.25">
      <c r="A32" s="13" t="s">
        <v>107</v>
      </c>
      <c r="B32" s="13"/>
      <c r="C32" s="13"/>
      <c r="D32" s="13"/>
      <c r="E32" s="13"/>
      <c r="F32" s="13"/>
      <c r="G32" s="48"/>
      <c r="H32" s="48"/>
      <c r="I32" s="48"/>
      <c r="J32" s="48"/>
      <c r="K32" s="48"/>
    </row>
    <row r="33" spans="1:11" hidden="1" x14ac:dyDescent="0.25">
      <c r="A33" s="13" t="s">
        <v>105</v>
      </c>
      <c r="B33" s="13"/>
      <c r="C33" s="13"/>
      <c r="D33" s="13"/>
      <c r="E33" s="13"/>
      <c r="F33" s="13"/>
      <c r="G33" s="48"/>
      <c r="H33" s="48"/>
      <c r="I33" s="48"/>
      <c r="J33" s="48"/>
      <c r="K33" s="48"/>
    </row>
    <row r="34" spans="1:11" hidden="1" x14ac:dyDescent="0.25">
      <c r="A34" s="14" t="s">
        <v>67</v>
      </c>
      <c r="B34" s="14"/>
      <c r="C34" s="14"/>
      <c r="D34" s="14"/>
      <c r="E34" s="14"/>
      <c r="F34" s="14"/>
      <c r="G34" s="48"/>
      <c r="H34" s="48"/>
      <c r="I34" s="48"/>
      <c r="J34" s="48"/>
      <c r="K34" s="48"/>
    </row>
    <row r="35" spans="1:11" hidden="1" x14ac:dyDescent="0.25">
      <c r="A35" s="14" t="s">
        <v>73</v>
      </c>
      <c r="B35" s="14"/>
      <c r="C35" s="14"/>
      <c r="D35" s="14"/>
      <c r="E35" s="14"/>
      <c r="F35" s="14"/>
      <c r="G35" s="48"/>
      <c r="H35" s="48"/>
      <c r="I35" s="48"/>
      <c r="J35" s="48"/>
      <c r="K35" s="48"/>
    </row>
    <row r="36" spans="1:11" hidden="1" x14ac:dyDescent="0.25">
      <c r="A36" s="104" t="s">
        <v>94</v>
      </c>
      <c r="B36" s="103"/>
      <c r="C36" s="103"/>
      <c r="D36" s="103"/>
      <c r="E36" s="103"/>
      <c r="F36" s="103"/>
      <c r="G36" s="48"/>
      <c r="H36" s="48"/>
      <c r="I36" s="48"/>
      <c r="J36" s="48"/>
      <c r="K36" s="48"/>
    </row>
    <row r="37" spans="1:11" hidden="1" x14ac:dyDescent="0.25">
      <c r="A37" s="104" t="s">
        <v>63</v>
      </c>
      <c r="B37" s="103"/>
      <c r="C37" s="103"/>
      <c r="D37" s="103"/>
      <c r="E37" s="103"/>
      <c r="F37" s="103"/>
      <c r="G37" s="48"/>
      <c r="H37" s="48"/>
      <c r="I37" s="48"/>
      <c r="J37" s="48"/>
      <c r="K37" s="48"/>
    </row>
    <row r="38" spans="1:11" hidden="1" x14ac:dyDescent="0.25">
      <c r="A38" s="65" t="s">
        <v>38</v>
      </c>
      <c r="B38" s="5"/>
      <c r="C38" s="5"/>
      <c r="D38" s="5"/>
      <c r="E38" s="5"/>
      <c r="F38" s="5"/>
      <c r="G38" s="48"/>
      <c r="H38" s="48"/>
      <c r="I38" s="48"/>
      <c r="J38" s="48"/>
      <c r="K38" s="48"/>
    </row>
    <row r="39" spans="1:11" hidden="1" x14ac:dyDescent="0.25">
      <c r="A39" s="66" t="s">
        <v>39</v>
      </c>
      <c r="B39" s="5"/>
      <c r="C39" s="5"/>
      <c r="D39" s="5"/>
      <c r="E39" s="5"/>
      <c r="F39" s="5"/>
      <c r="G39" s="48"/>
      <c r="H39" s="48"/>
      <c r="I39" s="48"/>
      <c r="J39" s="48"/>
      <c r="K39" s="48"/>
    </row>
    <row r="40" spans="1:11" hidden="1" x14ac:dyDescent="0.25">
      <c r="A40" s="66" t="s">
        <v>41</v>
      </c>
      <c r="B40" s="5"/>
      <c r="C40" s="5"/>
      <c r="D40" s="5"/>
      <c r="E40" s="5"/>
      <c r="F40" s="5"/>
      <c r="G40" s="48"/>
      <c r="H40" s="48"/>
      <c r="I40" s="48"/>
      <c r="J40" s="48"/>
      <c r="K40" s="48"/>
    </row>
    <row r="41" spans="1:11" hidden="1" x14ac:dyDescent="0.25">
      <c r="A41" s="66" t="s">
        <v>40</v>
      </c>
      <c r="B41" s="5"/>
      <c r="C41" s="5"/>
      <c r="D41" s="5"/>
      <c r="E41" s="5"/>
      <c r="F41" s="5"/>
      <c r="G41" s="48"/>
      <c r="H41" s="48"/>
      <c r="I41" s="48"/>
      <c r="J41" s="48"/>
      <c r="K41" s="48"/>
    </row>
    <row r="42" spans="1:11" hidden="1" x14ac:dyDescent="0.25">
      <c r="A42" s="66" t="s">
        <v>42</v>
      </c>
      <c r="B42" s="5"/>
      <c r="C42" s="5"/>
      <c r="D42" s="5"/>
      <c r="E42" s="5"/>
      <c r="F42" s="5"/>
      <c r="G42" s="48"/>
      <c r="H42" s="48"/>
      <c r="I42" s="48"/>
      <c r="J42" s="48"/>
      <c r="K42" s="48"/>
    </row>
    <row r="43" spans="1:11" hidden="1" x14ac:dyDescent="0.25">
      <c r="A43" s="66" t="s">
        <v>43</v>
      </c>
      <c r="B43" s="5"/>
      <c r="C43" s="5"/>
      <c r="D43" s="5"/>
      <c r="E43" s="5"/>
      <c r="F43" s="5"/>
      <c r="G43" s="48"/>
      <c r="H43" s="48"/>
      <c r="I43" s="48"/>
      <c r="J43" s="48"/>
      <c r="K43" s="48"/>
    </row>
    <row r="44" spans="1:11" hidden="1" x14ac:dyDescent="0.25">
      <c r="A44" s="105" t="s">
        <v>36</v>
      </c>
      <c r="B44" s="103"/>
      <c r="C44" s="103"/>
      <c r="D44" s="103"/>
      <c r="E44" s="103"/>
      <c r="F44" s="103"/>
      <c r="G44" s="48"/>
      <c r="H44" s="48"/>
      <c r="I44" s="48"/>
      <c r="J44" s="48"/>
      <c r="K44" s="48"/>
    </row>
    <row r="45" spans="1:11" hidden="1" x14ac:dyDescent="0.25">
      <c r="A45" s="103" t="s">
        <v>34</v>
      </c>
      <c r="B45" s="103"/>
      <c r="C45" s="103"/>
      <c r="D45" s="103"/>
      <c r="E45" s="103"/>
      <c r="F45" s="103"/>
      <c r="G45" s="48"/>
      <c r="H45" s="48"/>
      <c r="I45" s="48"/>
      <c r="J45" s="48"/>
      <c r="K45" s="48"/>
    </row>
    <row r="46" spans="1:11" hidden="1" x14ac:dyDescent="0.25">
      <c r="A46" s="67">
        <v>-20000</v>
      </c>
      <c r="B46" s="5"/>
      <c r="C46" s="5"/>
      <c r="D46" s="5"/>
      <c r="E46" s="5"/>
      <c r="F46" s="5"/>
      <c r="G46" s="48"/>
      <c r="H46" s="48"/>
      <c r="I46" s="48"/>
      <c r="J46" s="48"/>
      <c r="K46" s="48"/>
    </row>
    <row r="47" spans="1:11" ht="26.4" hidden="1" x14ac:dyDescent="0.25">
      <c r="A47" s="142" t="s">
        <v>138</v>
      </c>
      <c r="B47" s="103"/>
      <c r="C47" s="103"/>
      <c r="D47" s="103"/>
      <c r="E47" s="103"/>
      <c r="F47" s="103"/>
      <c r="G47" s="48"/>
      <c r="H47" s="48"/>
      <c r="I47" s="48"/>
      <c r="J47" s="48"/>
      <c r="K47" s="48"/>
    </row>
    <row r="48" spans="1:11" ht="26.4" hidden="1" x14ac:dyDescent="0.25">
      <c r="A48" s="142" t="s">
        <v>137</v>
      </c>
      <c r="B48" s="103"/>
      <c r="C48" s="103"/>
      <c r="D48" s="103"/>
      <c r="E48" s="103"/>
      <c r="F48" s="103"/>
      <c r="G48" s="48"/>
      <c r="H48" s="48"/>
      <c r="I48" s="48"/>
      <c r="J48" s="48"/>
      <c r="K48" s="48"/>
    </row>
    <row r="49" spans="1:11" ht="26.4" hidden="1" x14ac:dyDescent="0.25">
      <c r="A49" s="143" t="s">
        <v>139</v>
      </c>
      <c r="B49" s="5"/>
      <c r="C49" s="5"/>
      <c r="D49" s="5"/>
      <c r="E49" s="5"/>
      <c r="F49" s="5"/>
      <c r="G49" s="48"/>
      <c r="H49" s="48"/>
      <c r="I49" s="48"/>
      <c r="J49" s="48"/>
      <c r="K49" s="48"/>
    </row>
    <row r="50" spans="1:11" ht="26.4" hidden="1" x14ac:dyDescent="0.25">
      <c r="A50" s="143" t="s">
        <v>113</v>
      </c>
      <c r="B50" s="5"/>
      <c r="C50" s="5"/>
      <c r="D50" s="5"/>
      <c r="E50" s="5"/>
      <c r="F50" s="5"/>
      <c r="G50" s="48"/>
      <c r="H50" s="48"/>
      <c r="I50" s="48"/>
      <c r="J50" s="48"/>
      <c r="K50" s="48"/>
    </row>
    <row r="51" spans="1:11" ht="39.6" hidden="1" x14ac:dyDescent="0.25">
      <c r="A51" s="143" t="s">
        <v>114</v>
      </c>
      <c r="B51" s="133"/>
      <c r="C51" s="133"/>
      <c r="D51" s="141"/>
      <c r="E51" s="68"/>
      <c r="F51" s="68"/>
      <c r="G51" s="48"/>
      <c r="H51" s="48"/>
      <c r="I51" s="48"/>
      <c r="J51" s="48"/>
      <c r="K51" s="48"/>
    </row>
    <row r="52" spans="1:11" hidden="1" x14ac:dyDescent="0.25">
      <c r="A52" s="138" t="s">
        <v>117</v>
      </c>
      <c r="B52" s="139"/>
      <c r="C52" s="139"/>
      <c r="D52" s="132"/>
      <c r="E52" s="69"/>
      <c r="F52" s="69" t="b">
        <v>1</v>
      </c>
      <c r="G52" s="48"/>
      <c r="H52" s="48"/>
      <c r="I52" s="48"/>
      <c r="J52" s="48"/>
      <c r="K52" s="48"/>
    </row>
    <row r="53" spans="1:11" hidden="1" x14ac:dyDescent="0.25">
      <c r="A53" s="140" t="s">
        <v>140</v>
      </c>
      <c r="B53" s="138"/>
      <c r="C53" s="138"/>
      <c r="D53" s="138"/>
      <c r="E53" s="69"/>
      <c r="F53" s="69" t="b">
        <v>0</v>
      </c>
      <c r="G53" s="48"/>
      <c r="H53" s="48"/>
      <c r="I53" s="48"/>
      <c r="J53" s="48"/>
      <c r="K53" s="48"/>
    </row>
    <row r="54" spans="1:11" hidden="1" x14ac:dyDescent="0.25">
      <c r="A54" s="144"/>
      <c r="B54" s="134">
        <f>COUNT(Travel!B12:B18)</f>
        <v>5</v>
      </c>
      <c r="C54" s="134"/>
      <c r="D54" s="134">
        <f>COUNTIF(Travel!D12:D18,"*")</f>
        <v>5</v>
      </c>
      <c r="E54" s="135"/>
      <c r="F54" s="135" t="b">
        <f>MIN(B54,D54)=MAX(B54,D54)</f>
        <v>1</v>
      </c>
      <c r="G54" s="48"/>
      <c r="H54" s="48"/>
      <c r="I54" s="48"/>
      <c r="J54" s="48"/>
      <c r="K54" s="48"/>
    </row>
    <row r="55" spans="1:11" hidden="1" x14ac:dyDescent="0.25">
      <c r="A55" s="144" t="s">
        <v>111</v>
      </c>
      <c r="B55" s="134">
        <f>COUNT(Travel!B23:B98)</f>
        <v>75</v>
      </c>
      <c r="C55" s="134"/>
      <c r="D55" s="134">
        <f>COUNTIF(Travel!D23:D98,"*")</f>
        <v>75</v>
      </c>
      <c r="E55" s="135"/>
      <c r="F55" s="135" t="b">
        <f>MIN(B55,D55)=MAX(B55,D55)</f>
        <v>1</v>
      </c>
    </row>
    <row r="56" spans="1:11" hidden="1" x14ac:dyDescent="0.25">
      <c r="A56" s="145"/>
      <c r="B56" s="134">
        <f>COUNT(Travel!B104:B113)</f>
        <v>6</v>
      </c>
      <c r="C56" s="134"/>
      <c r="D56" s="134">
        <f>COUNTIF(Travel!D104:D113,"*")</f>
        <v>6</v>
      </c>
      <c r="E56" s="135"/>
      <c r="F56" s="135" t="b">
        <f>MIN(B56,D56)=MAX(B56,D56)</f>
        <v>1</v>
      </c>
    </row>
    <row r="57" spans="1:11" hidden="1" x14ac:dyDescent="0.25">
      <c r="A57" s="146" t="s">
        <v>109</v>
      </c>
      <c r="B57" s="136">
        <f>COUNT(Hospitality!B11:B28)</f>
        <v>16</v>
      </c>
      <c r="C57" s="136"/>
      <c r="D57" s="136">
        <f>COUNTIF(Hospitality!D11:D28,"*")</f>
        <v>16</v>
      </c>
      <c r="E57" s="137"/>
      <c r="F57" s="137" t="b">
        <f>MIN(B57,D57)=MAX(B57,D57)</f>
        <v>1</v>
      </c>
    </row>
    <row r="58" spans="1:11" hidden="1" x14ac:dyDescent="0.25">
      <c r="A58" s="147" t="s">
        <v>110</v>
      </c>
      <c r="B58" s="135">
        <f>COUNT('All other expenses'!B11:B24)</f>
        <v>0</v>
      </c>
      <c r="C58" s="135"/>
      <c r="D58" s="135">
        <f>COUNTIF('All other expenses'!D11:D24,"*")</f>
        <v>0</v>
      </c>
      <c r="E58" s="135"/>
      <c r="F58" s="135" t="b">
        <f>MIN(B58,D58)=MAX(B58,D58)</f>
        <v>1</v>
      </c>
    </row>
    <row r="59" spans="1:11" hidden="1" x14ac:dyDescent="0.25">
      <c r="A59" s="146" t="s">
        <v>108</v>
      </c>
      <c r="B59" s="136">
        <f>COUNTIF('Gifts and benefits'!B11:B24,"*")</f>
        <v>7</v>
      </c>
      <c r="C59" s="136">
        <f>COUNTIF('Gifts and benefits'!C11:C24,"*")</f>
        <v>7</v>
      </c>
      <c r="D59" s="136"/>
      <c r="E59" s="136">
        <f>COUNTA('Gifts and benefits'!E11:E24)</f>
        <v>7</v>
      </c>
      <c r="F59" s="137" t="b">
        <f>MIN(B59,C59,E59)=MAX(B59,C59,E59)</f>
        <v>1</v>
      </c>
    </row>
    <row r="60" spans="1:11" x14ac:dyDescent="0.25"/>
    <row r="61" spans="1:11" hidden="1" x14ac:dyDescent="0.25"/>
    <row r="62" spans="1:11" hidden="1" x14ac:dyDescent="0.25"/>
    <row r="63" spans="1:11" hidden="1" x14ac:dyDescent="0.25"/>
    <row r="64" spans="1:11"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sheetProtection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88"/>
  <sheetViews>
    <sheetView topLeftCell="A10" zoomScaleNormal="100" workbookViewId="0">
      <selection activeCell="B37" sqref="B37"/>
    </sheetView>
  </sheetViews>
  <sheetFormatPr defaultColWidth="0" defaultRowHeight="13.2" zeroHeight="1" x14ac:dyDescent="0.25"/>
  <cols>
    <col min="1" max="1" width="35.6640625" style="17" customWidth="1"/>
    <col min="2" max="2" width="14.33203125" style="17" customWidth="1"/>
    <col min="3" max="3" width="71.44140625" style="17" customWidth="1"/>
    <col min="4" max="4" width="50" style="17" customWidth="1"/>
    <col min="5" max="5" width="21.44140625" style="17" customWidth="1"/>
    <col min="6" max="6" width="37.5546875" style="17" customWidth="1"/>
    <col min="7" max="9" width="9.109375" style="17" hidden="1" customWidth="1"/>
    <col min="10" max="13" width="0" style="17" hidden="1" customWidth="1"/>
    <col min="14" max="16384" width="9.109375" style="17" hidden="1"/>
  </cols>
  <sheetData>
    <row r="1" spans="1:6" ht="26.25" customHeight="1" x14ac:dyDescent="0.25">
      <c r="A1" s="166" t="s">
        <v>6</v>
      </c>
      <c r="B1" s="166"/>
      <c r="C1" s="166"/>
      <c r="D1" s="166"/>
      <c r="E1" s="166"/>
      <c r="F1" s="48"/>
    </row>
    <row r="2" spans="1:6" ht="21" customHeight="1" x14ac:dyDescent="0.25">
      <c r="A2" s="4" t="s">
        <v>2</v>
      </c>
      <c r="B2" s="169" t="str">
        <f>'Summary and sign-off'!B2:F2</f>
        <v>The Department of Conservation</v>
      </c>
      <c r="C2" s="169"/>
      <c r="D2" s="169"/>
      <c r="E2" s="169"/>
      <c r="F2" s="48"/>
    </row>
    <row r="3" spans="1:6" ht="21" customHeight="1" x14ac:dyDescent="0.25">
      <c r="A3" s="4" t="s">
        <v>3</v>
      </c>
      <c r="B3" s="169" t="str">
        <f>'Summary and sign-off'!B3:F3</f>
        <v>Lou Sanson</v>
      </c>
      <c r="C3" s="169"/>
      <c r="D3" s="169"/>
      <c r="E3" s="169"/>
      <c r="F3" s="48"/>
    </row>
    <row r="4" spans="1:6" ht="21" customHeight="1" x14ac:dyDescent="0.25">
      <c r="A4" s="4" t="s">
        <v>77</v>
      </c>
      <c r="B4" s="169">
        <f>'Summary and sign-off'!B4:F4</f>
        <v>43282</v>
      </c>
      <c r="C4" s="169"/>
      <c r="D4" s="169"/>
      <c r="E4" s="169"/>
      <c r="F4" s="48"/>
    </row>
    <row r="5" spans="1:6" ht="21" customHeight="1" x14ac:dyDescent="0.25">
      <c r="A5" s="4" t="s">
        <v>78</v>
      </c>
      <c r="B5" s="169">
        <f>'Summary and sign-off'!B5:F5</f>
        <v>43646</v>
      </c>
      <c r="C5" s="169"/>
      <c r="D5" s="169"/>
      <c r="E5" s="169"/>
      <c r="F5" s="48"/>
    </row>
    <row r="6" spans="1:6" ht="21" customHeight="1" x14ac:dyDescent="0.25">
      <c r="A6" s="4" t="s">
        <v>29</v>
      </c>
      <c r="B6" s="164" t="s">
        <v>28</v>
      </c>
      <c r="C6" s="164"/>
      <c r="D6" s="164"/>
      <c r="E6" s="164"/>
      <c r="F6" s="48"/>
    </row>
    <row r="7" spans="1:6" ht="21" customHeight="1" x14ac:dyDescent="0.25">
      <c r="A7" s="4" t="s">
        <v>104</v>
      </c>
      <c r="B7" s="164" t="s">
        <v>116</v>
      </c>
      <c r="C7" s="164"/>
      <c r="D7" s="164"/>
      <c r="E7" s="164"/>
      <c r="F7" s="48"/>
    </row>
    <row r="8" spans="1:6" ht="36" customHeight="1" x14ac:dyDescent="0.25">
      <c r="A8" s="172" t="s">
        <v>4</v>
      </c>
      <c r="B8" s="173"/>
      <c r="C8" s="173"/>
      <c r="D8" s="173"/>
      <c r="E8" s="173"/>
      <c r="F8" s="24"/>
    </row>
    <row r="9" spans="1:6" ht="36" customHeight="1" x14ac:dyDescent="0.25">
      <c r="A9" s="174" t="s">
        <v>142</v>
      </c>
      <c r="B9" s="175"/>
      <c r="C9" s="175"/>
      <c r="D9" s="175"/>
      <c r="E9" s="175"/>
      <c r="F9" s="24"/>
    </row>
    <row r="10" spans="1:6" ht="24.75" customHeight="1" x14ac:dyDescent="0.3">
      <c r="A10" s="171" t="s">
        <v>143</v>
      </c>
      <c r="B10" s="176"/>
      <c r="C10" s="171"/>
      <c r="D10" s="171"/>
      <c r="E10" s="171"/>
      <c r="F10" s="49"/>
    </row>
    <row r="11" spans="1:6" ht="27" customHeight="1" x14ac:dyDescent="0.25">
      <c r="A11" s="37" t="s">
        <v>49</v>
      </c>
      <c r="B11" s="37" t="s">
        <v>144</v>
      </c>
      <c r="C11" s="37" t="s">
        <v>145</v>
      </c>
      <c r="D11" s="37" t="s">
        <v>102</v>
      </c>
      <c r="E11" s="37" t="s">
        <v>76</v>
      </c>
      <c r="F11" s="50"/>
    </row>
    <row r="12" spans="1:6" s="89" customFormat="1" hidden="1" x14ac:dyDescent="0.25">
      <c r="A12" s="114"/>
      <c r="B12" s="111"/>
      <c r="C12" s="112"/>
      <c r="D12" s="112"/>
      <c r="E12" s="113"/>
      <c r="F12" s="1"/>
    </row>
    <row r="13" spans="1:6" s="89" customFormat="1" x14ac:dyDescent="0.25">
      <c r="A13" s="159" t="s">
        <v>199</v>
      </c>
      <c r="B13" s="111">
        <f>838.17-119.67+668.9+81+147.49</f>
        <v>1615.89</v>
      </c>
      <c r="C13" s="112" t="s">
        <v>217</v>
      </c>
      <c r="D13" s="112" t="s">
        <v>207</v>
      </c>
      <c r="E13" s="113" t="s">
        <v>208</v>
      </c>
      <c r="F13" s="1"/>
    </row>
    <row r="14" spans="1:6" s="89" customFormat="1" x14ac:dyDescent="0.25">
      <c r="A14" s="159" t="s">
        <v>200</v>
      </c>
      <c r="B14" s="111">
        <f>41.5+495.52+650.25+50+760.44+0.5+14.5*2+686.96+616.46+57.21+100.47+30.58+26.47+72.08+30.47+75.76+93.21+68.94+21.87-277.32</f>
        <v>3630.3699999999994</v>
      </c>
      <c r="C14" s="112" t="s">
        <v>218</v>
      </c>
      <c r="D14" s="112" t="s">
        <v>202</v>
      </c>
      <c r="E14" s="113" t="s">
        <v>209</v>
      </c>
      <c r="F14" s="1"/>
    </row>
    <row r="15" spans="1:6" s="89" customFormat="1" x14ac:dyDescent="0.25">
      <c r="A15" s="159" t="s">
        <v>201</v>
      </c>
      <c r="B15" s="111">
        <f>890.7+25*3+116.91+92+2609.76+0.5+169.92+12.82+21.38+16.07+20.93+21.58+13.46+20.03+12.15-(652.44*3)</f>
        <v>2135.8900000000008</v>
      </c>
      <c r="C15" s="112" t="s">
        <v>219</v>
      </c>
      <c r="D15" s="112" t="s">
        <v>283</v>
      </c>
      <c r="E15" s="113" t="s">
        <v>210</v>
      </c>
      <c r="F15" s="1"/>
    </row>
    <row r="16" spans="1:6" s="89" customFormat="1" x14ac:dyDescent="0.25">
      <c r="A16" s="114">
        <v>43613</v>
      </c>
      <c r="B16" s="111">
        <f>41.5+954.83</f>
        <v>996.33</v>
      </c>
      <c r="C16" s="112" t="s">
        <v>203</v>
      </c>
      <c r="D16" s="112" t="s">
        <v>206</v>
      </c>
      <c r="E16" s="113" t="s">
        <v>204</v>
      </c>
      <c r="F16" s="1"/>
    </row>
    <row r="17" spans="1:6" s="89" customFormat="1" ht="22.5" customHeight="1" x14ac:dyDescent="0.25">
      <c r="A17" s="114">
        <v>43613</v>
      </c>
      <c r="B17" s="111">
        <f>187.1+351.4+2304.73</f>
        <v>2843.23</v>
      </c>
      <c r="C17" s="112" t="s">
        <v>205</v>
      </c>
      <c r="D17" s="112" t="s">
        <v>206</v>
      </c>
      <c r="E17" s="113" t="s">
        <v>349</v>
      </c>
      <c r="F17" s="1"/>
    </row>
    <row r="18" spans="1:6" s="89" customFormat="1" hidden="1" x14ac:dyDescent="0.25">
      <c r="A18" s="124"/>
      <c r="B18" s="125"/>
      <c r="C18" s="126"/>
      <c r="D18" s="126"/>
      <c r="E18" s="127"/>
      <c r="F18" s="1"/>
    </row>
    <row r="19" spans="1:6" ht="19.5" customHeight="1" x14ac:dyDescent="0.25">
      <c r="A19" s="128" t="s">
        <v>154</v>
      </c>
      <c r="B19" s="129">
        <f>SUM(B12:B18)</f>
        <v>11221.71</v>
      </c>
      <c r="C19" s="130" t="str">
        <f>IF(SUBTOTAL(3,B12:B18)=SUBTOTAL(103,B12:B18),'Summary and sign-off'!$A$47,'Summary and sign-off'!$A$48)</f>
        <v>Check - there are no hidden rows with data</v>
      </c>
      <c r="D19" s="170" t="str">
        <f>IF('Summary and sign-off'!F54='Summary and sign-off'!F53,'Summary and sign-off'!A50,'Summary and sign-off'!A49)</f>
        <v>Check - each entry provides sufficient information</v>
      </c>
      <c r="E19" s="170"/>
      <c r="F19" s="48"/>
    </row>
    <row r="20" spans="1:6" ht="10.5" customHeight="1" x14ac:dyDescent="0.25">
      <c r="A20" s="29"/>
      <c r="B20" s="24"/>
      <c r="C20" s="29"/>
      <c r="D20" s="29"/>
      <c r="E20" s="29"/>
      <c r="F20" s="29"/>
    </row>
    <row r="21" spans="1:6" ht="24.75" customHeight="1" x14ac:dyDescent="0.3">
      <c r="A21" s="171" t="s">
        <v>92</v>
      </c>
      <c r="B21" s="171"/>
      <c r="C21" s="171"/>
      <c r="D21" s="171"/>
      <c r="E21" s="171"/>
      <c r="F21" s="49"/>
    </row>
    <row r="22" spans="1:6" ht="27" customHeight="1" x14ac:dyDescent="0.25">
      <c r="A22" s="37" t="s">
        <v>49</v>
      </c>
      <c r="B22" s="37" t="s">
        <v>31</v>
      </c>
      <c r="C22" s="37" t="s">
        <v>146</v>
      </c>
      <c r="D22" s="37" t="s">
        <v>102</v>
      </c>
      <c r="E22" s="37" t="s">
        <v>76</v>
      </c>
      <c r="F22" s="50"/>
    </row>
    <row r="23" spans="1:6" s="89" customFormat="1" hidden="1" x14ac:dyDescent="0.25">
      <c r="A23" s="114"/>
      <c r="B23" s="111"/>
      <c r="C23" s="112"/>
      <c r="D23" s="112"/>
      <c r="E23" s="113"/>
      <c r="F23" s="1"/>
    </row>
    <row r="24" spans="1:6" s="89" customFormat="1" x14ac:dyDescent="0.25">
      <c r="A24" s="159" t="s">
        <v>229</v>
      </c>
      <c r="B24" s="111">
        <f>352.13+2.61+12.5+205.73+239.76-77.55+178.26</f>
        <v>913.44</v>
      </c>
      <c r="C24" s="112" t="s">
        <v>291</v>
      </c>
      <c r="D24" s="112" t="s">
        <v>221</v>
      </c>
      <c r="E24" s="113" t="s">
        <v>223</v>
      </c>
      <c r="F24" s="1"/>
    </row>
    <row r="25" spans="1:6" s="89" customFormat="1" x14ac:dyDescent="0.25">
      <c r="A25" s="159">
        <v>43304</v>
      </c>
      <c r="B25" s="111">
        <f>146.96+7.5</f>
        <v>154.46</v>
      </c>
      <c r="C25" s="112" t="s">
        <v>292</v>
      </c>
      <c r="D25" s="112" t="s">
        <v>222</v>
      </c>
      <c r="E25" s="113" t="s">
        <v>186</v>
      </c>
      <c r="F25" s="1"/>
    </row>
    <row r="26" spans="1:6" s="89" customFormat="1" x14ac:dyDescent="0.25">
      <c r="A26" s="159">
        <v>43304</v>
      </c>
      <c r="B26" s="111">
        <f>12.73+45+7+21+176.08+49+120.87</f>
        <v>431.68</v>
      </c>
      <c r="C26" s="112" t="s">
        <v>293</v>
      </c>
      <c r="D26" s="112" t="s">
        <v>224</v>
      </c>
      <c r="E26" s="113" t="s">
        <v>225</v>
      </c>
      <c r="F26" s="1"/>
    </row>
    <row r="27" spans="1:6" s="89" customFormat="1" x14ac:dyDescent="0.25">
      <c r="A27" s="159">
        <v>43304</v>
      </c>
      <c r="B27" s="111">
        <f>159.31+12.5+1+7</f>
        <v>179.81</v>
      </c>
      <c r="C27" s="112" t="s">
        <v>294</v>
      </c>
      <c r="D27" s="112" t="s">
        <v>241</v>
      </c>
      <c r="E27" s="113" t="s">
        <v>226</v>
      </c>
      <c r="F27" s="1"/>
    </row>
    <row r="28" spans="1:6" s="89" customFormat="1" x14ac:dyDescent="0.25">
      <c r="A28" s="159" t="s">
        <v>227</v>
      </c>
      <c r="B28" s="111">
        <f>14+40+93.4+14.78+49.23+41.24</f>
        <v>252.65</v>
      </c>
      <c r="C28" s="112" t="s">
        <v>290</v>
      </c>
      <c r="D28" s="112" t="s">
        <v>289</v>
      </c>
      <c r="E28" s="113" t="s">
        <v>228</v>
      </c>
      <c r="F28" s="1"/>
    </row>
    <row r="29" spans="1:6" s="89" customFormat="1" x14ac:dyDescent="0.25">
      <c r="A29" s="159" t="s">
        <v>227</v>
      </c>
      <c r="B29" s="111">
        <f>340.26+286.96+22.5</f>
        <v>649.72</v>
      </c>
      <c r="C29" s="112" t="s">
        <v>295</v>
      </c>
      <c r="D29" s="112" t="s">
        <v>221</v>
      </c>
      <c r="E29" s="113" t="s">
        <v>186</v>
      </c>
      <c r="F29" s="1"/>
    </row>
    <row r="30" spans="1:6" s="89" customFormat="1" x14ac:dyDescent="0.25">
      <c r="A30" s="159" t="s">
        <v>227</v>
      </c>
      <c r="B30" s="111">
        <f>289.66+198.82+7+12.5</f>
        <v>507.98</v>
      </c>
      <c r="C30" s="112" t="s">
        <v>296</v>
      </c>
      <c r="D30" s="112" t="s">
        <v>221</v>
      </c>
      <c r="E30" s="113" t="s">
        <v>228</v>
      </c>
      <c r="F30" s="1"/>
    </row>
    <row r="31" spans="1:6" s="89" customFormat="1" x14ac:dyDescent="0.25">
      <c r="A31" s="159" t="s">
        <v>227</v>
      </c>
      <c r="B31" s="111">
        <f>417.01+22.5</f>
        <v>439.51</v>
      </c>
      <c r="C31" s="112" t="s">
        <v>297</v>
      </c>
      <c r="D31" s="112" t="s">
        <v>221</v>
      </c>
      <c r="E31" s="113" t="s">
        <v>186</v>
      </c>
      <c r="F31" s="1"/>
    </row>
    <row r="32" spans="1:6" s="89" customFormat="1" x14ac:dyDescent="0.25">
      <c r="A32" s="159" t="s">
        <v>227</v>
      </c>
      <c r="B32" s="111">
        <f>102.74+198.82+291.04+22.5</f>
        <v>615.1</v>
      </c>
      <c r="C32" s="112" t="s">
        <v>298</v>
      </c>
      <c r="D32" s="112" t="s">
        <v>221</v>
      </c>
      <c r="E32" s="113" t="s">
        <v>277</v>
      </c>
      <c r="F32" s="1"/>
    </row>
    <row r="33" spans="1:6" s="89" customFormat="1" x14ac:dyDescent="0.25">
      <c r="A33" s="159" t="s">
        <v>227</v>
      </c>
      <c r="B33" s="111">
        <f>18.09</f>
        <v>18.09</v>
      </c>
      <c r="C33" s="112" t="s">
        <v>299</v>
      </c>
      <c r="D33" s="112" t="s">
        <v>286</v>
      </c>
      <c r="E33" s="113" t="s">
        <v>250</v>
      </c>
      <c r="F33" s="1"/>
    </row>
    <row r="34" spans="1:6" s="89" customFormat="1" x14ac:dyDescent="0.25">
      <c r="A34" s="159" t="s">
        <v>227</v>
      </c>
      <c r="B34" s="111">
        <f>312.76+22.5</f>
        <v>335.26</v>
      </c>
      <c r="C34" s="112" t="s">
        <v>300</v>
      </c>
      <c r="D34" s="112" t="s">
        <v>221</v>
      </c>
      <c r="E34" s="113" t="s">
        <v>276</v>
      </c>
      <c r="F34" s="1"/>
    </row>
    <row r="35" spans="1:6" s="89" customFormat="1" x14ac:dyDescent="0.25">
      <c r="A35" s="159" t="s">
        <v>227</v>
      </c>
      <c r="B35" s="111">
        <f>198.82</f>
        <v>198.82</v>
      </c>
      <c r="C35" s="112" t="s">
        <v>303</v>
      </c>
      <c r="D35" s="112" t="s">
        <v>221</v>
      </c>
      <c r="E35" s="113" t="s">
        <v>278</v>
      </c>
      <c r="F35" s="1"/>
    </row>
    <row r="36" spans="1:6" s="89" customFormat="1" x14ac:dyDescent="0.25">
      <c r="A36" s="159" t="s">
        <v>227</v>
      </c>
      <c r="B36" s="111">
        <f>445.5+19.5+42.6+329.8</f>
        <v>837.40000000000009</v>
      </c>
      <c r="C36" s="112" t="s">
        <v>301</v>
      </c>
      <c r="D36" s="112" t="s">
        <v>302</v>
      </c>
      <c r="E36" s="113" t="s">
        <v>249</v>
      </c>
      <c r="F36" s="1"/>
    </row>
    <row r="37" spans="1:6" s="89" customFormat="1" x14ac:dyDescent="0.25">
      <c r="A37" s="159" t="s">
        <v>232</v>
      </c>
      <c r="B37" s="111">
        <f>326.01+22.5+170.93+134.89</f>
        <v>654.33000000000004</v>
      </c>
      <c r="C37" s="112" t="s">
        <v>304</v>
      </c>
      <c r="D37" s="112" t="s">
        <v>305</v>
      </c>
      <c r="E37" s="113" t="s">
        <v>226</v>
      </c>
      <c r="F37" s="1"/>
    </row>
    <row r="38" spans="1:6" s="89" customFormat="1" x14ac:dyDescent="0.25">
      <c r="A38" s="159">
        <v>43343</v>
      </c>
      <c r="B38" s="111">
        <f>10.09+10.7+11.91+66.43</f>
        <v>99.13000000000001</v>
      </c>
      <c r="C38" s="112" t="s">
        <v>230</v>
      </c>
      <c r="D38" s="112" t="s">
        <v>231</v>
      </c>
      <c r="E38" s="113" t="s">
        <v>226</v>
      </c>
      <c r="F38" s="1"/>
    </row>
    <row r="39" spans="1:6" s="89" customFormat="1" x14ac:dyDescent="0.25">
      <c r="A39" s="159">
        <v>43343</v>
      </c>
      <c r="B39" s="111">
        <f>41.91+48.17+47.48+22.17</f>
        <v>159.73000000000002</v>
      </c>
      <c r="C39" s="112" t="s">
        <v>230</v>
      </c>
      <c r="D39" s="112" t="s">
        <v>306</v>
      </c>
      <c r="E39" s="113" t="s">
        <v>186</v>
      </c>
      <c r="F39" s="1"/>
    </row>
    <row r="40" spans="1:6" s="89" customFormat="1" x14ac:dyDescent="0.25">
      <c r="A40" s="159" t="s">
        <v>232</v>
      </c>
      <c r="B40" s="111">
        <f>270.03+400.96+(12.5*2)+13.04</f>
        <v>709.03</v>
      </c>
      <c r="C40" s="112" t="s">
        <v>307</v>
      </c>
      <c r="D40" s="112" t="s">
        <v>221</v>
      </c>
      <c r="E40" s="113" t="s">
        <v>186</v>
      </c>
      <c r="F40" s="1"/>
    </row>
    <row r="41" spans="1:6" s="89" customFormat="1" x14ac:dyDescent="0.25">
      <c r="A41" s="159" t="s">
        <v>232</v>
      </c>
      <c r="B41" s="111">
        <f>93.04+12.5+26.09+353.91+59.13</f>
        <v>544.67000000000007</v>
      </c>
      <c r="C41" s="112" t="s">
        <v>308</v>
      </c>
      <c r="D41" s="112" t="s">
        <v>326</v>
      </c>
      <c r="E41" s="113" t="s">
        <v>279</v>
      </c>
      <c r="F41" s="1"/>
    </row>
    <row r="42" spans="1:6" s="89" customFormat="1" x14ac:dyDescent="0.25">
      <c r="A42" s="159" t="s">
        <v>232</v>
      </c>
      <c r="B42" s="111">
        <f>8.7+309.4+20.5</f>
        <v>338.59999999999997</v>
      </c>
      <c r="C42" s="112" t="s">
        <v>309</v>
      </c>
      <c r="D42" s="112" t="s">
        <v>221</v>
      </c>
      <c r="E42" s="113" t="s">
        <v>226</v>
      </c>
      <c r="F42" s="1"/>
    </row>
    <row r="43" spans="1:6" s="89" customFormat="1" x14ac:dyDescent="0.25">
      <c r="A43" s="159" t="s">
        <v>232</v>
      </c>
      <c r="B43" s="111">
        <f>411.47+12.5</f>
        <v>423.97</v>
      </c>
      <c r="C43" s="112" t="s">
        <v>310</v>
      </c>
      <c r="D43" s="112" t="s">
        <v>221</v>
      </c>
      <c r="E43" s="113" t="s">
        <v>226</v>
      </c>
      <c r="F43" s="1"/>
    </row>
    <row r="44" spans="1:6" s="89" customFormat="1" x14ac:dyDescent="0.25">
      <c r="A44" s="159" t="s">
        <v>232</v>
      </c>
      <c r="B44" s="111">
        <f>402.88+25+307.92-307.92</f>
        <v>427.87999999999994</v>
      </c>
      <c r="C44" s="112" t="s">
        <v>287</v>
      </c>
      <c r="D44" s="112" t="s">
        <v>221</v>
      </c>
      <c r="E44" s="113" t="s">
        <v>186</v>
      </c>
      <c r="F44" s="1"/>
    </row>
    <row r="45" spans="1:6" s="89" customFormat="1" x14ac:dyDescent="0.25">
      <c r="A45" s="159" t="s">
        <v>232</v>
      </c>
      <c r="B45" s="111">
        <f>367.67-190.33</f>
        <v>177.34</v>
      </c>
      <c r="C45" s="112" t="s">
        <v>288</v>
      </c>
      <c r="D45" s="112" t="s">
        <v>224</v>
      </c>
      <c r="E45" s="113" t="s">
        <v>250</v>
      </c>
      <c r="F45" s="1"/>
    </row>
    <row r="46" spans="1:6" s="89" customFormat="1" x14ac:dyDescent="0.25">
      <c r="A46" s="159" t="s">
        <v>232</v>
      </c>
      <c r="B46" s="111">
        <f>13.22+118.17</f>
        <v>131.39000000000001</v>
      </c>
      <c r="C46" s="112" t="s">
        <v>230</v>
      </c>
      <c r="D46" s="112" t="s">
        <v>233</v>
      </c>
      <c r="E46" s="113" t="s">
        <v>226</v>
      </c>
      <c r="F46" s="1"/>
    </row>
    <row r="47" spans="1:6" s="89" customFormat="1" x14ac:dyDescent="0.25">
      <c r="A47" s="159">
        <v>43371</v>
      </c>
      <c r="B47" s="111">
        <f>32.9</f>
        <v>32.9</v>
      </c>
      <c r="C47" s="112" t="s">
        <v>230</v>
      </c>
      <c r="D47" s="112" t="s">
        <v>233</v>
      </c>
      <c r="E47" s="113" t="s">
        <v>186</v>
      </c>
      <c r="F47" s="1"/>
    </row>
    <row r="48" spans="1:6" s="89" customFormat="1" x14ac:dyDescent="0.25">
      <c r="A48" s="159">
        <v>43371</v>
      </c>
      <c r="B48" s="111">
        <f>56.94+16.52+23.04</f>
        <v>96.5</v>
      </c>
      <c r="C48" s="112" t="s">
        <v>234</v>
      </c>
      <c r="D48" s="112" t="s">
        <v>236</v>
      </c>
      <c r="E48" s="113" t="s">
        <v>235</v>
      </c>
      <c r="F48" s="1"/>
    </row>
    <row r="49" spans="1:6" s="89" customFormat="1" x14ac:dyDescent="0.25">
      <c r="A49" s="159">
        <v>43404</v>
      </c>
      <c r="B49" s="111">
        <f>205.46+12.5+14+10.5+121.74+19.65</f>
        <v>383.84999999999997</v>
      </c>
      <c r="C49" s="112" t="s">
        <v>311</v>
      </c>
      <c r="D49" s="112" t="s">
        <v>318</v>
      </c>
      <c r="E49" s="113" t="s">
        <v>252</v>
      </c>
      <c r="F49" s="1"/>
    </row>
    <row r="50" spans="1:6" s="89" customFormat="1" ht="24.75" customHeight="1" x14ac:dyDescent="0.25">
      <c r="A50" s="159">
        <v>43404</v>
      </c>
      <c r="B50" s="111">
        <f>281.9+12.5+8.7+802.21+319.97+143.48+7.5+35+20.87-177.82-250</f>
        <v>1204.31</v>
      </c>
      <c r="C50" s="112" t="s">
        <v>312</v>
      </c>
      <c r="D50" s="112" t="s">
        <v>285</v>
      </c>
      <c r="E50" s="113" t="s">
        <v>226</v>
      </c>
      <c r="F50" s="1"/>
    </row>
    <row r="51" spans="1:6" s="89" customFormat="1" x14ac:dyDescent="0.25">
      <c r="A51" s="159">
        <v>43404</v>
      </c>
      <c r="B51" s="111">
        <f>352.13+12.5</f>
        <v>364.63</v>
      </c>
      <c r="C51" s="112" t="s">
        <v>313</v>
      </c>
      <c r="D51" s="112" t="s">
        <v>280</v>
      </c>
      <c r="E51" s="113" t="s">
        <v>226</v>
      </c>
      <c r="F51" s="1"/>
    </row>
    <row r="52" spans="1:6" s="89" customFormat="1" x14ac:dyDescent="0.25">
      <c r="A52" s="159">
        <v>43404</v>
      </c>
      <c r="B52" s="111">
        <f>154.95</f>
        <v>154.94999999999999</v>
      </c>
      <c r="C52" s="112" t="s">
        <v>314</v>
      </c>
      <c r="D52" s="112" t="s">
        <v>237</v>
      </c>
      <c r="E52" s="113" t="s">
        <v>209</v>
      </c>
      <c r="F52" s="1"/>
    </row>
    <row r="53" spans="1:6" s="89" customFormat="1" x14ac:dyDescent="0.25">
      <c r="A53" s="159">
        <v>43404</v>
      </c>
      <c r="B53" s="111">
        <f>140.09+7.5</f>
        <v>147.59</v>
      </c>
      <c r="C53" s="112" t="s">
        <v>315</v>
      </c>
      <c r="D53" s="112" t="s">
        <v>238</v>
      </c>
      <c r="E53" s="113" t="s">
        <v>226</v>
      </c>
      <c r="F53" s="1"/>
    </row>
    <row r="54" spans="1:6" s="89" customFormat="1" x14ac:dyDescent="0.25">
      <c r="A54" s="159">
        <v>43434</v>
      </c>
      <c r="B54" s="111">
        <f>150.34+180.42+35+75.6</f>
        <v>441.36</v>
      </c>
      <c r="C54" s="112" t="s">
        <v>316</v>
      </c>
      <c r="D54" s="112" t="s">
        <v>221</v>
      </c>
      <c r="E54" s="113" t="s">
        <v>249</v>
      </c>
      <c r="F54" s="1"/>
    </row>
    <row r="55" spans="1:6" s="89" customFormat="1" x14ac:dyDescent="0.25">
      <c r="A55" s="159">
        <v>43434</v>
      </c>
      <c r="B55" s="111">
        <f>26.8+223.14+842.28-270.03+35+25.2+7.5+344.35+12.5+199.57+29.74+221.74+201.3+45.19+11.22+20.43+21.3-560</f>
        <v>1437.2300000000002</v>
      </c>
      <c r="C55" s="112" t="s">
        <v>317</v>
      </c>
      <c r="D55" s="112" t="s">
        <v>284</v>
      </c>
      <c r="E55" s="113" t="s">
        <v>281</v>
      </c>
      <c r="F55" s="1"/>
    </row>
    <row r="56" spans="1:6" s="89" customFormat="1" x14ac:dyDescent="0.25">
      <c r="A56" s="159">
        <v>43434</v>
      </c>
      <c r="B56" s="111">
        <f>48.42+45.73+67.61+43.17</f>
        <v>204.93</v>
      </c>
      <c r="C56" s="112" t="s">
        <v>230</v>
      </c>
      <c r="D56" s="112" t="s">
        <v>239</v>
      </c>
      <c r="E56" s="113" t="s">
        <v>226</v>
      </c>
      <c r="F56" s="1"/>
    </row>
    <row r="57" spans="1:6" s="89" customFormat="1" x14ac:dyDescent="0.25">
      <c r="A57" s="159">
        <v>43434</v>
      </c>
      <c r="B57" s="111">
        <f>13.24+13.17+13.05</f>
        <v>39.46</v>
      </c>
      <c r="C57" s="112" t="s">
        <v>230</v>
      </c>
      <c r="D57" s="112" t="s">
        <v>239</v>
      </c>
      <c r="E57" s="113" t="s">
        <v>189</v>
      </c>
      <c r="F57" s="1"/>
    </row>
    <row r="58" spans="1:6" s="89" customFormat="1" x14ac:dyDescent="0.25">
      <c r="A58" s="159">
        <v>43434</v>
      </c>
      <c r="B58" s="111">
        <f>18.61</f>
        <v>18.61</v>
      </c>
      <c r="C58" s="112" t="s">
        <v>240</v>
      </c>
      <c r="D58" s="112" t="s">
        <v>242</v>
      </c>
      <c r="E58" s="113" t="s">
        <v>243</v>
      </c>
      <c r="F58" s="1"/>
    </row>
    <row r="59" spans="1:6" s="89" customFormat="1" x14ac:dyDescent="0.25">
      <c r="A59" s="159">
        <v>43434</v>
      </c>
      <c r="B59" s="111">
        <f>13.24+48.42+45.73+67.61+13.17+43.17+13.05</f>
        <v>244.39</v>
      </c>
      <c r="C59" s="112" t="s">
        <v>230</v>
      </c>
      <c r="D59" s="112" t="s">
        <v>239</v>
      </c>
      <c r="E59" s="113" t="s">
        <v>244</v>
      </c>
      <c r="F59" s="1"/>
    </row>
    <row r="60" spans="1:6" s="89" customFormat="1" x14ac:dyDescent="0.25">
      <c r="A60" s="159">
        <v>43465</v>
      </c>
      <c r="B60" s="111">
        <f>8.69+407.88+7+12.5+6+42.6+28.54+7.43</f>
        <v>520.64</v>
      </c>
      <c r="C60" s="112" t="s">
        <v>319</v>
      </c>
      <c r="D60" s="112" t="s">
        <v>320</v>
      </c>
      <c r="E60" s="113" t="s">
        <v>246</v>
      </c>
      <c r="F60" s="1"/>
    </row>
    <row r="61" spans="1:6" s="89" customFormat="1" x14ac:dyDescent="0.25">
      <c r="A61" s="159">
        <v>43465</v>
      </c>
      <c r="B61" s="111">
        <f>8.69+193.75+12.5</f>
        <v>214.94</v>
      </c>
      <c r="C61" s="112" t="s">
        <v>321</v>
      </c>
      <c r="D61" s="112" t="s">
        <v>221</v>
      </c>
      <c r="E61" s="113" t="s">
        <v>245</v>
      </c>
      <c r="F61" s="1"/>
    </row>
    <row r="62" spans="1:6" s="89" customFormat="1" x14ac:dyDescent="0.25">
      <c r="A62" s="159">
        <v>43465</v>
      </c>
      <c r="B62" s="111">
        <f>83.47+613.56+22.5+25.2+19.13+12.17+23.04+15.39+278.26+7.5-250</f>
        <v>850.2199999999998</v>
      </c>
      <c r="C62" s="112" t="s">
        <v>322</v>
      </c>
      <c r="D62" s="112" t="s">
        <v>323</v>
      </c>
      <c r="E62" s="113" t="s">
        <v>225</v>
      </c>
      <c r="F62" s="1"/>
    </row>
    <row r="63" spans="1:6" s="89" customFormat="1" x14ac:dyDescent="0.25">
      <c r="A63" s="159">
        <v>43465</v>
      </c>
      <c r="B63" s="111">
        <f>667.27+12.5</f>
        <v>679.77</v>
      </c>
      <c r="C63" s="112" t="s">
        <v>324</v>
      </c>
      <c r="D63" s="112" t="s">
        <v>221</v>
      </c>
      <c r="E63" s="113" t="s">
        <v>250</v>
      </c>
      <c r="F63" s="1"/>
    </row>
    <row r="64" spans="1:6" s="89" customFormat="1" x14ac:dyDescent="0.25">
      <c r="A64" s="159">
        <v>43465</v>
      </c>
      <c r="B64" s="111">
        <f>383.16+12.5</f>
        <v>395.66</v>
      </c>
      <c r="C64" s="112" t="s">
        <v>325</v>
      </c>
      <c r="D64" s="112" t="s">
        <v>221</v>
      </c>
      <c r="E64" s="113" t="s">
        <v>256</v>
      </c>
      <c r="F64" s="1"/>
    </row>
    <row r="65" spans="1:6" s="89" customFormat="1" x14ac:dyDescent="0.25">
      <c r="A65" s="159">
        <v>43496</v>
      </c>
      <c r="B65" s="111">
        <f>223.14+22.5+10+18.26</f>
        <v>273.89999999999998</v>
      </c>
      <c r="C65" s="112" t="s">
        <v>327</v>
      </c>
      <c r="D65" s="112" t="s">
        <v>326</v>
      </c>
      <c r="E65" s="113" t="s">
        <v>282</v>
      </c>
      <c r="F65" s="1"/>
    </row>
    <row r="66" spans="1:6" s="89" customFormat="1" x14ac:dyDescent="0.25">
      <c r="A66" s="159">
        <v>43496</v>
      </c>
      <c r="B66" s="111">
        <f>13.23+204.36</f>
        <v>217.59</v>
      </c>
      <c r="C66" s="112" t="s">
        <v>230</v>
      </c>
      <c r="D66" s="112" t="s">
        <v>267</v>
      </c>
      <c r="E66" s="113" t="s">
        <v>189</v>
      </c>
      <c r="F66" s="1"/>
    </row>
    <row r="67" spans="1:6" s="89" customFormat="1" x14ac:dyDescent="0.25">
      <c r="A67" s="159">
        <v>43496</v>
      </c>
      <c r="B67" s="111">
        <v>12.96</v>
      </c>
      <c r="C67" s="112" t="s">
        <v>247</v>
      </c>
      <c r="D67" s="112" t="s">
        <v>242</v>
      </c>
      <c r="E67" s="113" t="s">
        <v>249</v>
      </c>
      <c r="F67" s="1"/>
    </row>
    <row r="68" spans="1:6" s="89" customFormat="1" x14ac:dyDescent="0.25">
      <c r="A68" s="159">
        <v>43496</v>
      </c>
      <c r="B68" s="111">
        <v>27.83</v>
      </c>
      <c r="C68" s="112" t="s">
        <v>248</v>
      </c>
      <c r="D68" s="112" t="s">
        <v>242</v>
      </c>
      <c r="E68" s="113" t="s">
        <v>250</v>
      </c>
      <c r="F68" s="1"/>
    </row>
    <row r="69" spans="1:6" s="89" customFormat="1" x14ac:dyDescent="0.25">
      <c r="A69" s="159" t="s">
        <v>255</v>
      </c>
      <c r="B69" s="111">
        <f>312.76+8.7+328.6+118.54+12.5*2+53.33+152.17+7.5+10-250</f>
        <v>766.59999999999991</v>
      </c>
      <c r="C69" s="112" t="s">
        <v>328</v>
      </c>
      <c r="D69" s="112" t="s">
        <v>259</v>
      </c>
      <c r="E69" s="113" t="s">
        <v>186</v>
      </c>
      <c r="F69" s="1"/>
    </row>
    <row r="70" spans="1:6" s="89" customFormat="1" x14ac:dyDescent="0.25">
      <c r="A70" s="159">
        <v>43524</v>
      </c>
      <c r="B70" s="111">
        <f>17.39+331.4+12.5+18.26</f>
        <v>379.54999999999995</v>
      </c>
      <c r="C70" s="112" t="s">
        <v>329</v>
      </c>
      <c r="D70" s="112" t="s">
        <v>221</v>
      </c>
      <c r="E70" s="113" t="s">
        <v>226</v>
      </c>
      <c r="F70" s="1"/>
    </row>
    <row r="71" spans="1:6" s="89" customFormat="1" x14ac:dyDescent="0.25">
      <c r="A71" s="159">
        <v>43524</v>
      </c>
      <c r="B71" s="111">
        <f>8.7*2+405.93-405.93+399.82+25.2+20.5+7+49.82+93.4</f>
        <v>613.14</v>
      </c>
      <c r="C71" s="112" t="s">
        <v>330</v>
      </c>
      <c r="D71" s="112" t="s">
        <v>260</v>
      </c>
      <c r="E71" s="113" t="s">
        <v>251</v>
      </c>
      <c r="F71" s="1"/>
    </row>
    <row r="72" spans="1:6" s="89" customFormat="1" x14ac:dyDescent="0.25">
      <c r="A72" s="159">
        <v>43524</v>
      </c>
      <c r="B72" s="111">
        <f>256.53+12.5+42.6+7+36.09+10.43</f>
        <v>365.15000000000003</v>
      </c>
      <c r="C72" s="112" t="s">
        <v>331</v>
      </c>
      <c r="D72" s="112" t="s">
        <v>266</v>
      </c>
      <c r="E72" s="113" t="s">
        <v>252</v>
      </c>
      <c r="F72" s="1"/>
    </row>
    <row r="73" spans="1:6" s="89" customFormat="1" x14ac:dyDescent="0.25">
      <c r="A73" s="159">
        <v>43524</v>
      </c>
      <c r="B73" s="111">
        <f>283.22+12.5+197.84+10</f>
        <v>503.56000000000006</v>
      </c>
      <c r="C73" s="112" t="s">
        <v>332</v>
      </c>
      <c r="D73" s="112" t="s">
        <v>221</v>
      </c>
      <c r="E73" s="113" t="s">
        <v>249</v>
      </c>
      <c r="F73" s="1"/>
    </row>
    <row r="74" spans="1:6" s="89" customFormat="1" x14ac:dyDescent="0.25">
      <c r="A74" s="159" t="s">
        <v>265</v>
      </c>
      <c r="B74" s="111">
        <f>12.5+76.52+145.6+216.82+12.5*2-145.6+134.51+7+27.5+79.13</f>
        <v>578.98</v>
      </c>
      <c r="C74" s="112" t="s">
        <v>253</v>
      </c>
      <c r="D74" s="112" t="s">
        <v>333</v>
      </c>
      <c r="E74" s="113" t="s">
        <v>254</v>
      </c>
      <c r="F74" s="1"/>
    </row>
    <row r="75" spans="1:6" s="89" customFormat="1" x14ac:dyDescent="0.25">
      <c r="A75" s="159">
        <v>43524</v>
      </c>
      <c r="B75" s="111">
        <f>33.22+12.5</f>
        <v>45.72</v>
      </c>
      <c r="C75" s="112" t="s">
        <v>230</v>
      </c>
      <c r="D75" s="112" t="s">
        <v>213</v>
      </c>
      <c r="E75" s="113" t="s">
        <v>189</v>
      </c>
      <c r="F75" s="1"/>
    </row>
    <row r="76" spans="1:6" s="89" customFormat="1" x14ac:dyDescent="0.25">
      <c r="A76" s="159" t="s">
        <v>263</v>
      </c>
      <c r="B76" s="111">
        <f>8.7+386.33+12.5+271.46+10.5+7+86.09+54.76+19.18</f>
        <v>856.52</v>
      </c>
      <c r="C76" s="112" t="s">
        <v>334</v>
      </c>
      <c r="D76" s="112" t="s">
        <v>259</v>
      </c>
      <c r="E76" s="113" t="s">
        <v>256</v>
      </c>
      <c r="F76" s="1"/>
    </row>
    <row r="77" spans="1:6" s="89" customFormat="1" x14ac:dyDescent="0.25">
      <c r="A77" s="159">
        <v>43555</v>
      </c>
      <c r="B77" s="111">
        <f>144.35+7.5</f>
        <v>151.85</v>
      </c>
      <c r="C77" s="112" t="s">
        <v>335</v>
      </c>
      <c r="D77" s="112" t="s">
        <v>259</v>
      </c>
      <c r="E77" s="113" t="s">
        <v>226</v>
      </c>
      <c r="F77" s="1"/>
    </row>
    <row r="78" spans="1:6" s="89" customFormat="1" x14ac:dyDescent="0.25">
      <c r="A78" s="159">
        <v>43555</v>
      </c>
      <c r="B78" s="111">
        <f>532.57+12.5</f>
        <v>545.07000000000005</v>
      </c>
      <c r="C78" s="112" t="s">
        <v>336</v>
      </c>
      <c r="D78" s="112" t="s">
        <v>259</v>
      </c>
      <c r="E78" s="113" t="s">
        <v>257</v>
      </c>
      <c r="F78" s="1"/>
    </row>
    <row r="79" spans="1:6" s="89" customFormat="1" x14ac:dyDescent="0.25">
      <c r="A79" s="159">
        <v>43555</v>
      </c>
      <c r="B79" s="111">
        <f>10+175.6+12.5</f>
        <v>198.1</v>
      </c>
      <c r="C79" s="112" t="s">
        <v>337</v>
      </c>
      <c r="D79" s="112" t="s">
        <v>259</v>
      </c>
      <c r="E79" s="113" t="s">
        <v>186</v>
      </c>
      <c r="F79" s="1"/>
    </row>
    <row r="80" spans="1:6" s="89" customFormat="1" x14ac:dyDescent="0.25">
      <c r="A80" s="159">
        <v>43555</v>
      </c>
      <c r="B80" s="111">
        <f>587.22+12.5+14.5+121.74+228+15+127.53</f>
        <v>1106.49</v>
      </c>
      <c r="C80" s="112" t="s">
        <v>338</v>
      </c>
      <c r="D80" s="112" t="s">
        <v>339</v>
      </c>
      <c r="E80" s="113" t="s">
        <v>258</v>
      </c>
      <c r="F80" s="1"/>
    </row>
    <row r="81" spans="1:6" s="89" customFormat="1" ht="15" customHeight="1" x14ac:dyDescent="0.25">
      <c r="A81" s="159">
        <v>43555</v>
      </c>
      <c r="B81" s="111">
        <f>12.92+27.18+12.2+12.81</f>
        <v>65.11</v>
      </c>
      <c r="C81" s="112" t="s">
        <v>261</v>
      </c>
      <c r="D81" s="112" t="s">
        <v>262</v>
      </c>
      <c r="E81" s="113" t="s">
        <v>348</v>
      </c>
      <c r="F81" s="1"/>
    </row>
    <row r="82" spans="1:6" s="89" customFormat="1" x14ac:dyDescent="0.25">
      <c r="A82" s="159">
        <v>43585</v>
      </c>
      <c r="B82" s="111">
        <f>252.34+12.5</f>
        <v>264.84000000000003</v>
      </c>
      <c r="C82" s="112" t="s">
        <v>340</v>
      </c>
      <c r="D82" s="112" t="s">
        <v>280</v>
      </c>
      <c r="E82" s="113" t="s">
        <v>186</v>
      </c>
      <c r="F82" s="1"/>
    </row>
    <row r="83" spans="1:6" s="89" customFormat="1" x14ac:dyDescent="0.25">
      <c r="A83" s="159">
        <v>43585</v>
      </c>
      <c r="B83" s="111">
        <f>415.24+12.5</f>
        <v>427.74</v>
      </c>
      <c r="C83" s="112" t="s">
        <v>341</v>
      </c>
      <c r="D83" s="112" t="s">
        <v>221</v>
      </c>
      <c r="E83" s="113" t="s">
        <v>186</v>
      </c>
      <c r="F83" s="1"/>
    </row>
    <row r="84" spans="1:6" s="89" customFormat="1" x14ac:dyDescent="0.25">
      <c r="A84" s="159">
        <v>43585</v>
      </c>
      <c r="B84" s="111">
        <f>507.11+12.5+20+12.17+164.35-363.12+93.91+20+13.8+47.45+20.55</f>
        <v>548.71999999999991</v>
      </c>
      <c r="C84" s="112" t="s">
        <v>342</v>
      </c>
      <c r="D84" s="112" t="s">
        <v>259</v>
      </c>
      <c r="E84" s="113" t="s">
        <v>226</v>
      </c>
      <c r="F84" s="1"/>
    </row>
    <row r="85" spans="1:6" s="89" customFormat="1" x14ac:dyDescent="0.25">
      <c r="A85" s="159">
        <v>43585</v>
      </c>
      <c r="B85" s="111">
        <f>178.63+8.7+23.47+230.08+405.04+10+22.5+12.5+18.26+128.26-250</f>
        <v>787.44</v>
      </c>
      <c r="C85" s="112" t="s">
        <v>264</v>
      </c>
      <c r="D85" s="112" t="s">
        <v>221</v>
      </c>
      <c r="E85" s="113" t="s">
        <v>186</v>
      </c>
      <c r="F85" s="1"/>
    </row>
    <row r="86" spans="1:6" s="89" customFormat="1" x14ac:dyDescent="0.25">
      <c r="A86" s="159">
        <v>43585</v>
      </c>
      <c r="B86" s="111">
        <f>144.35+7.5</f>
        <v>151.85</v>
      </c>
      <c r="C86" s="112" t="s">
        <v>335</v>
      </c>
      <c r="D86" s="112" t="s">
        <v>267</v>
      </c>
      <c r="E86" s="113" t="s">
        <v>226</v>
      </c>
      <c r="F86" s="1"/>
    </row>
    <row r="87" spans="1:6" s="89" customFormat="1" x14ac:dyDescent="0.25">
      <c r="A87" s="159">
        <v>43585</v>
      </c>
      <c r="B87" s="111">
        <f>12.37+19.42+26.64</f>
        <v>58.43</v>
      </c>
      <c r="C87" s="112" t="s">
        <v>261</v>
      </c>
      <c r="D87" s="112" t="s">
        <v>239</v>
      </c>
      <c r="E87" s="113" t="s">
        <v>189</v>
      </c>
      <c r="F87" s="1"/>
    </row>
    <row r="88" spans="1:6" s="89" customFormat="1" x14ac:dyDescent="0.25">
      <c r="A88" s="159">
        <v>43616</v>
      </c>
      <c r="B88" s="111">
        <f>202.52+15+20.5-12.5+200+100+24.43+16.52+21.24+7</f>
        <v>594.70999999999992</v>
      </c>
      <c r="C88" s="112" t="s">
        <v>343</v>
      </c>
      <c r="D88" s="112" t="s">
        <v>259</v>
      </c>
      <c r="E88" s="113" t="s">
        <v>228</v>
      </c>
      <c r="F88" s="1"/>
    </row>
    <row r="89" spans="1:6" s="89" customFormat="1" x14ac:dyDescent="0.25">
      <c r="A89" s="159">
        <v>43616</v>
      </c>
      <c r="B89" s="111">
        <f>413.2+12.5+111.86+93.91+20</f>
        <v>651.46999999999991</v>
      </c>
      <c r="C89" s="112" t="s">
        <v>344</v>
      </c>
      <c r="D89" s="112" t="s">
        <v>259</v>
      </c>
      <c r="E89" s="113" t="s">
        <v>186</v>
      </c>
      <c r="F89" s="1"/>
    </row>
    <row r="90" spans="1:6" s="89" customFormat="1" x14ac:dyDescent="0.25">
      <c r="A90" s="159">
        <v>43616</v>
      </c>
      <c r="B90" s="111">
        <f>190</f>
        <v>190</v>
      </c>
      <c r="C90" s="112" t="s">
        <v>345</v>
      </c>
      <c r="D90" s="112" t="s">
        <v>259</v>
      </c>
      <c r="E90" s="113" t="s">
        <v>250</v>
      </c>
      <c r="F90" s="1"/>
    </row>
    <row r="91" spans="1:6" s="89" customFormat="1" x14ac:dyDescent="0.25">
      <c r="A91" s="159">
        <v>43616</v>
      </c>
      <c r="B91" s="111">
        <f>7+165.22</f>
        <v>172.22</v>
      </c>
      <c r="C91" s="112" t="s">
        <v>264</v>
      </c>
      <c r="D91" s="112" t="s">
        <v>259</v>
      </c>
      <c r="E91" s="113" t="s">
        <v>268</v>
      </c>
      <c r="F91" s="1"/>
    </row>
    <row r="92" spans="1:6" s="89" customFormat="1" x14ac:dyDescent="0.25">
      <c r="A92" s="159">
        <v>43616</v>
      </c>
      <c r="B92" s="111">
        <f>145.22+12.5</f>
        <v>157.72</v>
      </c>
      <c r="C92" s="112" t="s">
        <v>269</v>
      </c>
      <c r="D92" s="112" t="s">
        <v>222</v>
      </c>
      <c r="E92" s="113" t="s">
        <v>249</v>
      </c>
      <c r="F92" s="1"/>
    </row>
    <row r="93" spans="1:6" s="89" customFormat="1" x14ac:dyDescent="0.25">
      <c r="A93" s="159">
        <v>43616</v>
      </c>
      <c r="B93" s="111">
        <f>57.74+17.83</f>
        <v>75.569999999999993</v>
      </c>
      <c r="C93" s="112" t="s">
        <v>270</v>
      </c>
      <c r="D93" s="112" t="s">
        <v>242</v>
      </c>
      <c r="E93" s="113" t="s">
        <v>249</v>
      </c>
      <c r="F93" s="1"/>
    </row>
    <row r="94" spans="1:6" s="89" customFormat="1" x14ac:dyDescent="0.25">
      <c r="A94" s="159">
        <v>43616</v>
      </c>
      <c r="B94" s="111">
        <f>33.11+14.89+13.9+19.43</f>
        <v>81.33</v>
      </c>
      <c r="C94" s="112" t="s">
        <v>271</v>
      </c>
      <c r="D94" s="112" t="s">
        <v>239</v>
      </c>
      <c r="E94" s="113" t="s">
        <v>186</v>
      </c>
      <c r="F94" s="1"/>
    </row>
    <row r="95" spans="1:6" s="89" customFormat="1" x14ac:dyDescent="0.25">
      <c r="A95" s="159">
        <v>43616</v>
      </c>
      <c r="B95" s="111">
        <f>20.94+17.04</f>
        <v>37.980000000000004</v>
      </c>
      <c r="C95" s="112" t="s">
        <v>230</v>
      </c>
      <c r="D95" s="112" t="s">
        <v>239</v>
      </c>
      <c r="E95" s="113" t="s">
        <v>272</v>
      </c>
      <c r="F95" s="1"/>
    </row>
    <row r="96" spans="1:6" s="89" customFormat="1" x14ac:dyDescent="0.25">
      <c r="A96" s="159">
        <v>43646</v>
      </c>
      <c r="B96" s="111">
        <f>296.28</f>
        <v>296.27999999999997</v>
      </c>
      <c r="C96" s="112" t="s">
        <v>273</v>
      </c>
      <c r="D96" s="112" t="s">
        <v>221</v>
      </c>
      <c r="E96" s="113" t="s">
        <v>274</v>
      </c>
      <c r="F96" s="1"/>
    </row>
    <row r="97" spans="1:6" s="89" customFormat="1" x14ac:dyDescent="0.25">
      <c r="A97" s="159">
        <v>43646</v>
      </c>
      <c r="B97" s="111">
        <f>143.59+582.66+32.5</f>
        <v>758.75</v>
      </c>
      <c r="C97" s="112" t="s">
        <v>346</v>
      </c>
      <c r="D97" s="112" t="s">
        <v>221</v>
      </c>
      <c r="E97" s="112" t="s">
        <v>258</v>
      </c>
      <c r="F97" s="1"/>
    </row>
    <row r="98" spans="1:6" s="89" customFormat="1" ht="21" customHeight="1" x14ac:dyDescent="0.25">
      <c r="A98" s="159">
        <v>43646</v>
      </c>
      <c r="B98" s="111">
        <f>253.55+245.42+202.52*2+12.29+46.91+350.03</f>
        <v>1313.2399999999998</v>
      </c>
      <c r="C98" s="112" t="s">
        <v>347</v>
      </c>
      <c r="D98" s="112" t="s">
        <v>221</v>
      </c>
      <c r="E98" s="112" t="s">
        <v>275</v>
      </c>
      <c r="F98" s="1"/>
    </row>
    <row r="99" spans="1:6" s="89" customFormat="1" ht="9" customHeight="1" x14ac:dyDescent="0.25">
      <c r="A99" s="160"/>
      <c r="B99" s="161"/>
      <c r="C99" s="162"/>
      <c r="D99" s="162"/>
      <c r="E99" s="162"/>
      <c r="F99" s="1"/>
    </row>
    <row r="100" spans="1:6" ht="19.5" customHeight="1" x14ac:dyDescent="0.25">
      <c r="A100" s="128" t="s">
        <v>155</v>
      </c>
      <c r="B100" s="129">
        <f>SUM(B23:B98)</f>
        <v>29908.340000000004</v>
      </c>
      <c r="C100" s="130" t="str">
        <f>IF(SUBTOTAL(3,B23:B98)=SUBTOTAL(103,B23:B98),'Summary and sign-off'!$A$47,'Summary and sign-off'!$A$48)</f>
        <v>Check - there are no hidden rows with data</v>
      </c>
      <c r="D100" s="170" t="str">
        <f>IF('Summary and sign-off'!F55='Summary and sign-off'!F53,'Summary and sign-off'!A50,'Summary and sign-off'!A49)</f>
        <v>Check - each entry provides sufficient information</v>
      </c>
      <c r="E100" s="170"/>
      <c r="F100" s="48"/>
    </row>
    <row r="101" spans="1:6" ht="10.5" customHeight="1" x14ac:dyDescent="0.25">
      <c r="A101" s="29"/>
      <c r="B101" s="24"/>
      <c r="C101" s="29"/>
      <c r="D101" s="29"/>
      <c r="E101" s="29"/>
      <c r="F101" s="29"/>
    </row>
    <row r="102" spans="1:6" ht="24.75" customHeight="1" x14ac:dyDescent="0.25">
      <c r="A102" s="171" t="s">
        <v>44</v>
      </c>
      <c r="B102" s="171"/>
      <c r="C102" s="171"/>
      <c r="D102" s="171"/>
      <c r="E102" s="171"/>
      <c r="F102" s="48"/>
    </row>
    <row r="103" spans="1:6" ht="27" customHeight="1" x14ac:dyDescent="0.25">
      <c r="A103" s="37" t="s">
        <v>49</v>
      </c>
      <c r="B103" s="37" t="s">
        <v>31</v>
      </c>
      <c r="C103" s="37" t="s">
        <v>147</v>
      </c>
      <c r="D103" s="37" t="s">
        <v>88</v>
      </c>
      <c r="E103" s="37" t="s">
        <v>76</v>
      </c>
      <c r="F103" s="51"/>
    </row>
    <row r="104" spans="1:6" s="89" customFormat="1" hidden="1" x14ac:dyDescent="0.25">
      <c r="A104" s="114"/>
      <c r="B104" s="111"/>
      <c r="C104" s="112"/>
      <c r="D104" s="112"/>
      <c r="E104" s="113"/>
      <c r="F104" s="1"/>
    </row>
    <row r="105" spans="1:6" s="89" customFormat="1" x14ac:dyDescent="0.25">
      <c r="A105" s="114">
        <v>43553</v>
      </c>
      <c r="B105" s="111">
        <v>17.72</v>
      </c>
      <c r="C105" s="112" t="s">
        <v>211</v>
      </c>
      <c r="D105" s="112" t="s">
        <v>212</v>
      </c>
      <c r="E105" s="113" t="s">
        <v>189</v>
      </c>
      <c r="F105" s="1"/>
    </row>
    <row r="106" spans="1:6" s="89" customFormat="1" x14ac:dyDescent="0.25">
      <c r="A106" s="114">
        <v>43553</v>
      </c>
      <c r="B106" s="111">
        <v>10.61</v>
      </c>
      <c r="C106" s="112" t="s">
        <v>211</v>
      </c>
      <c r="D106" s="112" t="s">
        <v>212</v>
      </c>
      <c r="E106" s="113" t="s">
        <v>189</v>
      </c>
      <c r="F106" s="1"/>
    </row>
    <row r="107" spans="1:6" s="89" customFormat="1" x14ac:dyDescent="0.25">
      <c r="A107" s="114">
        <v>43584</v>
      </c>
      <c r="B107" s="111">
        <v>32.520000000000003</v>
      </c>
      <c r="C107" s="112" t="s">
        <v>215</v>
      </c>
      <c r="D107" s="112" t="s">
        <v>213</v>
      </c>
      <c r="E107" s="113" t="s">
        <v>189</v>
      </c>
      <c r="F107" s="1"/>
    </row>
    <row r="108" spans="1:6" s="89" customFormat="1" x14ac:dyDescent="0.25">
      <c r="A108" s="114">
        <v>43616</v>
      </c>
      <c r="B108" s="111">
        <v>23.18</v>
      </c>
      <c r="C108" s="112" t="s">
        <v>214</v>
      </c>
      <c r="D108" s="112" t="s">
        <v>212</v>
      </c>
      <c r="E108" s="113" t="s">
        <v>189</v>
      </c>
      <c r="F108" s="1"/>
    </row>
    <row r="109" spans="1:6" s="89" customFormat="1" x14ac:dyDescent="0.25">
      <c r="A109" s="114">
        <v>43646</v>
      </c>
      <c r="B109" s="111">
        <v>15.48</v>
      </c>
      <c r="C109" s="112" t="s">
        <v>215</v>
      </c>
      <c r="D109" s="112" t="s">
        <v>212</v>
      </c>
      <c r="E109" s="113" t="s">
        <v>189</v>
      </c>
      <c r="F109" s="1"/>
    </row>
    <row r="110" spans="1:6" s="89" customFormat="1" x14ac:dyDescent="0.25">
      <c r="A110" s="114">
        <v>43646</v>
      </c>
      <c r="B110" s="111">
        <v>14.7</v>
      </c>
      <c r="C110" s="112" t="s">
        <v>216</v>
      </c>
      <c r="D110" s="112" t="s">
        <v>213</v>
      </c>
      <c r="E110" s="113" t="s">
        <v>189</v>
      </c>
      <c r="F110" s="1"/>
    </row>
    <row r="111" spans="1:6" s="89" customFormat="1" x14ac:dyDescent="0.25">
      <c r="A111" s="114"/>
      <c r="B111" s="111"/>
      <c r="C111" s="112"/>
      <c r="D111" s="112"/>
      <c r="E111" s="113"/>
      <c r="F111" s="1"/>
    </row>
    <row r="112" spans="1:6" s="89" customFormat="1" x14ac:dyDescent="0.25">
      <c r="A112" s="114"/>
      <c r="B112" s="111"/>
      <c r="C112" s="112"/>
      <c r="D112" s="112"/>
      <c r="E112" s="113"/>
      <c r="F112" s="1"/>
    </row>
    <row r="113" spans="1:6" s="89" customFormat="1" hidden="1" x14ac:dyDescent="0.25">
      <c r="A113" s="114"/>
      <c r="B113" s="111"/>
      <c r="C113" s="112"/>
      <c r="D113" s="112"/>
      <c r="E113" s="113"/>
      <c r="F113" s="1"/>
    </row>
    <row r="114" spans="1:6" ht="19.5" customHeight="1" x14ac:dyDescent="0.25">
      <c r="A114" s="128" t="s">
        <v>152</v>
      </c>
      <c r="B114" s="129">
        <f>SUM(B104:B113)</f>
        <v>114.21000000000001</v>
      </c>
      <c r="C114" s="130" t="str">
        <f>IF(SUBTOTAL(3,B104:B113)=SUBTOTAL(103,B104:B113),'Summary and sign-off'!$A$47,'Summary and sign-off'!$A$48)</f>
        <v>Check - there are no hidden rows with data</v>
      </c>
      <c r="D114" s="170" t="str">
        <f>IF('Summary and sign-off'!F56='Summary and sign-off'!F53,'Summary and sign-off'!A50,'Summary and sign-off'!A49)</f>
        <v>Check - each entry provides sufficient information</v>
      </c>
      <c r="E114" s="170"/>
      <c r="F114" s="48"/>
    </row>
    <row r="115" spans="1:6" ht="10.5" customHeight="1" x14ac:dyDescent="0.25">
      <c r="A115" s="29"/>
      <c r="B115" s="97"/>
      <c r="C115" s="24"/>
      <c r="D115" s="29"/>
      <c r="E115" s="29"/>
      <c r="F115" s="29"/>
    </row>
    <row r="116" spans="1:6" ht="34.5" customHeight="1" x14ac:dyDescent="0.25">
      <c r="A116" s="52" t="s">
        <v>1</v>
      </c>
      <c r="B116" s="98">
        <f>B19+B100+B114</f>
        <v>41244.26</v>
      </c>
      <c r="C116" s="53"/>
      <c r="D116" s="53"/>
      <c r="E116" s="53"/>
      <c r="F116" s="28"/>
    </row>
    <row r="117" spans="1:6" x14ac:dyDescent="0.25">
      <c r="A117" s="29"/>
      <c r="B117" s="24"/>
      <c r="C117" s="29"/>
      <c r="D117" s="29"/>
      <c r="E117" s="29"/>
      <c r="F117" s="29"/>
    </row>
    <row r="118" spans="1:6" x14ac:dyDescent="0.25">
      <c r="A118" s="54" t="s">
        <v>8</v>
      </c>
      <c r="B118" s="27"/>
      <c r="C118" s="28"/>
      <c r="D118" s="28"/>
      <c r="E118" s="28"/>
      <c r="F118" s="29"/>
    </row>
    <row r="119" spans="1:6" ht="12.6" customHeight="1" x14ac:dyDescent="0.25">
      <c r="A119" s="25" t="s">
        <v>50</v>
      </c>
      <c r="B119" s="55"/>
      <c r="C119" s="55"/>
      <c r="D119" s="34"/>
      <c r="E119" s="34"/>
      <c r="F119" s="29"/>
    </row>
    <row r="120" spans="1:6" ht="12.9" customHeight="1" x14ac:dyDescent="0.25">
      <c r="A120" s="33" t="s">
        <v>156</v>
      </c>
      <c r="B120" s="29"/>
      <c r="C120" s="34"/>
      <c r="D120" s="29"/>
      <c r="E120" s="34"/>
      <c r="F120" s="29"/>
    </row>
    <row r="121" spans="1:6" x14ac:dyDescent="0.25">
      <c r="A121" s="33" t="s">
        <v>149</v>
      </c>
      <c r="B121" s="34"/>
      <c r="C121" s="34"/>
      <c r="D121" s="34"/>
      <c r="E121" s="56"/>
      <c r="F121" s="48"/>
    </row>
    <row r="122" spans="1:6" x14ac:dyDescent="0.25">
      <c r="A122" s="25" t="s">
        <v>157</v>
      </c>
      <c r="B122" s="27"/>
      <c r="C122" s="28"/>
      <c r="D122" s="28"/>
      <c r="E122" s="28"/>
      <c r="F122" s="29"/>
    </row>
    <row r="123" spans="1:6" ht="12.9" customHeight="1" x14ac:dyDescent="0.25">
      <c r="A123" s="33" t="s">
        <v>148</v>
      </c>
      <c r="B123" s="29"/>
      <c r="C123" s="34"/>
      <c r="D123" s="29"/>
      <c r="E123" s="34"/>
      <c r="F123" s="29"/>
    </row>
    <row r="124" spans="1:6" x14ac:dyDescent="0.25">
      <c r="A124" s="33" t="s">
        <v>153</v>
      </c>
      <c r="B124" s="34"/>
      <c r="C124" s="34"/>
      <c r="D124" s="34"/>
      <c r="E124" s="56"/>
      <c r="F124" s="48"/>
    </row>
    <row r="125" spans="1:6" x14ac:dyDescent="0.25">
      <c r="A125" s="38" t="s">
        <v>165</v>
      </c>
      <c r="B125" s="38"/>
      <c r="C125" s="38"/>
      <c r="D125" s="38"/>
      <c r="E125" s="56"/>
      <c r="F125" s="48"/>
    </row>
    <row r="126" spans="1:6" x14ac:dyDescent="0.25">
      <c r="A126" s="42"/>
      <c r="B126" s="29"/>
      <c r="C126" s="29"/>
      <c r="D126" s="29"/>
      <c r="E126" s="48"/>
      <c r="F126" s="48"/>
    </row>
    <row r="127" spans="1:6" hidden="1" x14ac:dyDescent="0.25">
      <c r="A127" s="42"/>
      <c r="B127" s="29"/>
      <c r="C127" s="29"/>
      <c r="D127" s="29"/>
      <c r="E127" s="48"/>
      <c r="F127" s="48"/>
    </row>
    <row r="128" spans="1:6" hidden="1" x14ac:dyDescent="0.25"/>
    <row r="129" spans="1:6" hidden="1" x14ac:dyDescent="0.25"/>
    <row r="130" spans="1:6" hidden="1" x14ac:dyDescent="0.25"/>
    <row r="131" spans="1:6" hidden="1" x14ac:dyDescent="0.25"/>
    <row r="132" spans="1:6" ht="12.75" hidden="1" customHeight="1" x14ac:dyDescent="0.25"/>
    <row r="133" spans="1:6" hidden="1" x14ac:dyDescent="0.25"/>
    <row r="134" spans="1:6" hidden="1" x14ac:dyDescent="0.25"/>
    <row r="135" spans="1:6" hidden="1" x14ac:dyDescent="0.25">
      <c r="A135" s="57"/>
      <c r="B135" s="48"/>
      <c r="C135" s="48"/>
      <c r="D135" s="48"/>
      <c r="E135" s="48"/>
      <c r="F135" s="48"/>
    </row>
    <row r="136" spans="1:6" hidden="1" x14ac:dyDescent="0.25">
      <c r="A136" s="57"/>
      <c r="B136" s="48"/>
      <c r="C136" s="48"/>
      <c r="D136" s="48"/>
      <c r="E136" s="48"/>
      <c r="F136" s="48"/>
    </row>
    <row r="137" spans="1:6" hidden="1" x14ac:dyDescent="0.25">
      <c r="A137" s="57"/>
      <c r="B137" s="48"/>
      <c r="C137" s="48"/>
      <c r="D137" s="48"/>
      <c r="E137" s="48"/>
      <c r="F137" s="48"/>
    </row>
    <row r="138" spans="1:6" hidden="1" x14ac:dyDescent="0.25">
      <c r="A138" s="57"/>
      <c r="B138" s="48"/>
      <c r="C138" s="48"/>
      <c r="D138" s="48"/>
      <c r="E138" s="48"/>
      <c r="F138" s="48"/>
    </row>
    <row r="139" spans="1:6" hidden="1" x14ac:dyDescent="0.25">
      <c r="A139" s="57"/>
      <c r="B139" s="48"/>
      <c r="C139" s="48"/>
      <c r="D139" s="48"/>
      <c r="E139" s="48"/>
      <c r="F139" s="48"/>
    </row>
    <row r="140" spans="1:6" hidden="1" x14ac:dyDescent="0.25"/>
    <row r="141" spans="1:6" hidden="1" x14ac:dyDescent="0.25"/>
    <row r="142" spans="1:6" hidden="1" x14ac:dyDescent="0.25"/>
    <row r="143" spans="1:6" hidden="1" x14ac:dyDescent="0.25"/>
    <row r="144" spans="1:6" hidden="1" x14ac:dyDescent="0.25"/>
    <row r="145" hidden="1" x14ac:dyDescent="0.25"/>
    <row r="146" hidden="1"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sheetData>
  <sheetProtection sheet="1" formatCells="0" formatRows="0" insertColumns="0" insertRows="0" deleteRows="0"/>
  <mergeCells count="15">
    <mergeCell ref="B7:E7"/>
    <mergeCell ref="B5:E5"/>
    <mergeCell ref="D114:E114"/>
    <mergeCell ref="A1:E1"/>
    <mergeCell ref="A21:E21"/>
    <mergeCell ref="A102:E102"/>
    <mergeCell ref="B2:E2"/>
    <mergeCell ref="B3:E3"/>
    <mergeCell ref="B4:E4"/>
    <mergeCell ref="A8:E8"/>
    <mergeCell ref="A9:E9"/>
    <mergeCell ref="B6:E6"/>
    <mergeCell ref="D19:E19"/>
    <mergeCell ref="D100:E100"/>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04:A113 A12:A18 A23:A9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3 A22 A11" xr:uid="{00000000-0002-0000-0200-000001000000}"/>
  </dataValidations>
  <pageMargins left="0.70866141732283472" right="0.39370078740157483" top="0.51181102362204722" bottom="0.43307086614173229" header="0.47244094488188981" footer="0.15748031496062992"/>
  <pageSetup paperSize="9" scale="71" fitToHeight="0" orientation="landscape" r:id="rId1"/>
  <headerFooter alignWithMargins="0">
    <oddFooter>&amp;L&amp;8CE Expense Disclosure Workbook 2019&amp;C&amp;8page &amp;P of &amp;N&amp;RWorksheet - Travel</oddFooter>
  </headerFooter>
  <rowBreaks count="2" manualBreakCount="2">
    <brk id="19" max="4" man="1"/>
    <brk id="101" max="4" man="1"/>
  </rowBreaks>
  <customProperties>
    <customPr name="_pios_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B104:B113 B12:B18 B23:B99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7"/>
  <sheetViews>
    <sheetView zoomScale="90" zoomScaleNormal="90" workbookViewId="0">
      <selection activeCell="B7" sqref="B7:E7"/>
    </sheetView>
  </sheetViews>
  <sheetFormatPr defaultColWidth="0" defaultRowHeight="13.2" zeroHeight="1" x14ac:dyDescent="0.25"/>
  <cols>
    <col min="1" max="1" width="35.6640625" style="17" customWidth="1"/>
    <col min="2" max="2" width="14.33203125" style="17" customWidth="1"/>
    <col min="3" max="3" width="71.44140625" style="17" customWidth="1"/>
    <col min="4" max="4" width="50" style="17" customWidth="1"/>
    <col min="5" max="5" width="21.44140625" style="17" customWidth="1"/>
    <col min="6" max="6" width="39.33203125" style="17" customWidth="1"/>
    <col min="7" max="10" width="9.109375" style="17" hidden="1" customWidth="1"/>
    <col min="11" max="13" width="0" style="17" hidden="1" customWidth="1"/>
    <col min="14" max="16384" width="0" style="17" hidden="1"/>
  </cols>
  <sheetData>
    <row r="1" spans="1:6" ht="26.25" customHeight="1" x14ac:dyDescent="0.25">
      <c r="A1" s="166" t="s">
        <v>6</v>
      </c>
      <c r="B1" s="166"/>
      <c r="C1" s="166"/>
      <c r="D1" s="166"/>
      <c r="E1" s="166"/>
      <c r="F1" s="40"/>
    </row>
    <row r="2" spans="1:6" ht="21" customHeight="1" x14ac:dyDescent="0.25">
      <c r="A2" s="4" t="s">
        <v>2</v>
      </c>
      <c r="B2" s="169" t="str">
        <f>'Summary and sign-off'!B2:F2</f>
        <v>The Department of Conservation</v>
      </c>
      <c r="C2" s="169"/>
      <c r="D2" s="169"/>
      <c r="E2" s="169"/>
      <c r="F2" s="40"/>
    </row>
    <row r="3" spans="1:6" ht="21" customHeight="1" x14ac:dyDescent="0.25">
      <c r="A3" s="4" t="s">
        <v>3</v>
      </c>
      <c r="B3" s="169" t="str">
        <f>'Summary and sign-off'!B3:F3</f>
        <v>Lou Sanson</v>
      </c>
      <c r="C3" s="169"/>
      <c r="D3" s="169"/>
      <c r="E3" s="169"/>
      <c r="F3" s="40"/>
    </row>
    <row r="4" spans="1:6" ht="21" customHeight="1" x14ac:dyDescent="0.25">
      <c r="A4" s="4" t="s">
        <v>77</v>
      </c>
      <c r="B4" s="169">
        <f>'Summary and sign-off'!B4:F4</f>
        <v>43282</v>
      </c>
      <c r="C4" s="169"/>
      <c r="D4" s="169"/>
      <c r="E4" s="169"/>
      <c r="F4" s="40"/>
    </row>
    <row r="5" spans="1:6" ht="21" customHeight="1" x14ac:dyDescent="0.25">
      <c r="A5" s="4" t="s">
        <v>78</v>
      </c>
      <c r="B5" s="169">
        <f>'Summary and sign-off'!B5:F5</f>
        <v>43646</v>
      </c>
      <c r="C5" s="169"/>
      <c r="D5" s="169"/>
      <c r="E5" s="169"/>
      <c r="F5" s="40"/>
    </row>
    <row r="6" spans="1:6" ht="21" customHeight="1" x14ac:dyDescent="0.25">
      <c r="A6" s="4" t="s">
        <v>29</v>
      </c>
      <c r="B6" s="164" t="s">
        <v>28</v>
      </c>
      <c r="C6" s="164"/>
      <c r="D6" s="164"/>
      <c r="E6" s="164"/>
      <c r="F6" s="40"/>
    </row>
    <row r="7" spans="1:6" ht="21" customHeight="1" x14ac:dyDescent="0.25">
      <c r="A7" s="4" t="s">
        <v>104</v>
      </c>
      <c r="B7" s="164" t="s">
        <v>116</v>
      </c>
      <c r="C7" s="164"/>
      <c r="D7" s="164"/>
      <c r="E7" s="164"/>
      <c r="F7" s="40"/>
    </row>
    <row r="8" spans="1:6" ht="35.25" customHeight="1" x14ac:dyDescent="0.3">
      <c r="A8" s="179" t="s">
        <v>158</v>
      </c>
      <c r="B8" s="179"/>
      <c r="C8" s="180"/>
      <c r="D8" s="180"/>
      <c r="E8" s="180"/>
      <c r="F8" s="44"/>
    </row>
    <row r="9" spans="1:6" ht="35.25" customHeight="1" x14ac:dyDescent="0.3">
      <c r="A9" s="177" t="s">
        <v>135</v>
      </c>
      <c r="B9" s="178"/>
      <c r="C9" s="178"/>
      <c r="D9" s="178"/>
      <c r="E9" s="178"/>
      <c r="F9" s="44"/>
    </row>
    <row r="10" spans="1:6" ht="27" customHeight="1" x14ac:dyDescent="0.25">
      <c r="A10" s="37" t="s">
        <v>161</v>
      </c>
      <c r="B10" s="37" t="s">
        <v>31</v>
      </c>
      <c r="C10" s="37" t="s">
        <v>89</v>
      </c>
      <c r="D10" s="37" t="s">
        <v>87</v>
      </c>
      <c r="E10" s="37" t="s">
        <v>76</v>
      </c>
      <c r="F10" s="25"/>
    </row>
    <row r="11" spans="1:6" s="89" customFormat="1" hidden="1" x14ac:dyDescent="0.25">
      <c r="A11" s="110"/>
      <c r="B11" s="111"/>
      <c r="C11" s="116"/>
      <c r="D11" s="116"/>
      <c r="E11" s="117"/>
      <c r="F11" s="2"/>
    </row>
    <row r="12" spans="1:6" s="89" customFormat="1" x14ac:dyDescent="0.25">
      <c r="A12" s="156">
        <v>43311</v>
      </c>
      <c r="B12" s="157">
        <f>16.96</f>
        <v>16.96</v>
      </c>
      <c r="C12" s="116" t="s">
        <v>188</v>
      </c>
      <c r="D12" s="116" t="s">
        <v>192</v>
      </c>
      <c r="E12" s="117" t="s">
        <v>189</v>
      </c>
      <c r="F12" s="2"/>
    </row>
    <row r="13" spans="1:6" s="89" customFormat="1" x14ac:dyDescent="0.25">
      <c r="A13" s="156">
        <v>43311</v>
      </c>
      <c r="B13" s="157">
        <v>18.7</v>
      </c>
      <c r="C13" s="116" t="s">
        <v>190</v>
      </c>
      <c r="D13" s="116" t="s">
        <v>192</v>
      </c>
      <c r="E13" s="117" t="s">
        <v>189</v>
      </c>
      <c r="F13" s="2"/>
    </row>
    <row r="14" spans="1:6" s="89" customFormat="1" x14ac:dyDescent="0.25">
      <c r="A14" s="114">
        <f>A13+32</f>
        <v>43343</v>
      </c>
      <c r="B14" s="158">
        <v>26.09</v>
      </c>
      <c r="C14" s="116" t="s">
        <v>185</v>
      </c>
      <c r="D14" s="116" t="s">
        <v>192</v>
      </c>
      <c r="E14" s="117" t="s">
        <v>186</v>
      </c>
      <c r="F14" s="2"/>
    </row>
    <row r="15" spans="1:6" s="89" customFormat="1" x14ac:dyDescent="0.25">
      <c r="A15" s="114">
        <f>A14+28</f>
        <v>43371</v>
      </c>
      <c r="B15" s="158">
        <v>113.91</v>
      </c>
      <c r="C15" s="116" t="s">
        <v>187</v>
      </c>
      <c r="D15" s="116" t="s">
        <v>191</v>
      </c>
      <c r="E15" s="117" t="s">
        <v>189</v>
      </c>
      <c r="F15" s="2"/>
    </row>
    <row r="16" spans="1:6" s="89" customFormat="1" x14ac:dyDescent="0.25">
      <c r="A16" s="114">
        <f>A15+33</f>
        <v>43404</v>
      </c>
      <c r="B16" s="158">
        <v>117.83</v>
      </c>
      <c r="C16" s="116" t="s">
        <v>187</v>
      </c>
      <c r="D16" s="116" t="s">
        <v>220</v>
      </c>
      <c r="E16" s="117" t="s">
        <v>189</v>
      </c>
      <c r="F16" s="2"/>
    </row>
    <row r="17" spans="1:6" s="89" customFormat="1" x14ac:dyDescent="0.25">
      <c r="A17" s="114">
        <f>A16+29</f>
        <v>43433</v>
      </c>
      <c r="B17" s="158">
        <v>15.22</v>
      </c>
      <c r="C17" s="116" t="s">
        <v>193</v>
      </c>
      <c r="D17" s="116" t="s">
        <v>192</v>
      </c>
      <c r="E17" s="117" t="s">
        <v>189</v>
      </c>
      <c r="F17" s="2"/>
    </row>
    <row r="18" spans="1:6" s="89" customFormat="1" x14ac:dyDescent="0.25">
      <c r="A18" s="114">
        <f>A17+32</f>
        <v>43465</v>
      </c>
      <c r="B18" s="158">
        <v>28.26</v>
      </c>
      <c r="C18" s="116" t="s">
        <v>194</v>
      </c>
      <c r="D18" s="116" t="s">
        <v>192</v>
      </c>
      <c r="E18" s="117" t="s">
        <v>189</v>
      </c>
      <c r="F18" s="2"/>
    </row>
    <row r="19" spans="1:6" s="89" customFormat="1" x14ac:dyDescent="0.25">
      <c r="A19" s="114">
        <v>43553</v>
      </c>
      <c r="B19" s="158">
        <v>73.040000000000006</v>
      </c>
      <c r="C19" s="116" t="s">
        <v>187</v>
      </c>
      <c r="D19" s="116" t="s">
        <v>191</v>
      </c>
      <c r="E19" s="117" t="s">
        <v>189</v>
      </c>
      <c r="F19" s="2"/>
    </row>
    <row r="20" spans="1:6" s="89" customFormat="1" x14ac:dyDescent="0.25">
      <c r="A20" s="114">
        <v>43584</v>
      </c>
      <c r="B20" s="158">
        <v>66.959999999999994</v>
      </c>
      <c r="C20" s="116" t="s">
        <v>187</v>
      </c>
      <c r="D20" s="116" t="s">
        <v>191</v>
      </c>
      <c r="E20" s="117" t="s">
        <v>189</v>
      </c>
      <c r="F20" s="2"/>
    </row>
    <row r="21" spans="1:6" s="89" customFormat="1" x14ac:dyDescent="0.25">
      <c r="A21" s="114">
        <v>43584</v>
      </c>
      <c r="B21" s="158">
        <v>54.35</v>
      </c>
      <c r="C21" s="116" t="s">
        <v>195</v>
      </c>
      <c r="D21" s="116" t="s">
        <v>192</v>
      </c>
      <c r="E21" s="117" t="s">
        <v>189</v>
      </c>
      <c r="F21" s="2"/>
    </row>
    <row r="22" spans="1:6" s="89" customFormat="1" x14ac:dyDescent="0.25">
      <c r="A22" s="114">
        <v>43616</v>
      </c>
      <c r="B22" s="158">
        <v>15.65</v>
      </c>
      <c r="C22" s="116" t="s">
        <v>196</v>
      </c>
      <c r="D22" s="116" t="s">
        <v>192</v>
      </c>
      <c r="E22" s="117" t="s">
        <v>189</v>
      </c>
      <c r="F22" s="2"/>
    </row>
    <row r="23" spans="1:6" s="89" customFormat="1" x14ac:dyDescent="0.25">
      <c r="A23" s="114">
        <v>43616</v>
      </c>
      <c r="B23" s="158">
        <v>137.74</v>
      </c>
      <c r="C23" s="116" t="s">
        <v>187</v>
      </c>
      <c r="D23" s="116" t="s">
        <v>191</v>
      </c>
      <c r="E23" s="117" t="s">
        <v>189</v>
      </c>
      <c r="F23" s="2"/>
    </row>
    <row r="24" spans="1:6" s="89" customFormat="1" x14ac:dyDescent="0.25">
      <c r="A24" s="114">
        <v>43616</v>
      </c>
      <c r="B24" s="158">
        <v>21.3</v>
      </c>
      <c r="C24" s="116" t="s">
        <v>197</v>
      </c>
      <c r="D24" s="116" t="s">
        <v>192</v>
      </c>
      <c r="E24" s="117" t="s">
        <v>189</v>
      </c>
      <c r="F24" s="2"/>
    </row>
    <row r="25" spans="1:6" s="89" customFormat="1" x14ac:dyDescent="0.25">
      <c r="A25" s="114">
        <v>43616</v>
      </c>
      <c r="B25" s="158">
        <v>19.13</v>
      </c>
      <c r="C25" s="116" t="s">
        <v>187</v>
      </c>
      <c r="D25" s="116" t="s">
        <v>192</v>
      </c>
      <c r="E25" s="117" t="s">
        <v>189</v>
      </c>
      <c r="F25" s="2"/>
    </row>
    <row r="26" spans="1:6" s="89" customFormat="1" x14ac:dyDescent="0.25">
      <c r="A26" s="114">
        <v>43646</v>
      </c>
      <c r="B26" s="158">
        <v>43.04</v>
      </c>
      <c r="C26" s="116" t="s">
        <v>198</v>
      </c>
      <c r="D26" s="116" t="s">
        <v>192</v>
      </c>
      <c r="E26" s="117" t="s">
        <v>189</v>
      </c>
      <c r="F26" s="2"/>
    </row>
    <row r="27" spans="1:6" s="89" customFormat="1" x14ac:dyDescent="0.25">
      <c r="A27" s="114">
        <v>43646</v>
      </c>
      <c r="B27" s="158">
        <v>79.569999999999993</v>
      </c>
      <c r="C27" s="116" t="s">
        <v>187</v>
      </c>
      <c r="D27" s="116" t="s">
        <v>191</v>
      </c>
      <c r="E27" s="117" t="s">
        <v>189</v>
      </c>
      <c r="F27" s="2"/>
    </row>
    <row r="28" spans="1:6" s="89" customFormat="1" ht="11.25" hidden="1" customHeight="1" x14ac:dyDescent="0.25">
      <c r="A28" s="110"/>
      <c r="B28" s="111"/>
      <c r="C28" s="116"/>
      <c r="D28" s="116"/>
      <c r="E28" s="117"/>
      <c r="F28" s="2"/>
    </row>
    <row r="29" spans="1:6" ht="34.5" customHeight="1" x14ac:dyDescent="0.25">
      <c r="A29" s="90" t="s">
        <v>129</v>
      </c>
      <c r="B29" s="102">
        <f>SUM(B11:B28)</f>
        <v>847.75</v>
      </c>
      <c r="C29" s="123" t="str">
        <f>IF(SUBTOTAL(3,B11:B28)=SUBTOTAL(103,B11:B28),'Summary and sign-off'!$A$47,'Summary and sign-off'!$A$48)</f>
        <v>Check - there are no hidden rows with data</v>
      </c>
      <c r="D29" s="170" t="str">
        <f>IF('Summary and sign-off'!F57='Summary and sign-off'!F53,'Summary and sign-off'!A50,'Summary and sign-off'!A49)</f>
        <v>Check - each entry provides sufficient information</v>
      </c>
      <c r="E29" s="170"/>
      <c r="F29" s="2"/>
    </row>
    <row r="30" spans="1:6" x14ac:dyDescent="0.25">
      <c r="A30" s="23"/>
      <c r="B30" s="22"/>
      <c r="C30" s="22"/>
      <c r="D30" s="22"/>
      <c r="E30" s="22"/>
      <c r="F30" s="40"/>
    </row>
    <row r="31" spans="1:6" x14ac:dyDescent="0.25">
      <c r="A31" s="23" t="s">
        <v>8</v>
      </c>
      <c r="B31" s="24"/>
      <c r="C31" s="29"/>
      <c r="D31" s="22"/>
      <c r="E31" s="22"/>
      <c r="F31" s="40"/>
    </row>
    <row r="32" spans="1:6" ht="12.75" customHeight="1" x14ac:dyDescent="0.25">
      <c r="A32" s="25" t="s">
        <v>160</v>
      </c>
      <c r="B32" s="25"/>
      <c r="C32" s="25"/>
      <c r="D32" s="25"/>
      <c r="E32" s="25"/>
      <c r="F32" s="40"/>
    </row>
    <row r="33" spans="1:6" x14ac:dyDescent="0.25">
      <c r="A33" s="25" t="s">
        <v>159</v>
      </c>
      <c r="B33" s="33"/>
      <c r="C33" s="45"/>
      <c r="D33" s="46"/>
      <c r="E33" s="46"/>
      <c r="F33" s="40"/>
    </row>
    <row r="34" spans="1:6" x14ac:dyDescent="0.25">
      <c r="A34" s="25" t="s">
        <v>157</v>
      </c>
      <c r="B34" s="27"/>
      <c r="C34" s="28"/>
      <c r="D34" s="28"/>
      <c r="E34" s="28"/>
      <c r="F34" s="29"/>
    </row>
    <row r="35" spans="1:6" x14ac:dyDescent="0.25">
      <c r="A35" s="33" t="s">
        <v>13</v>
      </c>
      <c r="B35" s="33"/>
      <c r="C35" s="45"/>
      <c r="D35" s="45"/>
      <c r="E35" s="45"/>
      <c r="F35" s="40"/>
    </row>
    <row r="36" spans="1:6" ht="12.75" customHeight="1" x14ac:dyDescent="0.25">
      <c r="A36" s="33" t="s">
        <v>166</v>
      </c>
      <c r="B36" s="33"/>
      <c r="C36" s="47"/>
      <c r="D36" s="47"/>
      <c r="E36" s="35"/>
      <c r="F36" s="40"/>
    </row>
    <row r="37" spans="1:6" x14ac:dyDescent="0.25">
      <c r="A37" s="22"/>
      <c r="B37" s="22"/>
      <c r="C37" s="22"/>
      <c r="D37" s="22"/>
      <c r="E37" s="22"/>
      <c r="F37" s="40"/>
    </row>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x14ac:dyDescent="0.25"/>
    <row r="57" x14ac:dyDescent="0.25"/>
  </sheetData>
  <sheetProtection sheet="1" formatCells="0" insertRows="0" deleteRows="0"/>
  <mergeCells count="10">
    <mergeCell ref="D29:E29"/>
    <mergeCell ref="B6:E6"/>
    <mergeCell ref="B5:E5"/>
    <mergeCell ref="A1:E1"/>
    <mergeCell ref="A9:E9"/>
    <mergeCell ref="B2:E2"/>
    <mergeCell ref="B3:E3"/>
    <mergeCell ref="B4:E4"/>
    <mergeCell ref="A8:E8"/>
    <mergeCell ref="B7:E7"/>
  </mergeCells>
  <phoneticPr fontId="36" type="noConversion"/>
  <dataValidations count="2">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8" xr:uid="{00000000-0002-0000-03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B11:B28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0"/>
  <sheetViews>
    <sheetView topLeftCell="C1" zoomScaleNormal="100" workbookViewId="0">
      <selection activeCell="B7" sqref="B7:E7"/>
    </sheetView>
  </sheetViews>
  <sheetFormatPr defaultColWidth="0" defaultRowHeight="13.2" zeroHeight="1" x14ac:dyDescent="0.25"/>
  <cols>
    <col min="1" max="1" width="35.6640625" style="17" customWidth="1"/>
    <col min="2" max="2" width="14.33203125" style="17" customWidth="1"/>
    <col min="3" max="3" width="71.44140625" style="17" customWidth="1"/>
    <col min="4" max="4" width="50" style="17" customWidth="1"/>
    <col min="5" max="5" width="21.44140625" style="17" customWidth="1"/>
    <col min="6" max="6" width="36.88671875" style="17" customWidth="1"/>
    <col min="7" max="10" width="9.109375" style="17" hidden="1" customWidth="1"/>
    <col min="11" max="13" width="0" style="17" hidden="1" customWidth="1"/>
    <col min="14" max="16384" width="9.109375" style="17" hidden="1"/>
  </cols>
  <sheetData>
    <row r="1" spans="1:6" ht="26.25" customHeight="1" x14ac:dyDescent="0.25">
      <c r="A1" s="166" t="s">
        <v>6</v>
      </c>
      <c r="B1" s="166"/>
      <c r="C1" s="166"/>
      <c r="D1" s="166"/>
      <c r="E1" s="166"/>
      <c r="F1" s="26"/>
    </row>
    <row r="2" spans="1:6" ht="21" customHeight="1" x14ac:dyDescent="0.25">
      <c r="A2" s="4" t="s">
        <v>2</v>
      </c>
      <c r="B2" s="169" t="str">
        <f>'Summary and sign-off'!B2:F2</f>
        <v>The Department of Conservation</v>
      </c>
      <c r="C2" s="169"/>
      <c r="D2" s="169"/>
      <c r="E2" s="169"/>
      <c r="F2" s="26"/>
    </row>
    <row r="3" spans="1:6" ht="21" customHeight="1" x14ac:dyDescent="0.25">
      <c r="A3" s="4" t="s">
        <v>3</v>
      </c>
      <c r="B3" s="169" t="str">
        <f>'Summary and sign-off'!B3:F3</f>
        <v>Lou Sanson</v>
      </c>
      <c r="C3" s="169"/>
      <c r="D3" s="169"/>
      <c r="E3" s="169"/>
      <c r="F3" s="26"/>
    </row>
    <row r="4" spans="1:6" ht="21" customHeight="1" x14ac:dyDescent="0.25">
      <c r="A4" s="4" t="s">
        <v>77</v>
      </c>
      <c r="B4" s="169">
        <f>'Summary and sign-off'!B4:F4</f>
        <v>43282</v>
      </c>
      <c r="C4" s="169"/>
      <c r="D4" s="169"/>
      <c r="E4" s="169"/>
      <c r="F4" s="26"/>
    </row>
    <row r="5" spans="1:6" ht="21" customHeight="1" x14ac:dyDescent="0.25">
      <c r="A5" s="4" t="s">
        <v>78</v>
      </c>
      <c r="B5" s="169">
        <f>'Summary and sign-off'!B5:F5</f>
        <v>43646</v>
      </c>
      <c r="C5" s="169"/>
      <c r="D5" s="169"/>
      <c r="E5" s="169"/>
      <c r="F5" s="26"/>
    </row>
    <row r="6" spans="1:6" ht="21" customHeight="1" x14ac:dyDescent="0.25">
      <c r="A6" s="4" t="s">
        <v>29</v>
      </c>
      <c r="B6" s="164" t="s">
        <v>28</v>
      </c>
      <c r="C6" s="164"/>
      <c r="D6" s="164"/>
      <c r="E6" s="164"/>
      <c r="F6" s="36"/>
    </row>
    <row r="7" spans="1:6" ht="21" customHeight="1" x14ac:dyDescent="0.25">
      <c r="A7" s="4" t="s">
        <v>104</v>
      </c>
      <c r="B7" s="164" t="s">
        <v>116</v>
      </c>
      <c r="C7" s="164"/>
      <c r="D7" s="164"/>
      <c r="E7" s="164"/>
      <c r="F7" s="36"/>
    </row>
    <row r="8" spans="1:6" ht="35.25" customHeight="1" x14ac:dyDescent="0.25">
      <c r="A8" s="173" t="s">
        <v>0</v>
      </c>
      <c r="B8" s="173"/>
      <c r="C8" s="180"/>
      <c r="D8" s="180"/>
      <c r="E8" s="180"/>
      <c r="F8" s="26"/>
    </row>
    <row r="9" spans="1:6" ht="35.25" customHeight="1" x14ac:dyDescent="0.25">
      <c r="A9" s="181" t="s">
        <v>127</v>
      </c>
      <c r="B9" s="182"/>
      <c r="C9" s="182"/>
      <c r="D9" s="182"/>
      <c r="E9" s="182"/>
      <c r="F9" s="26"/>
    </row>
    <row r="10" spans="1:6" ht="27" customHeight="1" x14ac:dyDescent="0.25">
      <c r="A10" s="37" t="s">
        <v>49</v>
      </c>
      <c r="B10" s="37" t="s">
        <v>31</v>
      </c>
      <c r="C10" s="37" t="s">
        <v>51</v>
      </c>
      <c r="D10" s="37" t="s">
        <v>162</v>
      </c>
      <c r="E10" s="37" t="s">
        <v>76</v>
      </c>
      <c r="F10" s="38"/>
    </row>
    <row r="11" spans="1:6" s="89" customFormat="1" hidden="1" x14ac:dyDescent="0.25">
      <c r="A11" s="110"/>
      <c r="B11" s="111"/>
      <c r="C11" s="116"/>
      <c r="D11" s="116"/>
      <c r="E11" s="117"/>
      <c r="F11" s="3"/>
    </row>
    <row r="12" spans="1:6" s="89" customFormat="1" x14ac:dyDescent="0.25">
      <c r="A12" s="114"/>
      <c r="B12" s="111"/>
      <c r="C12" s="116"/>
      <c r="D12" s="116"/>
      <c r="E12" s="117"/>
      <c r="F12" s="3"/>
    </row>
    <row r="13" spans="1:6" s="89" customFormat="1" x14ac:dyDescent="0.25">
      <c r="A13" s="114"/>
      <c r="B13" s="111"/>
      <c r="C13" s="116"/>
      <c r="D13" s="116"/>
      <c r="E13" s="117"/>
      <c r="F13" s="3"/>
    </row>
    <row r="14" spans="1:6" s="89" customFormat="1" x14ac:dyDescent="0.25">
      <c r="A14" s="114"/>
      <c r="B14" s="111"/>
      <c r="C14" s="116"/>
      <c r="D14" s="116"/>
      <c r="E14" s="117"/>
      <c r="F14" s="3"/>
    </row>
    <row r="15" spans="1:6" s="89" customFormat="1" x14ac:dyDescent="0.25">
      <c r="A15" s="114"/>
      <c r="B15" s="111"/>
      <c r="C15" s="116"/>
      <c r="D15" s="116"/>
      <c r="E15" s="117"/>
      <c r="F15" s="3"/>
    </row>
    <row r="16" spans="1:6" s="89" customFormat="1" x14ac:dyDescent="0.25">
      <c r="A16" s="114"/>
      <c r="B16" s="111"/>
      <c r="C16" s="116"/>
      <c r="D16" s="116"/>
      <c r="E16" s="117"/>
      <c r="F16" s="3"/>
    </row>
    <row r="17" spans="1:6" s="89" customFormat="1" x14ac:dyDescent="0.25">
      <c r="A17" s="114"/>
      <c r="B17" s="111"/>
      <c r="C17" s="116"/>
      <c r="D17" s="116"/>
      <c r="E17" s="117"/>
      <c r="F17" s="3"/>
    </row>
    <row r="18" spans="1:6" s="89" customFormat="1" x14ac:dyDescent="0.25">
      <c r="A18" s="114"/>
      <c r="B18" s="111"/>
      <c r="C18" s="116"/>
      <c r="D18" s="116"/>
      <c r="E18" s="117"/>
      <c r="F18" s="3"/>
    </row>
    <row r="19" spans="1:6" s="89" customFormat="1" x14ac:dyDescent="0.25">
      <c r="A19" s="114"/>
      <c r="B19" s="111"/>
      <c r="C19" s="116"/>
      <c r="D19" s="116"/>
      <c r="E19" s="117"/>
      <c r="F19" s="3"/>
    </row>
    <row r="20" spans="1:6" s="89" customFormat="1" x14ac:dyDescent="0.25">
      <c r="A20" s="114"/>
      <c r="B20" s="111"/>
      <c r="C20" s="116"/>
      <c r="D20" s="116"/>
      <c r="E20" s="117"/>
      <c r="F20" s="3"/>
    </row>
    <row r="21" spans="1:6" s="89" customFormat="1" x14ac:dyDescent="0.25">
      <c r="A21" s="114"/>
      <c r="B21" s="111"/>
      <c r="C21" s="116"/>
      <c r="D21" s="116"/>
      <c r="E21" s="117"/>
      <c r="F21" s="3"/>
    </row>
    <row r="22" spans="1:6" s="89" customFormat="1" x14ac:dyDescent="0.25">
      <c r="A22" s="110"/>
      <c r="B22" s="111"/>
      <c r="C22" s="116"/>
      <c r="D22" s="116"/>
      <c r="E22" s="117"/>
      <c r="F22" s="3"/>
    </row>
    <row r="23" spans="1:6" s="89" customFormat="1" x14ac:dyDescent="0.25">
      <c r="A23" s="110"/>
      <c r="B23" s="111"/>
      <c r="C23" s="116"/>
      <c r="D23" s="116"/>
      <c r="E23" s="117"/>
      <c r="F23" s="3"/>
    </row>
    <row r="24" spans="1:6" s="89" customFormat="1" hidden="1" x14ac:dyDescent="0.25">
      <c r="A24" s="110"/>
      <c r="B24" s="111"/>
      <c r="C24" s="116"/>
      <c r="D24" s="116"/>
      <c r="E24" s="117"/>
      <c r="F24" s="3"/>
    </row>
    <row r="25" spans="1:6" ht="34.5" customHeight="1" x14ac:dyDescent="0.25">
      <c r="A25" s="90" t="s">
        <v>136</v>
      </c>
      <c r="B25" s="102">
        <f>SUM(B11:B24)</f>
        <v>0</v>
      </c>
      <c r="C25" s="123" t="str">
        <f>IF(SUBTOTAL(3,B11:B24)=SUBTOTAL(103,B11:B24),'Summary and sign-off'!$A$47,'Summary and sign-off'!$A$48)</f>
        <v>Check - there are no hidden rows with data</v>
      </c>
      <c r="D25" s="170" t="str">
        <f>IF('Summary and sign-off'!F58='Summary and sign-off'!F53,'Summary and sign-off'!A50,'Summary and sign-off'!A49)</f>
        <v>Check - each entry provides sufficient information</v>
      </c>
      <c r="E25" s="170"/>
      <c r="F25" s="39"/>
    </row>
    <row r="26" spans="1:6" ht="14.1" customHeight="1" x14ac:dyDescent="0.25">
      <c r="A26" s="40"/>
      <c r="B26" s="29"/>
      <c r="C26" s="22"/>
      <c r="D26" s="22"/>
      <c r="E26" s="22"/>
      <c r="F26" s="26"/>
    </row>
    <row r="27" spans="1:6" x14ac:dyDescent="0.25">
      <c r="A27" s="23" t="s">
        <v>7</v>
      </c>
      <c r="B27" s="22"/>
      <c r="C27" s="22"/>
      <c r="D27" s="22"/>
      <c r="E27" s="22"/>
      <c r="F27" s="26"/>
    </row>
    <row r="28" spans="1:6" ht="12.6" customHeight="1" x14ac:dyDescent="0.25">
      <c r="A28" s="25" t="s">
        <v>50</v>
      </c>
      <c r="B28" s="22"/>
      <c r="C28" s="22"/>
      <c r="D28" s="22"/>
      <c r="E28" s="22"/>
      <c r="F28" s="26"/>
    </row>
    <row r="29" spans="1:6" x14ac:dyDescent="0.25">
      <c r="A29" s="25" t="s">
        <v>157</v>
      </c>
      <c r="B29" s="27"/>
      <c r="C29" s="28"/>
      <c r="D29" s="28"/>
      <c r="E29" s="28"/>
      <c r="F29" s="29"/>
    </row>
    <row r="30" spans="1:6" x14ac:dyDescent="0.25">
      <c r="A30" s="33" t="s">
        <v>13</v>
      </c>
      <c r="B30" s="34"/>
      <c r="C30" s="29"/>
      <c r="D30" s="29"/>
      <c r="E30" s="29"/>
      <c r="F30" s="29"/>
    </row>
    <row r="31" spans="1:6" ht="12.75" customHeight="1" x14ac:dyDescent="0.25">
      <c r="A31" s="33" t="s">
        <v>166</v>
      </c>
      <c r="B31" s="41"/>
      <c r="C31" s="35"/>
      <c r="D31" s="35"/>
      <c r="E31" s="35"/>
      <c r="F31" s="35"/>
    </row>
    <row r="32" spans="1:6" x14ac:dyDescent="0.25">
      <c r="A32" s="40"/>
      <c r="B32" s="42"/>
      <c r="C32" s="22"/>
      <c r="D32" s="22"/>
      <c r="E32" s="22"/>
      <c r="F32" s="40"/>
    </row>
    <row r="33" spans="1:6" hidden="1" x14ac:dyDescent="0.25">
      <c r="A33" s="22"/>
      <c r="B33" s="22"/>
      <c r="C33" s="22"/>
      <c r="D33" s="22"/>
      <c r="E33" s="40"/>
    </row>
    <row r="34" spans="1:6" ht="12.75" hidden="1" customHeight="1" x14ac:dyDescent="0.25"/>
    <row r="35" spans="1:6" hidden="1" x14ac:dyDescent="0.25">
      <c r="A35" s="43"/>
      <c r="B35" s="43"/>
      <c r="C35" s="43"/>
      <c r="D35" s="43"/>
      <c r="E35" s="43"/>
      <c r="F35" s="26"/>
    </row>
    <row r="36" spans="1:6" hidden="1" x14ac:dyDescent="0.25">
      <c r="A36" s="43"/>
      <c r="B36" s="43"/>
      <c r="C36" s="43"/>
      <c r="D36" s="43"/>
      <c r="E36" s="43"/>
      <c r="F36" s="26"/>
    </row>
    <row r="37" spans="1:6" hidden="1" x14ac:dyDescent="0.25">
      <c r="A37" s="43"/>
      <c r="B37" s="43"/>
      <c r="C37" s="43"/>
      <c r="D37" s="43"/>
      <c r="E37" s="43"/>
      <c r="F37" s="26"/>
    </row>
    <row r="38" spans="1:6" hidden="1" x14ac:dyDescent="0.25">
      <c r="A38" s="43"/>
      <c r="B38" s="43"/>
      <c r="C38" s="43"/>
      <c r="D38" s="43"/>
      <c r="E38" s="43"/>
      <c r="F38" s="26"/>
    </row>
    <row r="39" spans="1:6" hidden="1" x14ac:dyDescent="0.25">
      <c r="A39" s="43"/>
      <c r="B39" s="43"/>
      <c r="C39" s="43"/>
      <c r="D39" s="43"/>
      <c r="E39" s="43"/>
      <c r="F39" s="26"/>
    </row>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zoomScale="85" zoomScaleNormal="85" workbookViewId="0"/>
  </sheetViews>
  <sheetFormatPr defaultColWidth="0" defaultRowHeight="13.8" zeroHeight="1" x14ac:dyDescent="0.25"/>
  <cols>
    <col min="1" max="1" width="219.33203125" style="72" customWidth="1"/>
    <col min="2" max="2" width="33.33203125" style="71" customWidth="1"/>
    <col min="3" max="16384" width="8.6640625" style="17" hidden="1"/>
  </cols>
  <sheetData>
    <row r="1" spans="1:2" ht="23.25" customHeight="1" x14ac:dyDescent="0.25">
      <c r="A1" s="70" t="s">
        <v>86</v>
      </c>
    </row>
    <row r="2" spans="1:2" ht="33" customHeight="1" x14ac:dyDescent="0.25">
      <c r="A2" s="155" t="s">
        <v>119</v>
      </c>
    </row>
    <row r="3" spans="1:2" ht="17.25" customHeight="1" x14ac:dyDescent="0.25"/>
    <row r="4" spans="1:2" ht="23.25" customHeight="1" x14ac:dyDescent="0.25">
      <c r="A4" s="115" t="s">
        <v>124</v>
      </c>
    </row>
    <row r="5" spans="1:2" ht="17.25" customHeight="1" x14ac:dyDescent="0.25"/>
    <row r="6" spans="1:2" ht="23.25" customHeight="1" x14ac:dyDescent="0.25">
      <c r="A6" s="73" t="s">
        <v>14</v>
      </c>
    </row>
    <row r="7" spans="1:2" ht="17.25" customHeight="1" x14ac:dyDescent="0.25">
      <c r="A7" s="74" t="s">
        <v>16</v>
      </c>
    </row>
    <row r="8" spans="1:2" ht="17.25" customHeight="1" x14ac:dyDescent="0.25">
      <c r="A8" s="75" t="s">
        <v>90</v>
      </c>
    </row>
    <row r="9" spans="1:2" ht="17.25" customHeight="1" x14ac:dyDescent="0.25">
      <c r="A9" s="75"/>
    </row>
    <row r="10" spans="1:2" ht="23.25" customHeight="1" x14ac:dyDescent="0.25">
      <c r="A10" s="73" t="s">
        <v>17</v>
      </c>
      <c r="B10" s="121" t="s">
        <v>128</v>
      </c>
    </row>
    <row r="11" spans="1:2" ht="17.25" customHeight="1" x14ac:dyDescent="0.25">
      <c r="A11" s="76" t="s">
        <v>27</v>
      </c>
    </row>
    <row r="12" spans="1:2" ht="17.25" customHeight="1" x14ac:dyDescent="0.25">
      <c r="A12" s="75" t="s">
        <v>18</v>
      </c>
    </row>
    <row r="13" spans="1:2" ht="17.25" customHeight="1" x14ac:dyDescent="0.25">
      <c r="A13" s="75" t="s">
        <v>19</v>
      </c>
    </row>
    <row r="14" spans="1:2" ht="17.25" customHeight="1" x14ac:dyDescent="0.25">
      <c r="A14" s="77" t="s">
        <v>20</v>
      </c>
    </row>
    <row r="15" spans="1:2" ht="17.25" customHeight="1" x14ac:dyDescent="0.25">
      <c r="A15" s="75" t="s">
        <v>21</v>
      </c>
    </row>
    <row r="16" spans="1:2" ht="17.25" customHeight="1" x14ac:dyDescent="0.25">
      <c r="A16" s="75"/>
    </row>
    <row r="17" spans="1:1" ht="23.25" customHeight="1" x14ac:dyDescent="0.25">
      <c r="A17" s="73" t="s">
        <v>22</v>
      </c>
    </row>
    <row r="18" spans="1:1" ht="17.25" customHeight="1" x14ac:dyDescent="0.25">
      <c r="A18" s="77" t="s">
        <v>10</v>
      </c>
    </row>
    <row r="19" spans="1:1" ht="17.25" customHeight="1" x14ac:dyDescent="0.25">
      <c r="A19" s="77" t="s">
        <v>26</v>
      </c>
    </row>
    <row r="20" spans="1:1" ht="17.25" customHeight="1" x14ac:dyDescent="0.25">
      <c r="A20" s="106" t="s">
        <v>118</v>
      </c>
    </row>
    <row r="21" spans="1:1" ht="17.25" customHeight="1" x14ac:dyDescent="0.25">
      <c r="A21" s="78"/>
    </row>
    <row r="22" spans="1:1" ht="23.25" customHeight="1" x14ac:dyDescent="0.25">
      <c r="A22" s="73" t="s">
        <v>11</v>
      </c>
    </row>
    <row r="23" spans="1:1" ht="17.25" customHeight="1" x14ac:dyDescent="0.25">
      <c r="A23" s="78" t="s">
        <v>85</v>
      </c>
    </row>
    <row r="24" spans="1:1" ht="17.25" customHeight="1" x14ac:dyDescent="0.25">
      <c r="A24" s="78"/>
    </row>
    <row r="25" spans="1:1" ht="23.25" customHeight="1" x14ac:dyDescent="0.25">
      <c r="A25" s="73" t="s">
        <v>54</v>
      </c>
    </row>
    <row r="26" spans="1:1" ht="17.25" customHeight="1" x14ac:dyDescent="0.25">
      <c r="A26" s="79" t="s">
        <v>60</v>
      </c>
    </row>
    <row r="27" spans="1:1" ht="32.25" customHeight="1" x14ac:dyDescent="0.25">
      <c r="A27" s="77" t="s">
        <v>112</v>
      </c>
    </row>
    <row r="28" spans="1:1" ht="17.25" customHeight="1" x14ac:dyDescent="0.25">
      <c r="A28" s="79" t="s">
        <v>55</v>
      </c>
    </row>
    <row r="29" spans="1:1" ht="32.25" customHeight="1" x14ac:dyDescent="0.25">
      <c r="A29" s="77" t="s">
        <v>150</v>
      </c>
    </row>
    <row r="30" spans="1:1" ht="17.25" customHeight="1" x14ac:dyDescent="0.25">
      <c r="A30" s="79" t="s">
        <v>12</v>
      </c>
    </row>
    <row r="31" spans="1:1" ht="17.25" customHeight="1" x14ac:dyDescent="0.25">
      <c r="A31" s="77" t="s">
        <v>56</v>
      </c>
    </row>
    <row r="32" spans="1:1" ht="17.25" customHeight="1" x14ac:dyDescent="0.25">
      <c r="A32" s="79" t="s">
        <v>57</v>
      </c>
    </row>
    <row r="33" spans="1:1" ht="32.25" customHeight="1" x14ac:dyDescent="0.25">
      <c r="A33" s="80" t="s">
        <v>58</v>
      </c>
    </row>
    <row r="34" spans="1:1" ht="32.25" customHeight="1" x14ac:dyDescent="0.25">
      <c r="A34" s="81" t="s">
        <v>23</v>
      </c>
    </row>
    <row r="35" spans="1:1" ht="17.25" customHeight="1" x14ac:dyDescent="0.25">
      <c r="A35" s="79" t="s">
        <v>47</v>
      </c>
    </row>
    <row r="36" spans="1:1" ht="32.25" customHeight="1" x14ac:dyDescent="0.25">
      <c r="A36" s="77" t="s">
        <v>130</v>
      </c>
    </row>
    <row r="37" spans="1:1" ht="32.25" customHeight="1" x14ac:dyDescent="0.25">
      <c r="A37" s="80" t="s">
        <v>25</v>
      </c>
    </row>
    <row r="38" spans="1:1" ht="32.25" customHeight="1" x14ac:dyDescent="0.25">
      <c r="A38" s="77" t="s">
        <v>61</v>
      </c>
    </row>
    <row r="39" spans="1:1" ht="17.25" customHeight="1" x14ac:dyDescent="0.25">
      <c r="A39" s="81"/>
    </row>
    <row r="40" spans="1:1" ht="22.5" customHeight="1" x14ac:dyDescent="0.25">
      <c r="A40" s="73" t="s">
        <v>5</v>
      </c>
    </row>
    <row r="41" spans="1:1" ht="17.25" customHeight="1" x14ac:dyDescent="0.25">
      <c r="A41" s="86" t="s">
        <v>120</v>
      </c>
    </row>
    <row r="42" spans="1:1" ht="17.25" customHeight="1" x14ac:dyDescent="0.25">
      <c r="A42" s="82" t="s">
        <v>68</v>
      </c>
    </row>
    <row r="43" spans="1:1" ht="17.25" customHeight="1" x14ac:dyDescent="0.25">
      <c r="A43" s="83" t="s">
        <v>131</v>
      </c>
    </row>
    <row r="44" spans="1:1" ht="32.25" customHeight="1" x14ac:dyDescent="0.25">
      <c r="A44" s="83" t="s">
        <v>103</v>
      </c>
    </row>
    <row r="45" spans="1:1" ht="32.25" customHeight="1" x14ac:dyDescent="0.25">
      <c r="A45" s="83" t="s">
        <v>69</v>
      </c>
    </row>
    <row r="46" spans="1:1" ht="17.25" customHeight="1" x14ac:dyDescent="0.25">
      <c r="A46" s="84" t="s">
        <v>132</v>
      </c>
    </row>
    <row r="47" spans="1:1" ht="32.25" customHeight="1" x14ac:dyDescent="0.25">
      <c r="A47" s="80" t="s">
        <v>70</v>
      </c>
    </row>
    <row r="48" spans="1:1" ht="32.25" customHeight="1" x14ac:dyDescent="0.25">
      <c r="A48" s="80" t="s">
        <v>62</v>
      </c>
    </row>
    <row r="49" spans="1:1" ht="32.25" customHeight="1" x14ac:dyDescent="0.25">
      <c r="A49" s="83" t="s">
        <v>151</v>
      </c>
    </row>
    <row r="50" spans="1:1" ht="17.25" customHeight="1" x14ac:dyDescent="0.25">
      <c r="A50" s="83" t="s">
        <v>71</v>
      </c>
    </row>
    <row r="51" spans="1:1" ht="17.25" customHeight="1" x14ac:dyDescent="0.25">
      <c r="A51" s="83" t="s">
        <v>24</v>
      </c>
    </row>
    <row r="52" spans="1:1" ht="17.25" customHeight="1" x14ac:dyDescent="0.25">
      <c r="A52" s="83"/>
    </row>
    <row r="53" spans="1:1" ht="22.5" customHeight="1" x14ac:dyDescent="0.25">
      <c r="A53" s="73" t="s">
        <v>59</v>
      </c>
    </row>
    <row r="54" spans="1:1" ht="32.25" customHeight="1" x14ac:dyDescent="0.25">
      <c r="A54" s="155" t="s">
        <v>121</v>
      </c>
    </row>
    <row r="55" spans="1:1" ht="17.25" customHeight="1" x14ac:dyDescent="0.25">
      <c r="A55" s="85" t="s">
        <v>122</v>
      </c>
    </row>
    <row r="56" spans="1:1" ht="17.25" customHeight="1" x14ac:dyDescent="0.25">
      <c r="A56" s="86" t="s">
        <v>75</v>
      </c>
    </row>
    <row r="57" spans="1:1" ht="17.25" customHeight="1" x14ac:dyDescent="0.25">
      <c r="A57" s="106" t="s">
        <v>123</v>
      </c>
    </row>
    <row r="58" spans="1:1" ht="17.25" customHeight="1" x14ac:dyDescent="0.25">
      <c r="A58" s="87" t="s">
        <v>74</v>
      </c>
    </row>
    <row r="59" spans="1:1" x14ac:dyDescent="0.25"/>
    <row r="60" spans="1:1" hidden="1" x14ac:dyDescent="0.25"/>
    <row r="61" spans="1:1" hidden="1" x14ac:dyDescent="0.25">
      <c r="A61" s="88"/>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customProperties>
    <customPr name="_pios_id" r:id="rId10"/>
  </customProperties>
  <legacyDrawing r:id="rId1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zoomScaleNormal="100" workbookViewId="0">
      <selection activeCell="B7" sqref="B7:F7"/>
    </sheetView>
  </sheetViews>
  <sheetFormatPr defaultColWidth="0" defaultRowHeight="13.2" zeroHeight="1" x14ac:dyDescent="0.25"/>
  <cols>
    <col min="1" max="1" width="35.6640625" style="17" customWidth="1"/>
    <col min="2" max="2" width="46.88671875" style="17" customWidth="1"/>
    <col min="3" max="3" width="22.109375" style="17" customWidth="1"/>
    <col min="4" max="4" width="25.44140625" style="17" customWidth="1"/>
    <col min="5" max="6" width="35.6640625" style="17" customWidth="1"/>
    <col min="7" max="7" width="38" style="17" customWidth="1"/>
    <col min="8" max="10" width="9.109375" style="17" hidden="1" customWidth="1"/>
    <col min="11" max="15" width="0" style="17" hidden="1" customWidth="1"/>
    <col min="16" max="16384" width="0" style="17" hidden="1"/>
  </cols>
  <sheetData>
    <row r="1" spans="1:6" ht="26.25" customHeight="1" x14ac:dyDescent="0.25">
      <c r="A1" s="166" t="s">
        <v>32</v>
      </c>
      <c r="B1" s="166"/>
      <c r="C1" s="166"/>
      <c r="D1" s="166"/>
      <c r="E1" s="166"/>
      <c r="F1" s="166"/>
    </row>
    <row r="2" spans="1:6" ht="21" customHeight="1" x14ac:dyDescent="0.25">
      <c r="A2" s="4" t="s">
        <v>2</v>
      </c>
      <c r="B2" s="169" t="str">
        <f>'Summary and sign-off'!B2:F2</f>
        <v>The Department of Conservation</v>
      </c>
      <c r="C2" s="169"/>
      <c r="D2" s="169"/>
      <c r="E2" s="169"/>
      <c r="F2" s="169"/>
    </row>
    <row r="3" spans="1:6" ht="21" customHeight="1" x14ac:dyDescent="0.25">
      <c r="A3" s="4" t="s">
        <v>3</v>
      </c>
      <c r="B3" s="169" t="str">
        <f>'Summary and sign-off'!B3:F3</f>
        <v>Lou Sanson</v>
      </c>
      <c r="C3" s="169"/>
      <c r="D3" s="169"/>
      <c r="E3" s="169"/>
      <c r="F3" s="169"/>
    </row>
    <row r="4" spans="1:6" ht="21" customHeight="1" x14ac:dyDescent="0.25">
      <c r="A4" s="4" t="s">
        <v>77</v>
      </c>
      <c r="B4" s="169">
        <f>'Summary and sign-off'!B4:F4</f>
        <v>43282</v>
      </c>
      <c r="C4" s="169"/>
      <c r="D4" s="169"/>
      <c r="E4" s="169"/>
      <c r="F4" s="169"/>
    </row>
    <row r="5" spans="1:6" ht="21" customHeight="1" x14ac:dyDescent="0.25">
      <c r="A5" s="4" t="s">
        <v>78</v>
      </c>
      <c r="B5" s="169">
        <f>'Summary and sign-off'!B5:F5</f>
        <v>43646</v>
      </c>
      <c r="C5" s="169"/>
      <c r="D5" s="169"/>
      <c r="E5" s="169"/>
      <c r="F5" s="169"/>
    </row>
    <row r="6" spans="1:6" ht="21" customHeight="1" x14ac:dyDescent="0.25">
      <c r="A6" s="4" t="s">
        <v>167</v>
      </c>
      <c r="B6" s="164" t="s">
        <v>28</v>
      </c>
      <c r="C6" s="164"/>
      <c r="D6" s="164"/>
      <c r="E6" s="164"/>
      <c r="F6" s="164"/>
    </row>
    <row r="7" spans="1:6" ht="21" customHeight="1" x14ac:dyDescent="0.25">
      <c r="A7" s="4" t="s">
        <v>104</v>
      </c>
      <c r="B7" s="164" t="s">
        <v>116</v>
      </c>
      <c r="C7" s="164"/>
      <c r="D7" s="164"/>
      <c r="E7" s="164"/>
      <c r="F7" s="164"/>
    </row>
    <row r="8" spans="1:6" ht="36" customHeight="1" x14ac:dyDescent="0.25">
      <c r="A8" s="173" t="s">
        <v>52</v>
      </c>
      <c r="B8" s="173"/>
      <c r="C8" s="173"/>
      <c r="D8" s="173"/>
      <c r="E8" s="173"/>
      <c r="F8" s="173"/>
    </row>
    <row r="9" spans="1:6" ht="36" customHeight="1" x14ac:dyDescent="0.25">
      <c r="A9" s="181" t="s">
        <v>134</v>
      </c>
      <c r="B9" s="182"/>
      <c r="C9" s="182"/>
      <c r="D9" s="182"/>
      <c r="E9" s="182"/>
      <c r="F9" s="182"/>
    </row>
    <row r="10" spans="1:6" ht="39" customHeight="1" x14ac:dyDescent="0.25">
      <c r="A10" s="18" t="s">
        <v>49</v>
      </c>
      <c r="B10" s="9" t="s">
        <v>163</v>
      </c>
      <c r="C10" s="9" t="s">
        <v>82</v>
      </c>
      <c r="D10" s="9" t="s">
        <v>33</v>
      </c>
      <c r="E10" s="9" t="s">
        <v>83</v>
      </c>
      <c r="F10" s="9" t="s">
        <v>126</v>
      </c>
    </row>
    <row r="11" spans="1:6" s="89" customFormat="1" hidden="1" x14ac:dyDescent="0.25">
      <c r="A11" s="114"/>
      <c r="B11" s="116"/>
      <c r="C11" s="122"/>
      <c r="D11" s="116"/>
      <c r="E11" s="118"/>
      <c r="F11" s="117"/>
    </row>
    <row r="12" spans="1:6" s="89" customFormat="1" ht="26.4" x14ac:dyDescent="0.25">
      <c r="A12" s="114">
        <v>43383</v>
      </c>
      <c r="B12" s="119" t="s">
        <v>174</v>
      </c>
      <c r="C12" s="122" t="s">
        <v>34</v>
      </c>
      <c r="D12" s="119" t="s">
        <v>170</v>
      </c>
      <c r="E12" s="118" t="s">
        <v>40</v>
      </c>
      <c r="F12" s="120"/>
    </row>
    <row r="13" spans="1:6" s="89" customFormat="1" ht="26.4" x14ac:dyDescent="0.25">
      <c r="A13" s="114">
        <v>43379</v>
      </c>
      <c r="B13" s="119" t="s">
        <v>171</v>
      </c>
      <c r="C13" s="122" t="s">
        <v>34</v>
      </c>
      <c r="D13" s="119" t="s">
        <v>172</v>
      </c>
      <c r="E13" s="118" t="s">
        <v>41</v>
      </c>
      <c r="F13" s="120"/>
    </row>
    <row r="14" spans="1:6" s="89" customFormat="1" x14ac:dyDescent="0.25">
      <c r="A14" s="114">
        <v>43455</v>
      </c>
      <c r="B14" s="119" t="s">
        <v>173</v>
      </c>
      <c r="C14" s="122" t="s">
        <v>36</v>
      </c>
      <c r="D14" s="119" t="s">
        <v>175</v>
      </c>
      <c r="E14" s="118" t="s">
        <v>39</v>
      </c>
      <c r="F14" s="120"/>
    </row>
    <row r="15" spans="1:6" s="89" customFormat="1" x14ac:dyDescent="0.25">
      <c r="A15" s="114">
        <v>43483</v>
      </c>
      <c r="B15" s="119" t="s">
        <v>180</v>
      </c>
      <c r="C15" s="122" t="s">
        <v>36</v>
      </c>
      <c r="D15" s="119" t="s">
        <v>176</v>
      </c>
      <c r="E15" s="118" t="s">
        <v>39</v>
      </c>
      <c r="F15" s="120" t="s">
        <v>177</v>
      </c>
    </row>
    <row r="16" spans="1:6" s="89" customFormat="1" x14ac:dyDescent="0.25">
      <c r="A16" s="114">
        <v>43479</v>
      </c>
      <c r="B16" s="119" t="s">
        <v>181</v>
      </c>
      <c r="C16" s="122" t="s">
        <v>36</v>
      </c>
      <c r="D16" s="119" t="s">
        <v>182</v>
      </c>
      <c r="E16" s="118" t="s">
        <v>39</v>
      </c>
      <c r="F16" s="120"/>
    </row>
    <row r="17" spans="1:7" s="89" customFormat="1" x14ac:dyDescent="0.25">
      <c r="A17" s="114">
        <f>A16+1</f>
        <v>43480</v>
      </c>
      <c r="B17" s="119" t="s">
        <v>178</v>
      </c>
      <c r="C17" s="122" t="s">
        <v>36</v>
      </c>
      <c r="D17" s="119" t="s">
        <v>183</v>
      </c>
      <c r="E17" s="118" t="s">
        <v>39</v>
      </c>
      <c r="F17" s="120"/>
    </row>
    <row r="18" spans="1:7" s="89" customFormat="1" ht="26.4" x14ac:dyDescent="0.25">
      <c r="A18" s="114">
        <v>43564</v>
      </c>
      <c r="B18" s="119" t="s">
        <v>179</v>
      </c>
      <c r="C18" s="122" t="s">
        <v>34</v>
      </c>
      <c r="D18" s="119" t="s">
        <v>184</v>
      </c>
      <c r="E18" s="118" t="s">
        <v>41</v>
      </c>
      <c r="F18" s="120"/>
    </row>
    <row r="19" spans="1:7" s="89" customFormat="1" x14ac:dyDescent="0.25">
      <c r="A19" s="114"/>
      <c r="B19" s="119"/>
      <c r="C19" s="122"/>
      <c r="D19" s="119"/>
      <c r="E19" s="118"/>
      <c r="F19" s="120"/>
    </row>
    <row r="20" spans="1:7" s="89" customFormat="1" x14ac:dyDescent="0.25">
      <c r="A20" s="114"/>
      <c r="B20" s="119"/>
      <c r="C20" s="122"/>
      <c r="D20" s="119"/>
      <c r="E20" s="118"/>
      <c r="F20" s="120"/>
    </row>
    <row r="21" spans="1:7" s="89" customFormat="1" x14ac:dyDescent="0.25">
      <c r="A21" s="114"/>
      <c r="B21" s="119"/>
      <c r="C21" s="122"/>
      <c r="D21" s="119"/>
      <c r="E21" s="118"/>
      <c r="F21" s="120"/>
    </row>
    <row r="22" spans="1:7" s="89" customFormat="1" x14ac:dyDescent="0.25">
      <c r="A22" s="114"/>
      <c r="B22" s="119"/>
      <c r="C22" s="122"/>
      <c r="D22" s="119"/>
      <c r="E22" s="118"/>
      <c r="F22" s="120"/>
    </row>
    <row r="23" spans="1:7" s="89" customFormat="1" x14ac:dyDescent="0.25">
      <c r="A23" s="114"/>
      <c r="B23" s="119"/>
      <c r="C23" s="122"/>
      <c r="D23" s="119"/>
      <c r="E23" s="118"/>
      <c r="F23" s="120"/>
    </row>
    <row r="24" spans="1:7" s="89" customFormat="1" hidden="1" x14ac:dyDescent="0.25">
      <c r="A24" s="114"/>
      <c r="B24" s="116"/>
      <c r="C24" s="122"/>
      <c r="D24" s="116"/>
      <c r="E24" s="118"/>
      <c r="F24" s="117"/>
    </row>
    <row r="25" spans="1:7" ht="34.5" customHeight="1" x14ac:dyDescent="0.25">
      <c r="A25" s="91" t="s">
        <v>164</v>
      </c>
      <c r="B25" s="92" t="s">
        <v>35</v>
      </c>
      <c r="C25" s="93">
        <f>C26+C27</f>
        <v>7</v>
      </c>
      <c r="D25" s="131" t="str">
        <f>IF(SUBTOTAL(3,C11:C24)=SUBTOTAL(103,C11:C24),'Summary and sign-off'!$A$47,'Summary and sign-off'!$A$48)</f>
        <v>Check - there are no hidden rows with data</v>
      </c>
      <c r="E25" s="183" t="str">
        <f>IF('Summary and sign-off'!F59='Summary and sign-off'!F53,'Summary and sign-off'!A51,'Summary and sign-off'!A49)</f>
        <v>Check - each entry provides sufficient information</v>
      </c>
      <c r="F25" s="183"/>
      <c r="G25" s="89"/>
    </row>
    <row r="26" spans="1:7" ht="25.5" customHeight="1" x14ac:dyDescent="0.3">
      <c r="A26" s="94"/>
      <c r="B26" s="95" t="s">
        <v>36</v>
      </c>
      <c r="C26" s="96">
        <f>COUNTIF(C11:C24,'Summary and sign-off'!A44)</f>
        <v>4</v>
      </c>
      <c r="D26" s="19"/>
      <c r="E26" s="20"/>
      <c r="F26" s="21"/>
    </row>
    <row r="27" spans="1:7" ht="25.5" customHeight="1" x14ac:dyDescent="0.3">
      <c r="A27" s="94"/>
      <c r="B27" s="95" t="s">
        <v>34</v>
      </c>
      <c r="C27" s="96">
        <f>COUNTIF(C11:C24,'Summary and sign-off'!A45)</f>
        <v>3</v>
      </c>
      <c r="D27" s="19"/>
      <c r="E27" s="20"/>
      <c r="F27" s="21"/>
    </row>
    <row r="28" spans="1:7" x14ac:dyDescent="0.25">
      <c r="A28" s="22"/>
      <c r="B28" s="23"/>
      <c r="C28" s="22"/>
      <c r="D28" s="24"/>
      <c r="E28" s="24"/>
      <c r="F28" s="22"/>
    </row>
    <row r="29" spans="1:7" x14ac:dyDescent="0.25">
      <c r="A29" s="23" t="s">
        <v>7</v>
      </c>
      <c r="B29" s="23"/>
      <c r="C29" s="23"/>
      <c r="D29" s="23"/>
      <c r="E29" s="23"/>
      <c r="F29" s="23"/>
    </row>
    <row r="30" spans="1:7" ht="12.6" customHeight="1" x14ac:dyDescent="0.25">
      <c r="A30" s="25" t="s">
        <v>50</v>
      </c>
      <c r="B30" s="22"/>
      <c r="C30" s="22"/>
      <c r="D30" s="22"/>
      <c r="E30" s="22"/>
      <c r="F30" s="26"/>
    </row>
    <row r="31" spans="1:7" x14ac:dyDescent="0.25">
      <c r="A31" s="25" t="s">
        <v>157</v>
      </c>
      <c r="B31" s="27"/>
      <c r="C31" s="28"/>
      <c r="D31" s="28"/>
      <c r="E31" s="28"/>
      <c r="F31" s="29"/>
    </row>
    <row r="32" spans="1:7" x14ac:dyDescent="0.25">
      <c r="A32" s="25" t="s">
        <v>15</v>
      </c>
      <c r="B32" s="30"/>
      <c r="C32" s="30"/>
      <c r="D32" s="30"/>
      <c r="E32" s="30"/>
      <c r="F32" s="30"/>
    </row>
    <row r="33" spans="1:6" ht="12.75" customHeight="1" x14ac:dyDescent="0.25">
      <c r="A33" s="25" t="s">
        <v>93</v>
      </c>
      <c r="B33" s="22"/>
      <c r="C33" s="22"/>
      <c r="D33" s="22"/>
      <c r="E33" s="22"/>
      <c r="F33" s="22"/>
    </row>
    <row r="34" spans="1:6" ht="12.9" customHeight="1" x14ac:dyDescent="0.25">
      <c r="A34" s="31" t="s">
        <v>37</v>
      </c>
      <c r="B34" s="32"/>
      <c r="C34" s="32"/>
      <c r="D34" s="32"/>
      <c r="E34" s="32"/>
      <c r="F34" s="32"/>
    </row>
    <row r="35" spans="1:6" x14ac:dyDescent="0.25">
      <c r="A35" s="33" t="s">
        <v>53</v>
      </c>
      <c r="B35" s="34"/>
      <c r="C35" s="29"/>
      <c r="D35" s="29"/>
      <c r="E35" s="29"/>
      <c r="F35" s="29"/>
    </row>
    <row r="36" spans="1:6" ht="12.75" customHeight="1" x14ac:dyDescent="0.25">
      <c r="A36" s="33" t="s">
        <v>166</v>
      </c>
      <c r="B36" s="25"/>
      <c r="C36" s="35"/>
      <c r="D36" s="35"/>
      <c r="E36" s="35"/>
      <c r="F36" s="35"/>
    </row>
    <row r="37" spans="1:6" ht="12.75" customHeight="1" x14ac:dyDescent="0.25">
      <c r="A37" s="25"/>
      <c r="B37" s="25"/>
      <c r="C37" s="35"/>
      <c r="D37" s="35"/>
      <c r="E37" s="35"/>
      <c r="F37" s="35"/>
    </row>
    <row r="38" spans="1:6" ht="12.75" hidden="1" customHeight="1" x14ac:dyDescent="0.25">
      <c r="A38" s="25"/>
      <c r="B38" s="25"/>
      <c r="C38" s="35"/>
      <c r="D38" s="35"/>
      <c r="E38" s="35"/>
      <c r="F38" s="35"/>
    </row>
    <row r="39" spans="1:6" hidden="1" x14ac:dyDescent="0.25"/>
    <row r="40" spans="1:6" hidden="1" x14ac:dyDescent="0.25"/>
    <row r="41" spans="1:6" hidden="1" x14ac:dyDescent="0.25">
      <c r="A41" s="23"/>
      <c r="B41" s="23"/>
      <c r="C41" s="23"/>
      <c r="D41" s="23"/>
      <c r="E41" s="23"/>
      <c r="F41" s="23"/>
    </row>
    <row r="42" spans="1:6" hidden="1" x14ac:dyDescent="0.25">
      <c r="A42" s="23"/>
      <c r="B42" s="23"/>
      <c r="C42" s="23"/>
      <c r="D42" s="23"/>
      <c r="E42" s="23"/>
      <c r="F42" s="23"/>
    </row>
    <row r="43" spans="1:6" hidden="1" x14ac:dyDescent="0.25">
      <c r="A43" s="23"/>
      <c r="B43" s="23"/>
      <c r="C43" s="23"/>
      <c r="D43" s="23"/>
      <c r="E43" s="23"/>
      <c r="F43" s="23"/>
    </row>
    <row r="44" spans="1:6" hidden="1" x14ac:dyDescent="0.25">
      <c r="A44" s="23"/>
      <c r="B44" s="23"/>
      <c r="C44" s="23"/>
      <c r="D44" s="23"/>
      <c r="E44" s="23"/>
      <c r="F44" s="23"/>
    </row>
    <row r="45" spans="1:6" hidden="1" x14ac:dyDescent="0.25">
      <c r="A45" s="23"/>
      <c r="B45" s="23"/>
      <c r="C45" s="23"/>
      <c r="D45" s="23"/>
      <c r="E45" s="23"/>
      <c r="F45" s="23"/>
    </row>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sheetData>
  <sheetProtection sheet="1" formatCells="0" insertRows="0" deleteRows="0"/>
  <mergeCells count="10">
    <mergeCell ref="E25:F25"/>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sign-off'!$A$44:$A$45</xm:f>
          </x14:formula1>
          <xm:sqref>C11:C24</xm:sqref>
        </x14:dataValidation>
        <x14:dataValidation type="list" errorStyle="information" operator="greaterThan" allowBlank="1" showInputMessage="1" prompt="Provide specific $ value if possible" xr:uid="{00000000-0002-0000-0500-000003000000}">
          <x14:formula1>
            <xm:f>'Summary and sign-off'!$A$38:$A$43</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9D7F4-D0D7-4BCB-BBEA-E7C37A64913E}">
  <ds:schemaRefs>
    <ds:schemaRef ds:uri="12165527-d881-4234-97f9-ee139a3f0c31"/>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Summary and sign-off</vt:lpstr>
      <vt:lpstr>Travel</vt:lpstr>
      <vt:lpstr>Hospitality</vt:lpstr>
      <vt:lpstr>All other expenses</vt:lpstr>
      <vt:lpstr>Guidance for agencies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Jul 2017 - Jun 2018: Director-General's expenses, gifts and hospitality</dc:title>
  <dc:creator>Melissa Reid</dc:creator>
  <dc:description>Version 7 - for review by SIT - ready 2/10/18</dc:description>
  <cp:lastModifiedBy>mreid</cp:lastModifiedBy>
  <cp:lastPrinted>2019-07-16T03:49:09Z</cp:lastPrinted>
  <dcterms:created xsi:type="dcterms:W3CDTF">2010-10-17T20:59:02Z</dcterms:created>
  <dcterms:modified xsi:type="dcterms:W3CDTF">2019-07-28T22:59:04Z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DISdDocName">
    <vt:lpwstr>DOC-5979595</vt:lpwstr>
  </property>
  <property fmtid="{D5CDD505-2E9C-101B-9397-08002B2CF9AE}" pid="8" name="DISProperties">
    <vt:lpwstr>DISdDocName,DIScgiUrl,DISdUser,DISdID,DISidcName,DISTaskPaneUrl</vt:lpwstr>
  </property>
  <property fmtid="{D5CDD505-2E9C-101B-9397-08002B2CF9AE}" pid="9" name="DIScgiUrl">
    <vt:lpwstr>https://doccm.doc.govt.nz/cs/idcplg</vt:lpwstr>
  </property>
  <property fmtid="{D5CDD505-2E9C-101B-9397-08002B2CF9AE}" pid="10" name="DISdUser">
    <vt:lpwstr>mreid</vt:lpwstr>
  </property>
  <property fmtid="{D5CDD505-2E9C-101B-9397-08002B2CF9AE}" pid="11" name="DISdID">
    <vt:lpwstr>6508580</vt:lpwstr>
  </property>
  <property fmtid="{D5CDD505-2E9C-101B-9397-08002B2CF9AE}" pid="12" name="DISidcName">
    <vt:lpwstr>docprd12con116200</vt:lpwstr>
  </property>
  <property fmtid="{D5CDD505-2E9C-101B-9397-08002B2CF9AE}" pid="13" name="DISTaskPaneUrl">
    <vt:lpwstr>https://doccm.doc.govt.nz/cs/idcplg?IdcService=DESKTOP_DOC_INFO&amp;dDocName=DOC-5979595&amp;dID=6508580&amp;ClientControlled=DocMan,taskpane&amp;coreContentOnly=1</vt:lpwstr>
  </property>
</Properties>
</file>