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docnz-my.sharepoint.com/personal/lthomas_doc_govt_nz/Documents/Desktop/Proactive Release (OIA)/Proactive Release - June 2023/OIAD-3035/"/>
    </mc:Choice>
  </mc:AlternateContent>
  <xr:revisionPtr revIDLastSave="0" documentId="8_{2CA38D00-9797-4078-8860-4B4E4C225DF1}" xr6:coauthVersionLast="47" xr6:coauthVersionMax="47" xr10:uidLastSave="{00000000-0000-0000-0000-000000000000}"/>
  <bookViews>
    <workbookView xWindow="28680" yWindow="225" windowWidth="29040" windowHeight="15840" xr2:uid="{00000000-000D-0000-FFFF-FFFF00000000}"/>
  </bookViews>
  <sheets>
    <sheet name="Waikato" sheetId="2" r:id="rId1"/>
    <sheet name="BoP"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96" i="5" l="1"/>
  <c r="BI196" i="5"/>
  <c r="BH196" i="5"/>
  <c r="BG196" i="5"/>
  <c r="BF196" i="5"/>
  <c r="BE196" i="5"/>
  <c r="BD196" i="5"/>
  <c r="BC196" i="5"/>
  <c r="BB196" i="5"/>
  <c r="BA196" i="5"/>
  <c r="AZ196" i="5"/>
  <c r="AY196" i="5"/>
  <c r="AX196" i="5"/>
  <c r="AW196" i="5"/>
  <c r="AV196" i="5"/>
  <c r="AU196" i="5"/>
  <c r="AT196" i="5"/>
  <c r="AS196" i="5"/>
  <c r="AR196" i="5"/>
  <c r="AQ196" i="5"/>
  <c r="AP196" i="5"/>
  <c r="AO196" i="5"/>
  <c r="AN196" i="5"/>
  <c r="AM196" i="5"/>
  <c r="AL196" i="5"/>
  <c r="AK196" i="5"/>
  <c r="AJ196" i="5"/>
  <c r="AI196" i="5"/>
  <c r="AH196" i="5"/>
  <c r="AG196" i="5"/>
  <c r="AF196" i="5"/>
  <c r="AE196" i="5"/>
  <c r="AD196" i="5"/>
  <c r="AC196" i="5"/>
  <c r="AB196" i="5"/>
  <c r="AA196" i="5"/>
  <c r="Z196" i="5"/>
  <c r="Y196" i="5"/>
  <c r="X196" i="5"/>
  <c r="W196" i="5"/>
  <c r="V196" i="5"/>
  <c r="U196" i="5"/>
  <c r="T196" i="5"/>
  <c r="S196" i="5"/>
  <c r="R196" i="5"/>
  <c r="Q196" i="5"/>
  <c r="P196" i="5"/>
  <c r="O196" i="5"/>
  <c r="N196" i="5"/>
  <c r="M196" i="5"/>
  <c r="L196" i="5"/>
  <c r="K196" i="5"/>
  <c r="J196" i="5"/>
  <c r="I196" i="5"/>
  <c r="H196" i="5"/>
  <c r="G196" i="5"/>
  <c r="F196" i="5"/>
  <c r="E196" i="5"/>
  <c r="D196" i="5"/>
  <c r="C196" i="5"/>
  <c r="B196" i="5"/>
  <c r="A196" i="5"/>
  <c r="BJ195" i="5"/>
  <c r="BI195" i="5"/>
  <c r="BH195" i="5"/>
  <c r="BG195" i="5"/>
  <c r="BF195" i="5"/>
  <c r="BE195" i="5"/>
  <c r="BD195" i="5"/>
  <c r="BC195" i="5"/>
  <c r="BB195" i="5"/>
  <c r="BA195" i="5"/>
  <c r="AZ195" i="5"/>
  <c r="AY195" i="5"/>
  <c r="AX195" i="5"/>
  <c r="AW195" i="5"/>
  <c r="AV195" i="5"/>
  <c r="AU195" i="5"/>
  <c r="AT195" i="5"/>
  <c r="AS195" i="5"/>
  <c r="AR195"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R195" i="5"/>
  <c r="Q195" i="5"/>
  <c r="P195" i="5"/>
  <c r="O195" i="5"/>
  <c r="N195" i="5"/>
  <c r="M195" i="5"/>
  <c r="L195" i="5"/>
  <c r="K195" i="5"/>
  <c r="J195" i="5"/>
  <c r="I195" i="5"/>
  <c r="H195" i="5"/>
  <c r="G195" i="5"/>
  <c r="F195" i="5"/>
  <c r="E195" i="5"/>
  <c r="D195" i="5"/>
  <c r="C195" i="5"/>
  <c r="B195" i="5"/>
  <c r="A195" i="5"/>
  <c r="BJ194" i="5"/>
  <c r="BI194" i="5"/>
  <c r="BH194" i="5"/>
  <c r="BG194" i="5"/>
  <c r="BF194" i="5"/>
  <c r="BE194" i="5"/>
  <c r="BD194" i="5"/>
  <c r="BC194" i="5"/>
  <c r="BB194" i="5"/>
  <c r="BA194" i="5"/>
  <c r="AZ194" i="5"/>
  <c r="AY194" i="5"/>
  <c r="AX194" i="5"/>
  <c r="AW194" i="5"/>
  <c r="AV194" i="5"/>
  <c r="AU194" i="5"/>
  <c r="AT194" i="5"/>
  <c r="AS194" i="5"/>
  <c r="AR194" i="5"/>
  <c r="AQ194" i="5"/>
  <c r="AP194" i="5"/>
  <c r="AO194" i="5"/>
  <c r="AN194" i="5"/>
  <c r="AM194" i="5"/>
  <c r="AL194" i="5"/>
  <c r="AK194" i="5"/>
  <c r="AJ194" i="5"/>
  <c r="AI194" i="5"/>
  <c r="AH194" i="5"/>
  <c r="AG194" i="5"/>
  <c r="AF194" i="5"/>
  <c r="AE194" i="5"/>
  <c r="AD194" i="5"/>
  <c r="AC194" i="5"/>
  <c r="AB194" i="5"/>
  <c r="AA194" i="5"/>
  <c r="Z194" i="5"/>
  <c r="Y194" i="5"/>
  <c r="X194" i="5"/>
  <c r="W194" i="5"/>
  <c r="V194" i="5"/>
  <c r="U194" i="5"/>
  <c r="T194" i="5"/>
  <c r="S194" i="5"/>
  <c r="R194" i="5"/>
  <c r="Q194" i="5"/>
  <c r="P194" i="5"/>
  <c r="O194" i="5"/>
  <c r="N194" i="5"/>
  <c r="M194" i="5"/>
  <c r="L194" i="5"/>
  <c r="K194" i="5"/>
  <c r="J194" i="5"/>
  <c r="I194" i="5"/>
  <c r="H194" i="5"/>
  <c r="G194" i="5"/>
  <c r="F194" i="5"/>
  <c r="E194" i="5"/>
  <c r="D194" i="5"/>
  <c r="C194" i="5"/>
  <c r="B194" i="5"/>
  <c r="A194" i="5"/>
  <c r="BJ193" i="5"/>
  <c r="BI193" i="5"/>
  <c r="BH193" i="5"/>
  <c r="BG193" i="5"/>
  <c r="BF193" i="5"/>
  <c r="BE193" i="5"/>
  <c r="BD193" i="5"/>
  <c r="BC193" i="5"/>
  <c r="BB193" i="5"/>
  <c r="BA193" i="5"/>
  <c r="AZ193" i="5"/>
  <c r="AY193" i="5"/>
  <c r="AX193" i="5"/>
  <c r="AW193" i="5"/>
  <c r="AV193" i="5"/>
  <c r="AU193" i="5"/>
  <c r="AT193" i="5"/>
  <c r="AS193" i="5"/>
  <c r="AR193" i="5"/>
  <c r="AQ193" i="5"/>
  <c r="AP193" i="5"/>
  <c r="AO193" i="5"/>
  <c r="AN193" i="5"/>
  <c r="AM193" i="5"/>
  <c r="AL193" i="5"/>
  <c r="AK193" i="5"/>
  <c r="AJ193" i="5"/>
  <c r="AI193" i="5"/>
  <c r="AH193" i="5"/>
  <c r="AG193" i="5"/>
  <c r="AF193" i="5"/>
  <c r="AE193" i="5"/>
  <c r="AD193" i="5"/>
  <c r="AC193" i="5"/>
  <c r="AB193" i="5"/>
  <c r="AA193" i="5"/>
  <c r="Z193" i="5"/>
  <c r="Y193" i="5"/>
  <c r="X193" i="5"/>
  <c r="W193" i="5"/>
  <c r="V193" i="5"/>
  <c r="U193" i="5"/>
  <c r="T193" i="5"/>
  <c r="S193" i="5"/>
  <c r="R193" i="5"/>
  <c r="Q193" i="5"/>
  <c r="P193" i="5"/>
  <c r="O193" i="5"/>
  <c r="N193" i="5"/>
  <c r="M193" i="5"/>
  <c r="L193" i="5"/>
  <c r="K193" i="5"/>
  <c r="J193" i="5"/>
  <c r="I193" i="5"/>
  <c r="H193" i="5"/>
  <c r="G193" i="5"/>
  <c r="F193" i="5"/>
  <c r="E193" i="5"/>
  <c r="D193" i="5"/>
  <c r="C193" i="5"/>
  <c r="B193" i="5"/>
  <c r="A193" i="5"/>
  <c r="BJ192" i="5"/>
  <c r="BI192" i="5"/>
  <c r="BH192" i="5"/>
  <c r="BG192" i="5"/>
  <c r="BF192" i="5"/>
  <c r="BE192" i="5"/>
  <c r="BD192" i="5"/>
  <c r="BC192" i="5"/>
  <c r="BB192" i="5"/>
  <c r="BA192" i="5"/>
  <c r="AZ192" i="5"/>
  <c r="AY192" i="5"/>
  <c r="AX192" i="5"/>
  <c r="AW192" i="5"/>
  <c r="AV192" i="5"/>
  <c r="AU192" i="5"/>
  <c r="AT192" i="5"/>
  <c r="AS192" i="5"/>
  <c r="AR192"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R192" i="5"/>
  <c r="Q192" i="5"/>
  <c r="P192" i="5"/>
  <c r="O192" i="5"/>
  <c r="N192" i="5"/>
  <c r="M192" i="5"/>
  <c r="L192" i="5"/>
  <c r="K192" i="5"/>
  <c r="J192" i="5"/>
  <c r="I192" i="5"/>
  <c r="H192" i="5"/>
  <c r="G192" i="5"/>
  <c r="F192" i="5"/>
  <c r="E192" i="5"/>
  <c r="D192" i="5"/>
  <c r="C192" i="5"/>
  <c r="B192" i="5"/>
  <c r="A192" i="5"/>
  <c r="BJ191" i="5"/>
  <c r="BI191" i="5"/>
  <c r="BH191" i="5"/>
  <c r="BG191" i="5"/>
  <c r="BF191" i="5"/>
  <c r="BE191" i="5"/>
  <c r="BD191" i="5"/>
  <c r="BC191" i="5"/>
  <c r="BB191" i="5"/>
  <c r="BA191" i="5"/>
  <c r="AZ191" i="5"/>
  <c r="AY191" i="5"/>
  <c r="AX191" i="5"/>
  <c r="AW191" i="5"/>
  <c r="AV191" i="5"/>
  <c r="AU191" i="5"/>
  <c r="AT191" i="5"/>
  <c r="AS191" i="5"/>
  <c r="AR191" i="5"/>
  <c r="AQ191" i="5"/>
  <c r="AP191" i="5"/>
  <c r="AO191" i="5"/>
  <c r="AN191" i="5"/>
  <c r="AM191" i="5"/>
  <c r="AL191" i="5"/>
  <c r="AK191" i="5"/>
  <c r="AJ191" i="5"/>
  <c r="AI191" i="5"/>
  <c r="AH191" i="5"/>
  <c r="AG191" i="5"/>
  <c r="AF191" i="5"/>
  <c r="AE191" i="5"/>
  <c r="AD191" i="5"/>
  <c r="AC191" i="5"/>
  <c r="AB191" i="5"/>
  <c r="AA191" i="5"/>
  <c r="Z191" i="5"/>
  <c r="Y191" i="5"/>
  <c r="X191" i="5"/>
  <c r="W191" i="5"/>
  <c r="V191" i="5"/>
  <c r="U191" i="5"/>
  <c r="T191" i="5"/>
  <c r="S191" i="5"/>
  <c r="R191" i="5"/>
  <c r="Q191" i="5"/>
  <c r="P191" i="5"/>
  <c r="O191" i="5"/>
  <c r="N191" i="5"/>
  <c r="M191" i="5"/>
  <c r="L191" i="5"/>
  <c r="K191" i="5"/>
  <c r="J191" i="5"/>
  <c r="I191" i="5"/>
  <c r="H191" i="5"/>
  <c r="G191" i="5"/>
  <c r="F191" i="5"/>
  <c r="E191" i="5"/>
  <c r="D191" i="5"/>
  <c r="C191" i="5"/>
  <c r="B191" i="5"/>
  <c r="A191" i="5"/>
  <c r="BJ190" i="5"/>
  <c r="BI190" i="5"/>
  <c r="BH190" i="5"/>
  <c r="BG190" i="5"/>
  <c r="BF190" i="5"/>
  <c r="BE190" i="5"/>
  <c r="BD190" i="5"/>
  <c r="BC190" i="5"/>
  <c r="BB190" i="5"/>
  <c r="BA190" i="5"/>
  <c r="AZ190" i="5"/>
  <c r="AY190" i="5"/>
  <c r="AX190" i="5"/>
  <c r="AW190" i="5"/>
  <c r="AV190" i="5"/>
  <c r="AU190" i="5"/>
  <c r="AT190" i="5"/>
  <c r="AS190" i="5"/>
  <c r="AR190" i="5"/>
  <c r="AQ190" i="5"/>
  <c r="AP190" i="5"/>
  <c r="AO190" i="5"/>
  <c r="AN190" i="5"/>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B190" i="5"/>
  <c r="A190" i="5"/>
  <c r="BJ189" i="5"/>
  <c r="BI189" i="5"/>
  <c r="BH189" i="5"/>
  <c r="BG189" i="5"/>
  <c r="BF189" i="5"/>
  <c r="BE189" i="5"/>
  <c r="BD189" i="5"/>
  <c r="BC189" i="5"/>
  <c r="BB189" i="5"/>
  <c r="BA189" i="5"/>
  <c r="AZ189" i="5"/>
  <c r="AY189" i="5"/>
  <c r="AX189" i="5"/>
  <c r="AW189" i="5"/>
  <c r="AV189" i="5"/>
  <c r="AU189" i="5"/>
  <c r="AT189" i="5"/>
  <c r="AS189" i="5"/>
  <c r="AR189" i="5"/>
  <c r="AQ189" i="5"/>
  <c r="AP189" i="5"/>
  <c r="AO189" i="5"/>
  <c r="AN189" i="5"/>
  <c r="AM189" i="5"/>
  <c r="AL189" i="5"/>
  <c r="AK189" i="5"/>
  <c r="AJ189" i="5"/>
  <c r="AI189" i="5"/>
  <c r="AH189" i="5"/>
  <c r="AG189" i="5"/>
  <c r="AF189" i="5"/>
  <c r="AE189" i="5"/>
  <c r="AD189" i="5"/>
  <c r="AC189" i="5"/>
  <c r="AB189" i="5"/>
  <c r="AA189" i="5"/>
  <c r="Z189" i="5"/>
  <c r="Y189" i="5"/>
  <c r="X189" i="5"/>
  <c r="W189" i="5"/>
  <c r="V189" i="5"/>
  <c r="U189" i="5"/>
  <c r="T189" i="5"/>
  <c r="S189" i="5"/>
  <c r="R189" i="5"/>
  <c r="Q189" i="5"/>
  <c r="P189" i="5"/>
  <c r="O189" i="5"/>
  <c r="N189" i="5"/>
  <c r="M189" i="5"/>
  <c r="L189" i="5"/>
  <c r="K189" i="5"/>
  <c r="J189" i="5"/>
  <c r="I189" i="5"/>
  <c r="H189" i="5"/>
  <c r="G189" i="5"/>
  <c r="F189" i="5"/>
  <c r="E189" i="5"/>
  <c r="D189" i="5"/>
  <c r="C189" i="5"/>
  <c r="B189" i="5"/>
  <c r="A189" i="5"/>
  <c r="BJ188" i="5"/>
  <c r="BI188" i="5"/>
  <c r="BH188" i="5"/>
  <c r="BG188" i="5"/>
  <c r="BF188" i="5"/>
  <c r="BE188" i="5"/>
  <c r="BD188" i="5"/>
  <c r="BC188" i="5"/>
  <c r="BB188" i="5"/>
  <c r="BA188" i="5"/>
  <c r="AZ188" i="5"/>
  <c r="AY188" i="5"/>
  <c r="AX188" i="5"/>
  <c r="AW188" i="5"/>
  <c r="AV188" i="5"/>
  <c r="AU188" i="5"/>
  <c r="AT188" i="5"/>
  <c r="AS188" i="5"/>
  <c r="AR188" i="5"/>
  <c r="AQ188" i="5"/>
  <c r="AP188" i="5"/>
  <c r="AO188" i="5"/>
  <c r="AN188" i="5"/>
  <c r="AM188" i="5"/>
  <c r="AL188" i="5"/>
  <c r="AK188" i="5"/>
  <c r="AJ188" i="5"/>
  <c r="AI188" i="5"/>
  <c r="AH188" i="5"/>
  <c r="AG188" i="5"/>
  <c r="AF188" i="5"/>
  <c r="AE188" i="5"/>
  <c r="AD188" i="5"/>
  <c r="AC188" i="5"/>
  <c r="AB188" i="5"/>
  <c r="AA188" i="5"/>
  <c r="Z188" i="5"/>
  <c r="Y188" i="5"/>
  <c r="X188" i="5"/>
  <c r="W188" i="5"/>
  <c r="V188" i="5"/>
  <c r="U188" i="5"/>
  <c r="T188" i="5"/>
  <c r="S188" i="5"/>
  <c r="R188" i="5"/>
  <c r="Q188" i="5"/>
  <c r="P188" i="5"/>
  <c r="O188" i="5"/>
  <c r="N188" i="5"/>
  <c r="M188" i="5"/>
  <c r="L188" i="5"/>
  <c r="K188" i="5"/>
  <c r="J188" i="5"/>
  <c r="I188" i="5"/>
  <c r="H188" i="5"/>
  <c r="G188" i="5"/>
  <c r="F188" i="5"/>
  <c r="E188" i="5"/>
  <c r="D188" i="5"/>
  <c r="C188" i="5"/>
  <c r="B188" i="5"/>
  <c r="A188" i="5"/>
  <c r="BJ187" i="5"/>
  <c r="BI187" i="5"/>
  <c r="BH187" i="5"/>
  <c r="BG187" i="5"/>
  <c r="BF187" i="5"/>
  <c r="BE187" i="5"/>
  <c r="BD187" i="5"/>
  <c r="BC187" i="5"/>
  <c r="BB187" i="5"/>
  <c r="BA187" i="5"/>
  <c r="AZ187" i="5"/>
  <c r="AY187" i="5"/>
  <c r="AX187" i="5"/>
  <c r="AW187" i="5"/>
  <c r="AV187" i="5"/>
  <c r="AU187" i="5"/>
  <c r="AT187" i="5"/>
  <c r="AS187" i="5"/>
  <c r="AR187" i="5"/>
  <c r="AQ187" i="5"/>
  <c r="AP187" i="5"/>
  <c r="AO187" i="5"/>
  <c r="AN187" i="5"/>
  <c r="AM187" i="5"/>
  <c r="AL187" i="5"/>
  <c r="AK187" i="5"/>
  <c r="AJ187" i="5"/>
  <c r="AI187" i="5"/>
  <c r="AH187" i="5"/>
  <c r="AG187" i="5"/>
  <c r="AF187" i="5"/>
  <c r="AE187" i="5"/>
  <c r="AD187" i="5"/>
  <c r="AC187" i="5"/>
  <c r="AB187" i="5"/>
  <c r="AA187" i="5"/>
  <c r="Z187" i="5"/>
  <c r="Y187" i="5"/>
  <c r="X187" i="5"/>
  <c r="W187" i="5"/>
  <c r="V187" i="5"/>
  <c r="U187" i="5"/>
  <c r="T187" i="5"/>
  <c r="S187" i="5"/>
  <c r="R187" i="5"/>
  <c r="Q187" i="5"/>
  <c r="P187" i="5"/>
  <c r="O187" i="5"/>
  <c r="N187" i="5"/>
  <c r="M187" i="5"/>
  <c r="L187" i="5"/>
  <c r="K187" i="5"/>
  <c r="J187" i="5"/>
  <c r="I187" i="5"/>
  <c r="H187" i="5"/>
  <c r="G187" i="5"/>
  <c r="F187" i="5"/>
  <c r="E187" i="5"/>
  <c r="D187" i="5"/>
  <c r="C187" i="5"/>
  <c r="B187" i="5"/>
  <c r="A187" i="5"/>
  <c r="BJ186" i="5"/>
  <c r="BI186" i="5"/>
  <c r="BH186" i="5"/>
  <c r="BG186" i="5"/>
  <c r="BF186" i="5"/>
  <c r="BE186" i="5"/>
  <c r="BD186" i="5"/>
  <c r="BC186" i="5"/>
  <c r="BB186" i="5"/>
  <c r="BA186" i="5"/>
  <c r="AZ186" i="5"/>
  <c r="AY186" i="5"/>
  <c r="AX186" i="5"/>
  <c r="AW186" i="5"/>
  <c r="AV186" i="5"/>
  <c r="AU186" i="5"/>
  <c r="AT186" i="5"/>
  <c r="AS186" i="5"/>
  <c r="AR186" i="5"/>
  <c r="AQ186" i="5"/>
  <c r="AP186" i="5"/>
  <c r="AO186" i="5"/>
  <c r="AN186" i="5"/>
  <c r="AM186" i="5"/>
  <c r="AL186" i="5"/>
  <c r="AK186" i="5"/>
  <c r="AJ186" i="5"/>
  <c r="AI186" i="5"/>
  <c r="AH186" i="5"/>
  <c r="AG186" i="5"/>
  <c r="AF186" i="5"/>
  <c r="AE186" i="5"/>
  <c r="AD186" i="5"/>
  <c r="AC186" i="5"/>
  <c r="AB186" i="5"/>
  <c r="AA186" i="5"/>
  <c r="Z186" i="5"/>
  <c r="Y186" i="5"/>
  <c r="X186" i="5"/>
  <c r="W186" i="5"/>
  <c r="V186" i="5"/>
  <c r="U186" i="5"/>
  <c r="T186" i="5"/>
  <c r="S186" i="5"/>
  <c r="R186" i="5"/>
  <c r="Q186" i="5"/>
  <c r="P186" i="5"/>
  <c r="O186" i="5"/>
  <c r="N186" i="5"/>
  <c r="M186" i="5"/>
  <c r="L186" i="5"/>
  <c r="K186" i="5"/>
  <c r="J186" i="5"/>
  <c r="I186" i="5"/>
  <c r="H186" i="5"/>
  <c r="G186" i="5"/>
  <c r="F186" i="5"/>
  <c r="E186" i="5"/>
  <c r="D186" i="5"/>
  <c r="C186" i="5"/>
  <c r="B186" i="5"/>
  <c r="A186" i="5"/>
  <c r="BJ185" i="5"/>
  <c r="BI185" i="5"/>
  <c r="BH185" i="5"/>
  <c r="BG185" i="5"/>
  <c r="BF185" i="5"/>
  <c r="BE185" i="5"/>
  <c r="BD185" i="5"/>
  <c r="BC185" i="5"/>
  <c r="BB185" i="5"/>
  <c r="BA185" i="5"/>
  <c r="AZ185" i="5"/>
  <c r="AY185" i="5"/>
  <c r="AX185" i="5"/>
  <c r="AW185" i="5"/>
  <c r="AV185" i="5"/>
  <c r="AU185" i="5"/>
  <c r="AT185" i="5"/>
  <c r="AS185" i="5"/>
  <c r="AR185" i="5"/>
  <c r="AQ185" i="5"/>
  <c r="AP185" i="5"/>
  <c r="AO185" i="5"/>
  <c r="AN185" i="5"/>
  <c r="AM185" i="5"/>
  <c r="AL185" i="5"/>
  <c r="AK185" i="5"/>
  <c r="AJ185" i="5"/>
  <c r="AI185" i="5"/>
  <c r="AH185" i="5"/>
  <c r="AG185" i="5"/>
  <c r="AF185" i="5"/>
  <c r="AE185" i="5"/>
  <c r="AD185" i="5"/>
  <c r="AC185" i="5"/>
  <c r="AB185" i="5"/>
  <c r="AA185" i="5"/>
  <c r="Z185" i="5"/>
  <c r="Y185" i="5"/>
  <c r="X185" i="5"/>
  <c r="W185" i="5"/>
  <c r="V185" i="5"/>
  <c r="U185" i="5"/>
  <c r="T185" i="5"/>
  <c r="S185" i="5"/>
  <c r="R185" i="5"/>
  <c r="Q185" i="5"/>
  <c r="P185" i="5"/>
  <c r="O185" i="5"/>
  <c r="N185" i="5"/>
  <c r="M185" i="5"/>
  <c r="L185" i="5"/>
  <c r="K185" i="5"/>
  <c r="J185" i="5"/>
  <c r="I185" i="5"/>
  <c r="H185" i="5"/>
  <c r="G185" i="5"/>
  <c r="F185" i="5"/>
  <c r="E185" i="5"/>
  <c r="D185" i="5"/>
  <c r="C185" i="5"/>
  <c r="B185" i="5"/>
  <c r="A185" i="5"/>
  <c r="BJ184" i="5"/>
  <c r="BI184" i="5"/>
  <c r="BH184" i="5"/>
  <c r="BG184" i="5"/>
  <c r="BF184" i="5"/>
  <c r="BE184" i="5"/>
  <c r="BD184" i="5"/>
  <c r="BC184" i="5"/>
  <c r="BB184" i="5"/>
  <c r="BA184" i="5"/>
  <c r="AZ184" i="5"/>
  <c r="AY184" i="5"/>
  <c r="AX184" i="5"/>
  <c r="AW184" i="5"/>
  <c r="AV184" i="5"/>
  <c r="AU184" i="5"/>
  <c r="AT184" i="5"/>
  <c r="AS184" i="5"/>
  <c r="AR184" i="5"/>
  <c r="AQ184" i="5"/>
  <c r="AP184" i="5"/>
  <c r="AO184" i="5"/>
  <c r="AN184" i="5"/>
  <c r="AM184" i="5"/>
  <c r="AL184" i="5"/>
  <c r="AK184" i="5"/>
  <c r="AJ184" i="5"/>
  <c r="AI184" i="5"/>
  <c r="AH184" i="5"/>
  <c r="AG184" i="5"/>
  <c r="AF184" i="5"/>
  <c r="AE184" i="5"/>
  <c r="AD184" i="5"/>
  <c r="AC184" i="5"/>
  <c r="AB184" i="5"/>
  <c r="AA184" i="5"/>
  <c r="Z184" i="5"/>
  <c r="Y184" i="5"/>
  <c r="X184" i="5"/>
  <c r="W184" i="5"/>
  <c r="V184" i="5"/>
  <c r="U184" i="5"/>
  <c r="T184" i="5"/>
  <c r="S184" i="5"/>
  <c r="R184" i="5"/>
  <c r="Q184" i="5"/>
  <c r="P184" i="5"/>
  <c r="O184" i="5"/>
  <c r="N184" i="5"/>
  <c r="M184" i="5"/>
  <c r="L184" i="5"/>
  <c r="K184" i="5"/>
  <c r="J184" i="5"/>
  <c r="I184" i="5"/>
  <c r="H184" i="5"/>
  <c r="G184" i="5"/>
  <c r="F184" i="5"/>
  <c r="E184" i="5"/>
  <c r="D184" i="5"/>
  <c r="C184" i="5"/>
  <c r="B184" i="5"/>
  <c r="A184" i="5"/>
  <c r="BJ183" i="5"/>
  <c r="BI183" i="5"/>
  <c r="BH183" i="5"/>
  <c r="BG183" i="5"/>
  <c r="BF183" i="5"/>
  <c r="BE183" i="5"/>
  <c r="BD183" i="5"/>
  <c r="BC183" i="5"/>
  <c r="BB183" i="5"/>
  <c r="BA183" i="5"/>
  <c r="AZ183" i="5"/>
  <c r="AY183" i="5"/>
  <c r="AX183" i="5"/>
  <c r="AW183" i="5"/>
  <c r="AV183" i="5"/>
  <c r="AU183" i="5"/>
  <c r="AT183" i="5"/>
  <c r="AS183" i="5"/>
  <c r="AR183" i="5"/>
  <c r="AQ183" i="5"/>
  <c r="AP183" i="5"/>
  <c r="AO183" i="5"/>
  <c r="AN183" i="5"/>
  <c r="AM183" i="5"/>
  <c r="AL183" i="5"/>
  <c r="AK183" i="5"/>
  <c r="AJ183" i="5"/>
  <c r="AI183" i="5"/>
  <c r="AH183" i="5"/>
  <c r="AG183" i="5"/>
  <c r="AF183" i="5"/>
  <c r="AE183" i="5"/>
  <c r="AD183" i="5"/>
  <c r="AC183" i="5"/>
  <c r="AB183" i="5"/>
  <c r="AA183" i="5"/>
  <c r="Z183" i="5"/>
  <c r="Y183" i="5"/>
  <c r="X183" i="5"/>
  <c r="W183" i="5"/>
  <c r="V183" i="5"/>
  <c r="U183" i="5"/>
  <c r="T183" i="5"/>
  <c r="S183" i="5"/>
  <c r="R183" i="5"/>
  <c r="Q183" i="5"/>
  <c r="P183" i="5"/>
  <c r="O183" i="5"/>
  <c r="N183" i="5"/>
  <c r="M183" i="5"/>
  <c r="L183" i="5"/>
  <c r="K183" i="5"/>
  <c r="J183" i="5"/>
  <c r="I183" i="5"/>
  <c r="H183" i="5"/>
  <c r="G183" i="5"/>
  <c r="F183" i="5"/>
  <c r="E183" i="5"/>
  <c r="D183" i="5"/>
  <c r="C183" i="5"/>
  <c r="B183" i="5"/>
  <c r="A183" i="5"/>
  <c r="BJ182" i="5"/>
  <c r="BI182" i="5"/>
  <c r="BH182" i="5"/>
  <c r="BG182" i="5"/>
  <c r="BF182" i="5"/>
  <c r="BE182" i="5"/>
  <c r="BD182" i="5"/>
  <c r="BC182" i="5"/>
  <c r="BB182" i="5"/>
  <c r="BA182" i="5"/>
  <c r="AZ182" i="5"/>
  <c r="AY182" i="5"/>
  <c r="AX182" i="5"/>
  <c r="AW182" i="5"/>
  <c r="AV182" i="5"/>
  <c r="AU182" i="5"/>
  <c r="AT182" i="5"/>
  <c r="AS182" i="5"/>
  <c r="AR182" i="5"/>
  <c r="AQ182" i="5"/>
  <c r="AP182" i="5"/>
  <c r="AO182" i="5"/>
  <c r="AN182" i="5"/>
  <c r="AM182" i="5"/>
  <c r="AL182" i="5"/>
  <c r="AK182" i="5"/>
  <c r="AJ182" i="5"/>
  <c r="AI182" i="5"/>
  <c r="AH182" i="5"/>
  <c r="AG182" i="5"/>
  <c r="AF182" i="5"/>
  <c r="AE182" i="5"/>
  <c r="AD182" i="5"/>
  <c r="AC182" i="5"/>
  <c r="AB182" i="5"/>
  <c r="AA182" i="5"/>
  <c r="Z182" i="5"/>
  <c r="Y182" i="5"/>
  <c r="X182" i="5"/>
  <c r="W182" i="5"/>
  <c r="V182" i="5"/>
  <c r="U182" i="5"/>
  <c r="T182" i="5"/>
  <c r="S182" i="5"/>
  <c r="R182" i="5"/>
  <c r="Q182" i="5"/>
  <c r="P182" i="5"/>
  <c r="O182" i="5"/>
  <c r="N182" i="5"/>
  <c r="M182" i="5"/>
  <c r="L182" i="5"/>
  <c r="K182" i="5"/>
  <c r="J182" i="5"/>
  <c r="I182" i="5"/>
  <c r="H182" i="5"/>
  <c r="G182" i="5"/>
  <c r="F182" i="5"/>
  <c r="E182" i="5"/>
  <c r="D182" i="5"/>
  <c r="C182" i="5"/>
  <c r="B182" i="5"/>
  <c r="A182" i="5"/>
  <c r="BJ181" i="5"/>
  <c r="BI181" i="5"/>
  <c r="BH181" i="5"/>
  <c r="BG181" i="5"/>
  <c r="BF181" i="5"/>
  <c r="BE181" i="5"/>
  <c r="BD181" i="5"/>
  <c r="BC181" i="5"/>
  <c r="BB181" i="5"/>
  <c r="BA181" i="5"/>
  <c r="AZ181" i="5"/>
  <c r="AY181" i="5"/>
  <c r="AX181" i="5"/>
  <c r="AW181" i="5"/>
  <c r="AV181" i="5"/>
  <c r="AU181" i="5"/>
  <c r="AT181" i="5"/>
  <c r="AS181" i="5"/>
  <c r="AR181" i="5"/>
  <c r="AQ181" i="5"/>
  <c r="AP181" i="5"/>
  <c r="AO181" i="5"/>
  <c r="AN181" i="5"/>
  <c r="AM181" i="5"/>
  <c r="AL181" i="5"/>
  <c r="AK181" i="5"/>
  <c r="AJ181" i="5"/>
  <c r="AI181" i="5"/>
  <c r="AH181" i="5"/>
  <c r="AG181" i="5"/>
  <c r="AF181" i="5"/>
  <c r="AE181" i="5"/>
  <c r="AD181" i="5"/>
  <c r="AC181" i="5"/>
  <c r="AB181" i="5"/>
  <c r="AA181" i="5"/>
  <c r="Z181" i="5"/>
  <c r="Y181" i="5"/>
  <c r="X181" i="5"/>
  <c r="W181" i="5"/>
  <c r="V181" i="5"/>
  <c r="U181" i="5"/>
  <c r="T181" i="5"/>
  <c r="S181" i="5"/>
  <c r="R181" i="5"/>
  <c r="Q181" i="5"/>
  <c r="P181" i="5"/>
  <c r="O181" i="5"/>
  <c r="N181" i="5"/>
  <c r="M181" i="5"/>
  <c r="L181" i="5"/>
  <c r="K181" i="5"/>
  <c r="J181" i="5"/>
  <c r="I181" i="5"/>
  <c r="H181" i="5"/>
  <c r="G181" i="5"/>
  <c r="F181" i="5"/>
  <c r="E181" i="5"/>
  <c r="D181" i="5"/>
  <c r="C181" i="5"/>
  <c r="B181" i="5"/>
  <c r="A181" i="5"/>
  <c r="BJ180" i="5"/>
  <c r="BI180" i="5"/>
  <c r="BH180" i="5"/>
  <c r="BG180" i="5"/>
  <c r="BF180" i="5"/>
  <c r="BE180" i="5"/>
  <c r="BD180" i="5"/>
  <c r="BC180" i="5"/>
  <c r="BB180" i="5"/>
  <c r="BA180" i="5"/>
  <c r="AZ180" i="5"/>
  <c r="AY180" i="5"/>
  <c r="AX180" i="5"/>
  <c r="AW180" i="5"/>
  <c r="AV180" i="5"/>
  <c r="AU180" i="5"/>
  <c r="AT180" i="5"/>
  <c r="AS180" i="5"/>
  <c r="AR180" i="5"/>
  <c r="AQ180" i="5"/>
  <c r="AP180" i="5"/>
  <c r="AO180" i="5"/>
  <c r="AN180" i="5"/>
  <c r="AM180" i="5"/>
  <c r="AL180" i="5"/>
  <c r="AK180" i="5"/>
  <c r="AJ180" i="5"/>
  <c r="AI180" i="5"/>
  <c r="AH180" i="5"/>
  <c r="AG180" i="5"/>
  <c r="AF180" i="5"/>
  <c r="AE180" i="5"/>
  <c r="AD180" i="5"/>
  <c r="AC180" i="5"/>
  <c r="AB180" i="5"/>
  <c r="AA180" i="5"/>
  <c r="Z180" i="5"/>
  <c r="Y180" i="5"/>
  <c r="X180" i="5"/>
  <c r="W180" i="5"/>
  <c r="V180" i="5"/>
  <c r="U180" i="5"/>
  <c r="T180" i="5"/>
  <c r="S180" i="5"/>
  <c r="R180" i="5"/>
  <c r="Q180" i="5"/>
  <c r="P180" i="5"/>
  <c r="O180" i="5"/>
  <c r="N180" i="5"/>
  <c r="M180" i="5"/>
  <c r="L180" i="5"/>
  <c r="K180" i="5"/>
  <c r="J180" i="5"/>
  <c r="I180" i="5"/>
  <c r="H180" i="5"/>
  <c r="G180" i="5"/>
  <c r="F180" i="5"/>
  <c r="E180" i="5"/>
  <c r="D180" i="5"/>
  <c r="C180" i="5"/>
  <c r="B180" i="5"/>
  <c r="A180" i="5"/>
  <c r="BJ179" i="5"/>
  <c r="BI179" i="5"/>
  <c r="BH179" i="5"/>
  <c r="BG179" i="5"/>
  <c r="BF179" i="5"/>
  <c r="BE179" i="5"/>
  <c r="BD179" i="5"/>
  <c r="BC179" i="5"/>
  <c r="BB179" i="5"/>
  <c r="BA179" i="5"/>
  <c r="AZ179" i="5"/>
  <c r="AY179" i="5"/>
  <c r="AX179" i="5"/>
  <c r="AW179" i="5"/>
  <c r="AV179" i="5"/>
  <c r="AU179" i="5"/>
  <c r="AT179" i="5"/>
  <c r="AS179" i="5"/>
  <c r="AR179" i="5"/>
  <c r="AQ179" i="5"/>
  <c r="AP179" i="5"/>
  <c r="AO179" i="5"/>
  <c r="AN179" i="5"/>
  <c r="AM179" i="5"/>
  <c r="AL179" i="5"/>
  <c r="AK179" i="5"/>
  <c r="AJ179" i="5"/>
  <c r="AI179" i="5"/>
  <c r="AH179" i="5"/>
  <c r="AG179" i="5"/>
  <c r="AF179" i="5"/>
  <c r="AE179" i="5"/>
  <c r="AD179" i="5"/>
  <c r="AC179" i="5"/>
  <c r="AB179" i="5"/>
  <c r="AA179" i="5"/>
  <c r="Z179" i="5"/>
  <c r="Y179" i="5"/>
  <c r="X179" i="5"/>
  <c r="W179" i="5"/>
  <c r="V179" i="5"/>
  <c r="U179" i="5"/>
  <c r="T179" i="5"/>
  <c r="S179" i="5"/>
  <c r="R179" i="5"/>
  <c r="Q179" i="5"/>
  <c r="P179" i="5"/>
  <c r="O179" i="5"/>
  <c r="N179" i="5"/>
  <c r="M179" i="5"/>
  <c r="L179" i="5"/>
  <c r="K179" i="5"/>
  <c r="J179" i="5"/>
  <c r="I179" i="5"/>
  <c r="H179" i="5"/>
  <c r="G179" i="5"/>
  <c r="F179" i="5"/>
  <c r="E179" i="5"/>
  <c r="D179" i="5"/>
  <c r="C179" i="5"/>
  <c r="B179" i="5"/>
  <c r="A179" i="5"/>
  <c r="BJ178" i="5"/>
  <c r="BI178" i="5"/>
  <c r="BH178" i="5"/>
  <c r="BG178" i="5"/>
  <c r="BF178" i="5"/>
  <c r="BE178" i="5"/>
  <c r="BD178" i="5"/>
  <c r="BC178" i="5"/>
  <c r="BB178" i="5"/>
  <c r="BA178" i="5"/>
  <c r="AZ178" i="5"/>
  <c r="AY178" i="5"/>
  <c r="AX178" i="5"/>
  <c r="AW178" i="5"/>
  <c r="AV178" i="5"/>
  <c r="AU178" i="5"/>
  <c r="AT178" i="5"/>
  <c r="AS178" i="5"/>
  <c r="AR178" i="5"/>
  <c r="AQ178" i="5"/>
  <c r="AP178" i="5"/>
  <c r="AO178" i="5"/>
  <c r="AN178" i="5"/>
  <c r="AM178" i="5"/>
  <c r="AL178" i="5"/>
  <c r="AK178" i="5"/>
  <c r="AJ178" i="5"/>
  <c r="AI178" i="5"/>
  <c r="AH178" i="5"/>
  <c r="AG178" i="5"/>
  <c r="AF178" i="5"/>
  <c r="AE178" i="5"/>
  <c r="AD178" i="5"/>
  <c r="AC178" i="5"/>
  <c r="AB178" i="5"/>
  <c r="AA178" i="5"/>
  <c r="Z178" i="5"/>
  <c r="Y178" i="5"/>
  <c r="X178" i="5"/>
  <c r="W178" i="5"/>
  <c r="V178" i="5"/>
  <c r="U178" i="5"/>
  <c r="T178" i="5"/>
  <c r="S178" i="5"/>
  <c r="R178" i="5"/>
  <c r="Q178" i="5"/>
  <c r="P178" i="5"/>
  <c r="O178" i="5"/>
  <c r="N178" i="5"/>
  <c r="M178" i="5"/>
  <c r="L178" i="5"/>
  <c r="K178" i="5"/>
  <c r="J178" i="5"/>
  <c r="I178" i="5"/>
  <c r="H178" i="5"/>
  <c r="G178" i="5"/>
  <c r="F178" i="5"/>
  <c r="E178" i="5"/>
  <c r="D178" i="5"/>
  <c r="C178" i="5"/>
  <c r="B178" i="5"/>
  <c r="A178" i="5"/>
  <c r="BJ177" i="5"/>
  <c r="BI177" i="5"/>
  <c r="BH177" i="5"/>
  <c r="BG177" i="5"/>
  <c r="BF177" i="5"/>
  <c r="BE177" i="5"/>
  <c r="BD177" i="5"/>
  <c r="BC177" i="5"/>
  <c r="BB177" i="5"/>
  <c r="BA177" i="5"/>
  <c r="AZ177" i="5"/>
  <c r="AY177" i="5"/>
  <c r="AX177" i="5"/>
  <c r="AW177" i="5"/>
  <c r="AV177" i="5"/>
  <c r="AU177" i="5"/>
  <c r="AT177" i="5"/>
  <c r="AS177" i="5"/>
  <c r="AR177" i="5"/>
  <c r="AQ177" i="5"/>
  <c r="AP177" i="5"/>
  <c r="AO177" i="5"/>
  <c r="AN177" i="5"/>
  <c r="AM177" i="5"/>
  <c r="AL177" i="5"/>
  <c r="AK177" i="5"/>
  <c r="AJ177" i="5"/>
  <c r="AI177" i="5"/>
  <c r="AH177" i="5"/>
  <c r="AG177" i="5"/>
  <c r="AF177" i="5"/>
  <c r="AE177" i="5"/>
  <c r="AD177" i="5"/>
  <c r="AC177" i="5"/>
  <c r="AB177" i="5"/>
  <c r="AA177" i="5"/>
  <c r="Z177" i="5"/>
  <c r="Y177" i="5"/>
  <c r="X177" i="5"/>
  <c r="W177" i="5"/>
  <c r="V177" i="5"/>
  <c r="U177" i="5"/>
  <c r="T177" i="5"/>
  <c r="S177" i="5"/>
  <c r="R177" i="5"/>
  <c r="Q177" i="5"/>
  <c r="P177" i="5"/>
  <c r="O177" i="5"/>
  <c r="N177" i="5"/>
  <c r="M177" i="5"/>
  <c r="L177" i="5"/>
  <c r="K177" i="5"/>
  <c r="J177" i="5"/>
  <c r="I177" i="5"/>
  <c r="H177" i="5"/>
  <c r="G177" i="5"/>
  <c r="F177" i="5"/>
  <c r="E177" i="5"/>
  <c r="D177" i="5"/>
  <c r="C177" i="5"/>
  <c r="B177" i="5"/>
  <c r="A177" i="5"/>
  <c r="BJ176" i="5"/>
  <c r="BI176" i="5"/>
  <c r="BH176" i="5"/>
  <c r="BG176" i="5"/>
  <c r="BF176" i="5"/>
  <c r="BE176" i="5"/>
  <c r="BD176" i="5"/>
  <c r="BC176" i="5"/>
  <c r="BB176" i="5"/>
  <c r="BA176" i="5"/>
  <c r="AZ176" i="5"/>
  <c r="AY176" i="5"/>
  <c r="AX176" i="5"/>
  <c r="AW176" i="5"/>
  <c r="AV176" i="5"/>
  <c r="AU176" i="5"/>
  <c r="AT176" i="5"/>
  <c r="AS176" i="5"/>
  <c r="AR176" i="5"/>
  <c r="AQ176" i="5"/>
  <c r="AP176" i="5"/>
  <c r="AO176" i="5"/>
  <c r="AN176" i="5"/>
  <c r="AM176" i="5"/>
  <c r="AL176" i="5"/>
  <c r="AK176" i="5"/>
  <c r="AJ176" i="5"/>
  <c r="AI176" i="5"/>
  <c r="AH176" i="5"/>
  <c r="AG176" i="5"/>
  <c r="AF176" i="5"/>
  <c r="AE176" i="5"/>
  <c r="AD176" i="5"/>
  <c r="AC176" i="5"/>
  <c r="AB176" i="5"/>
  <c r="AA176" i="5"/>
  <c r="Z176" i="5"/>
  <c r="Y176" i="5"/>
  <c r="X176" i="5"/>
  <c r="W176" i="5"/>
  <c r="V176" i="5"/>
  <c r="U176" i="5"/>
  <c r="T176" i="5"/>
  <c r="S176" i="5"/>
  <c r="R176" i="5"/>
  <c r="Q176" i="5"/>
  <c r="P176" i="5"/>
  <c r="O176" i="5"/>
  <c r="N176" i="5"/>
  <c r="M176" i="5"/>
  <c r="L176" i="5"/>
  <c r="K176" i="5"/>
  <c r="J176" i="5"/>
  <c r="I176" i="5"/>
  <c r="H176" i="5"/>
  <c r="G176" i="5"/>
  <c r="F176" i="5"/>
  <c r="E176" i="5"/>
  <c r="D176" i="5"/>
  <c r="C176" i="5"/>
  <c r="B176" i="5"/>
  <c r="A176" i="5"/>
  <c r="BJ175" i="5"/>
  <c r="BI175" i="5"/>
  <c r="BH175" i="5"/>
  <c r="BG175" i="5"/>
  <c r="BF175" i="5"/>
  <c r="BE175" i="5"/>
  <c r="BD175" i="5"/>
  <c r="BC175" i="5"/>
  <c r="BB175" i="5"/>
  <c r="BA175" i="5"/>
  <c r="AZ175" i="5"/>
  <c r="AY175" i="5"/>
  <c r="AX175" i="5"/>
  <c r="AW175" i="5"/>
  <c r="AV175" i="5"/>
  <c r="AU175" i="5"/>
  <c r="AT175" i="5"/>
  <c r="AS175" i="5"/>
  <c r="AR175" i="5"/>
  <c r="AQ175" i="5"/>
  <c r="AP175" i="5"/>
  <c r="AO175" i="5"/>
  <c r="AN175" i="5"/>
  <c r="AM175" i="5"/>
  <c r="AL175" i="5"/>
  <c r="AK175" i="5"/>
  <c r="AJ175" i="5"/>
  <c r="AI175" i="5"/>
  <c r="AH175" i="5"/>
  <c r="AG175" i="5"/>
  <c r="AF175" i="5"/>
  <c r="AE175" i="5"/>
  <c r="AD175" i="5"/>
  <c r="AC175" i="5"/>
  <c r="AB175" i="5"/>
  <c r="AA175" i="5"/>
  <c r="Z175" i="5"/>
  <c r="Y175" i="5"/>
  <c r="X175" i="5"/>
  <c r="W175" i="5"/>
  <c r="V175" i="5"/>
  <c r="U175" i="5"/>
  <c r="T175" i="5"/>
  <c r="S175" i="5"/>
  <c r="R175" i="5"/>
  <c r="Q175" i="5"/>
  <c r="P175" i="5"/>
  <c r="O175" i="5"/>
  <c r="N175" i="5"/>
  <c r="M175" i="5"/>
  <c r="L175" i="5"/>
  <c r="K175" i="5"/>
  <c r="J175" i="5"/>
  <c r="I175" i="5"/>
  <c r="H175" i="5"/>
  <c r="G175" i="5"/>
  <c r="F175" i="5"/>
  <c r="E175" i="5"/>
  <c r="D175" i="5"/>
  <c r="C175" i="5"/>
  <c r="B175" i="5"/>
  <c r="A175" i="5"/>
  <c r="BJ174" i="5"/>
  <c r="BI174" i="5"/>
  <c r="BH174" i="5"/>
  <c r="BG174" i="5"/>
  <c r="BF174" i="5"/>
  <c r="BE174" i="5"/>
  <c r="BD174" i="5"/>
  <c r="BC174" i="5"/>
  <c r="BB174" i="5"/>
  <c r="BA174" i="5"/>
  <c r="AZ174" i="5"/>
  <c r="AY174" i="5"/>
  <c r="AX174" i="5"/>
  <c r="AW174" i="5"/>
  <c r="AV174" i="5"/>
  <c r="AU174" i="5"/>
  <c r="AT174" i="5"/>
  <c r="AS174" i="5"/>
  <c r="AR174" i="5"/>
  <c r="AQ174" i="5"/>
  <c r="AP174" i="5"/>
  <c r="AO174" i="5"/>
  <c r="AN174" i="5"/>
  <c r="AM174" i="5"/>
  <c r="AL174" i="5"/>
  <c r="AK174" i="5"/>
  <c r="AJ174" i="5"/>
  <c r="AI174" i="5"/>
  <c r="AH174" i="5"/>
  <c r="AG174" i="5"/>
  <c r="AF174" i="5"/>
  <c r="AE174" i="5"/>
  <c r="AD174" i="5"/>
  <c r="AC174" i="5"/>
  <c r="AB174" i="5"/>
  <c r="AA174" i="5"/>
  <c r="Z174" i="5"/>
  <c r="Y174" i="5"/>
  <c r="X174" i="5"/>
  <c r="W174" i="5"/>
  <c r="V174" i="5"/>
  <c r="U174" i="5"/>
  <c r="T174" i="5"/>
  <c r="S174" i="5"/>
  <c r="R174" i="5"/>
  <c r="Q174" i="5"/>
  <c r="P174" i="5"/>
  <c r="O174" i="5"/>
  <c r="N174" i="5"/>
  <c r="M174" i="5"/>
  <c r="L174" i="5"/>
  <c r="K174" i="5"/>
  <c r="J174" i="5"/>
  <c r="I174" i="5"/>
  <c r="H174" i="5"/>
  <c r="G174" i="5"/>
  <c r="F174" i="5"/>
  <c r="E174" i="5"/>
  <c r="D174" i="5"/>
  <c r="C174" i="5"/>
  <c r="B174" i="5"/>
  <c r="A174" i="5"/>
  <c r="BJ173" i="5"/>
  <c r="BI173" i="5"/>
  <c r="BH173" i="5"/>
  <c r="BG173" i="5"/>
  <c r="BF173" i="5"/>
  <c r="BE173" i="5"/>
  <c r="BD173" i="5"/>
  <c r="BC173" i="5"/>
  <c r="BB173" i="5"/>
  <c r="BA173" i="5"/>
  <c r="AZ173" i="5"/>
  <c r="AY173" i="5"/>
  <c r="AX173" i="5"/>
  <c r="AW173" i="5"/>
  <c r="AV173" i="5"/>
  <c r="AU173" i="5"/>
  <c r="AT173" i="5"/>
  <c r="AS173" i="5"/>
  <c r="AR173" i="5"/>
  <c r="AQ173" i="5"/>
  <c r="AP173" i="5"/>
  <c r="AO173" i="5"/>
  <c r="AN173" i="5"/>
  <c r="AM173" i="5"/>
  <c r="AL173" i="5"/>
  <c r="AK173" i="5"/>
  <c r="AJ173" i="5"/>
  <c r="AI173" i="5"/>
  <c r="AH173" i="5"/>
  <c r="AG173" i="5"/>
  <c r="AF173" i="5"/>
  <c r="AE173" i="5"/>
  <c r="AD173" i="5"/>
  <c r="AC173" i="5"/>
  <c r="AB173" i="5"/>
  <c r="AA173" i="5"/>
  <c r="Z173" i="5"/>
  <c r="Y173" i="5"/>
  <c r="X173" i="5"/>
  <c r="W173" i="5"/>
  <c r="V173" i="5"/>
  <c r="U173" i="5"/>
  <c r="T173" i="5"/>
  <c r="S173" i="5"/>
  <c r="R173" i="5"/>
  <c r="Q173" i="5"/>
  <c r="P173" i="5"/>
  <c r="O173" i="5"/>
  <c r="N173" i="5"/>
  <c r="M173" i="5"/>
  <c r="L173" i="5"/>
  <c r="K173" i="5"/>
  <c r="J173" i="5"/>
  <c r="I173" i="5"/>
  <c r="H173" i="5"/>
  <c r="G173" i="5"/>
  <c r="F173" i="5"/>
  <c r="E173" i="5"/>
  <c r="D173" i="5"/>
  <c r="C173" i="5"/>
  <c r="B173" i="5"/>
  <c r="A173" i="5"/>
  <c r="BJ172" i="5"/>
  <c r="BI172" i="5"/>
  <c r="BH172" i="5"/>
  <c r="BG172" i="5"/>
  <c r="BF172" i="5"/>
  <c r="BE172" i="5"/>
  <c r="BD172" i="5"/>
  <c r="BC172" i="5"/>
  <c r="BB172" i="5"/>
  <c r="BA172" i="5"/>
  <c r="AZ172" i="5"/>
  <c r="AY172" i="5"/>
  <c r="AX172" i="5"/>
  <c r="AW172" i="5"/>
  <c r="AV172" i="5"/>
  <c r="AU172" i="5"/>
  <c r="AT172" i="5"/>
  <c r="AS172" i="5"/>
  <c r="AR172" i="5"/>
  <c r="AQ172" i="5"/>
  <c r="AP172" i="5"/>
  <c r="AO172" i="5"/>
  <c r="AN172" i="5"/>
  <c r="AM172" i="5"/>
  <c r="AL172" i="5"/>
  <c r="AK172" i="5"/>
  <c r="AJ172" i="5"/>
  <c r="AI172" i="5"/>
  <c r="AH172" i="5"/>
  <c r="AG172" i="5"/>
  <c r="AF172" i="5"/>
  <c r="AE172" i="5"/>
  <c r="AD172" i="5"/>
  <c r="AC172" i="5"/>
  <c r="AB172" i="5"/>
  <c r="AA172" i="5"/>
  <c r="Z172" i="5"/>
  <c r="Y172" i="5"/>
  <c r="X172" i="5"/>
  <c r="W172" i="5"/>
  <c r="V172" i="5"/>
  <c r="U172" i="5"/>
  <c r="T172" i="5"/>
  <c r="S172" i="5"/>
  <c r="R172" i="5"/>
  <c r="Q172" i="5"/>
  <c r="P172" i="5"/>
  <c r="O172" i="5"/>
  <c r="N172" i="5"/>
  <c r="M172" i="5"/>
  <c r="L172" i="5"/>
  <c r="K172" i="5"/>
  <c r="J172" i="5"/>
  <c r="I172" i="5"/>
  <c r="H172" i="5"/>
  <c r="G172" i="5"/>
  <c r="F172" i="5"/>
  <c r="E172" i="5"/>
  <c r="D172" i="5"/>
  <c r="C172" i="5"/>
  <c r="B172" i="5"/>
  <c r="A172" i="5"/>
  <c r="BJ171" i="5"/>
  <c r="BI171" i="5"/>
  <c r="BH171" i="5"/>
  <c r="BG171" i="5"/>
  <c r="BF171" i="5"/>
  <c r="BE171" i="5"/>
  <c r="BD171" i="5"/>
  <c r="BC171" i="5"/>
  <c r="BB171" i="5"/>
  <c r="BA171" i="5"/>
  <c r="AZ171" i="5"/>
  <c r="AY171" i="5"/>
  <c r="AX171" i="5"/>
  <c r="AW171" i="5"/>
  <c r="AV171" i="5"/>
  <c r="AU171" i="5"/>
  <c r="AT171" i="5"/>
  <c r="AS171" i="5"/>
  <c r="AR171" i="5"/>
  <c r="AQ171" i="5"/>
  <c r="AP171" i="5"/>
  <c r="AO171" i="5"/>
  <c r="AN171" i="5"/>
  <c r="AM171" i="5"/>
  <c r="AL171" i="5"/>
  <c r="AK171" i="5"/>
  <c r="AJ171" i="5"/>
  <c r="AI171" i="5"/>
  <c r="AH171" i="5"/>
  <c r="AG171" i="5"/>
  <c r="AF171" i="5"/>
  <c r="AE171" i="5"/>
  <c r="AD171" i="5"/>
  <c r="AC171" i="5"/>
  <c r="AB171" i="5"/>
  <c r="AA171" i="5"/>
  <c r="Z171" i="5"/>
  <c r="Y171" i="5"/>
  <c r="X171" i="5"/>
  <c r="W171" i="5"/>
  <c r="V171" i="5"/>
  <c r="U171" i="5"/>
  <c r="T171" i="5"/>
  <c r="S171" i="5"/>
  <c r="R171" i="5"/>
  <c r="Q171" i="5"/>
  <c r="P171" i="5"/>
  <c r="O171" i="5"/>
  <c r="N171" i="5"/>
  <c r="M171" i="5"/>
  <c r="L171" i="5"/>
  <c r="K171" i="5"/>
  <c r="J171" i="5"/>
  <c r="I171" i="5"/>
  <c r="H171" i="5"/>
  <c r="G171" i="5"/>
  <c r="F171" i="5"/>
  <c r="E171" i="5"/>
  <c r="D171" i="5"/>
  <c r="C171" i="5"/>
  <c r="B171" i="5"/>
  <c r="A171" i="5"/>
  <c r="BJ170" i="5"/>
  <c r="BI170" i="5"/>
  <c r="BH170" i="5"/>
  <c r="BG170" i="5"/>
  <c r="BF170" i="5"/>
  <c r="BE170" i="5"/>
  <c r="BD170" i="5"/>
  <c r="BC170" i="5"/>
  <c r="BB170" i="5"/>
  <c r="BA170" i="5"/>
  <c r="AZ170" i="5"/>
  <c r="AY170" i="5"/>
  <c r="AX170" i="5"/>
  <c r="AW170" i="5"/>
  <c r="AV170" i="5"/>
  <c r="AU170" i="5"/>
  <c r="AT170" i="5"/>
  <c r="AS170" i="5"/>
  <c r="AR170" i="5"/>
  <c r="AQ170" i="5"/>
  <c r="AP170" i="5"/>
  <c r="AO170" i="5"/>
  <c r="AN170" i="5"/>
  <c r="AM170" i="5"/>
  <c r="AL170" i="5"/>
  <c r="AK170" i="5"/>
  <c r="AJ170" i="5"/>
  <c r="AI170" i="5"/>
  <c r="AH170" i="5"/>
  <c r="AG170" i="5"/>
  <c r="AF170" i="5"/>
  <c r="AE170" i="5"/>
  <c r="AD170" i="5"/>
  <c r="AC170" i="5"/>
  <c r="AB170" i="5"/>
  <c r="AA170" i="5"/>
  <c r="Z170" i="5"/>
  <c r="Y170" i="5"/>
  <c r="X170" i="5"/>
  <c r="W170" i="5"/>
  <c r="V170" i="5"/>
  <c r="U170" i="5"/>
  <c r="T170" i="5"/>
  <c r="S170" i="5"/>
  <c r="R170" i="5"/>
  <c r="Q170" i="5"/>
  <c r="P170" i="5"/>
  <c r="O170" i="5"/>
  <c r="N170" i="5"/>
  <c r="M170" i="5"/>
  <c r="L170" i="5"/>
  <c r="K170" i="5"/>
  <c r="J170" i="5"/>
  <c r="I170" i="5"/>
  <c r="H170" i="5"/>
  <c r="G170" i="5"/>
  <c r="F170" i="5"/>
  <c r="E170" i="5"/>
  <c r="D170" i="5"/>
  <c r="C170" i="5"/>
  <c r="B170" i="5"/>
  <c r="A170" i="5"/>
  <c r="BJ169" i="5"/>
  <c r="BI169" i="5"/>
  <c r="BH169" i="5"/>
  <c r="BG169" i="5"/>
  <c r="BF169" i="5"/>
  <c r="BE169" i="5"/>
  <c r="BD169" i="5"/>
  <c r="BC169" i="5"/>
  <c r="BB169" i="5"/>
  <c r="BA169" i="5"/>
  <c r="AZ169" i="5"/>
  <c r="AY169" i="5"/>
  <c r="AX169" i="5"/>
  <c r="AW169" i="5"/>
  <c r="AV169" i="5"/>
  <c r="AU169" i="5"/>
  <c r="AT169" i="5"/>
  <c r="AS169" i="5"/>
  <c r="AR169" i="5"/>
  <c r="AQ169" i="5"/>
  <c r="AP169" i="5"/>
  <c r="AO169" i="5"/>
  <c r="AN169" i="5"/>
  <c r="AM169" i="5"/>
  <c r="AL169" i="5"/>
  <c r="AK169" i="5"/>
  <c r="AJ169" i="5"/>
  <c r="AI169" i="5"/>
  <c r="AH169" i="5"/>
  <c r="AG169" i="5"/>
  <c r="AF169" i="5"/>
  <c r="AE169" i="5"/>
  <c r="AD169" i="5"/>
  <c r="AC169" i="5"/>
  <c r="AB169" i="5"/>
  <c r="AA169" i="5"/>
  <c r="Z169" i="5"/>
  <c r="Y169" i="5"/>
  <c r="X169" i="5"/>
  <c r="W169" i="5"/>
  <c r="V169" i="5"/>
  <c r="U169" i="5"/>
  <c r="T169" i="5"/>
  <c r="S169" i="5"/>
  <c r="R169" i="5"/>
  <c r="Q169" i="5"/>
  <c r="P169" i="5"/>
  <c r="O169" i="5"/>
  <c r="N169" i="5"/>
  <c r="M169" i="5"/>
  <c r="L169" i="5"/>
  <c r="K169" i="5"/>
  <c r="J169" i="5"/>
  <c r="I169" i="5"/>
  <c r="H169" i="5"/>
  <c r="G169" i="5"/>
  <c r="F169" i="5"/>
  <c r="E169" i="5"/>
  <c r="D169" i="5"/>
  <c r="C169" i="5"/>
  <c r="B169" i="5"/>
  <c r="A169" i="5"/>
  <c r="BJ168" i="5"/>
  <c r="BI168" i="5"/>
  <c r="BH168" i="5"/>
  <c r="BG168" i="5"/>
  <c r="BF168" i="5"/>
  <c r="BE168" i="5"/>
  <c r="BD168" i="5"/>
  <c r="BC168" i="5"/>
  <c r="BB168" i="5"/>
  <c r="BA168" i="5"/>
  <c r="AZ168" i="5"/>
  <c r="AY168" i="5"/>
  <c r="AX168" i="5"/>
  <c r="AW168" i="5"/>
  <c r="AV168" i="5"/>
  <c r="AU168" i="5"/>
  <c r="AT168" i="5"/>
  <c r="AS168" i="5"/>
  <c r="AR168" i="5"/>
  <c r="AQ168" i="5"/>
  <c r="AP168" i="5"/>
  <c r="AO168" i="5"/>
  <c r="AN168" i="5"/>
  <c r="AM168" i="5"/>
  <c r="AL168" i="5"/>
  <c r="AK168" i="5"/>
  <c r="AJ168" i="5"/>
  <c r="AI168" i="5"/>
  <c r="AH168" i="5"/>
  <c r="AG168" i="5"/>
  <c r="AF168" i="5"/>
  <c r="AE168" i="5"/>
  <c r="AD168" i="5"/>
  <c r="AC168" i="5"/>
  <c r="AB168" i="5"/>
  <c r="AA168" i="5"/>
  <c r="Z168" i="5"/>
  <c r="Y168" i="5"/>
  <c r="X168" i="5"/>
  <c r="W168" i="5"/>
  <c r="V168" i="5"/>
  <c r="U168" i="5"/>
  <c r="T168" i="5"/>
  <c r="S168" i="5"/>
  <c r="R168" i="5"/>
  <c r="Q168" i="5"/>
  <c r="P168" i="5"/>
  <c r="O168" i="5"/>
  <c r="N168" i="5"/>
  <c r="M168" i="5"/>
  <c r="L168" i="5"/>
  <c r="K168" i="5"/>
  <c r="J168" i="5"/>
  <c r="I168" i="5"/>
  <c r="H168" i="5"/>
  <c r="G168" i="5"/>
  <c r="F168" i="5"/>
  <c r="E168" i="5"/>
  <c r="D168" i="5"/>
  <c r="C168" i="5"/>
  <c r="B168" i="5"/>
  <c r="A168" i="5"/>
  <c r="BJ167" i="5"/>
  <c r="BI167" i="5"/>
  <c r="BH167" i="5"/>
  <c r="BG167" i="5"/>
  <c r="BF167" i="5"/>
  <c r="BE167" i="5"/>
  <c r="BD167" i="5"/>
  <c r="BC167" i="5"/>
  <c r="BB167" i="5"/>
  <c r="BA167" i="5"/>
  <c r="AZ167" i="5"/>
  <c r="AY167" i="5"/>
  <c r="AX167" i="5"/>
  <c r="AW167" i="5"/>
  <c r="AV167" i="5"/>
  <c r="AU167" i="5"/>
  <c r="AT167" i="5"/>
  <c r="AS167" i="5"/>
  <c r="AR167" i="5"/>
  <c r="AQ167" i="5"/>
  <c r="AP167" i="5"/>
  <c r="AO167" i="5"/>
  <c r="AN167" i="5"/>
  <c r="AM167" i="5"/>
  <c r="AL167" i="5"/>
  <c r="AK167" i="5"/>
  <c r="AJ167" i="5"/>
  <c r="AI167" i="5"/>
  <c r="AH167" i="5"/>
  <c r="AG167" i="5"/>
  <c r="AF167" i="5"/>
  <c r="AE167" i="5"/>
  <c r="AD167" i="5"/>
  <c r="AC167" i="5"/>
  <c r="AB167" i="5"/>
  <c r="AA167" i="5"/>
  <c r="Z167" i="5"/>
  <c r="Y167" i="5"/>
  <c r="X167" i="5"/>
  <c r="W167" i="5"/>
  <c r="V167" i="5"/>
  <c r="U167" i="5"/>
  <c r="T167" i="5"/>
  <c r="S167" i="5"/>
  <c r="R167" i="5"/>
  <c r="Q167" i="5"/>
  <c r="P167" i="5"/>
  <c r="O167" i="5"/>
  <c r="N167" i="5"/>
  <c r="M167" i="5"/>
  <c r="L167" i="5"/>
  <c r="K167" i="5"/>
  <c r="J167" i="5"/>
  <c r="I167" i="5"/>
  <c r="H167" i="5"/>
  <c r="G167" i="5"/>
  <c r="F167" i="5"/>
  <c r="E167" i="5"/>
  <c r="D167" i="5"/>
  <c r="C167" i="5"/>
  <c r="B167" i="5"/>
  <c r="A167" i="5"/>
  <c r="BJ166" i="5"/>
  <c r="BI166" i="5"/>
  <c r="BH166" i="5"/>
  <c r="BG166" i="5"/>
  <c r="BF166" i="5"/>
  <c r="BE166" i="5"/>
  <c r="BD166" i="5"/>
  <c r="BC166" i="5"/>
  <c r="BB166" i="5"/>
  <c r="BA166" i="5"/>
  <c r="AZ166" i="5"/>
  <c r="AY166" i="5"/>
  <c r="AX166" i="5"/>
  <c r="AW166" i="5"/>
  <c r="AV166" i="5"/>
  <c r="AU166" i="5"/>
  <c r="AT166" i="5"/>
  <c r="AS166" i="5"/>
  <c r="AR166" i="5"/>
  <c r="AQ166" i="5"/>
  <c r="AP166" i="5"/>
  <c r="AO166" i="5"/>
  <c r="AN166" i="5"/>
  <c r="AM166" i="5"/>
  <c r="AL166" i="5"/>
  <c r="AK166" i="5"/>
  <c r="AJ166" i="5"/>
  <c r="AI166" i="5"/>
  <c r="AH166" i="5"/>
  <c r="AG166" i="5"/>
  <c r="AF166" i="5"/>
  <c r="AE166" i="5"/>
  <c r="AD166" i="5"/>
  <c r="AC166" i="5"/>
  <c r="AB166" i="5"/>
  <c r="AA166" i="5"/>
  <c r="Z166" i="5"/>
  <c r="Y166" i="5"/>
  <c r="X166" i="5"/>
  <c r="W166" i="5"/>
  <c r="V166" i="5"/>
  <c r="U166" i="5"/>
  <c r="T166" i="5"/>
  <c r="S166" i="5"/>
  <c r="R166" i="5"/>
  <c r="Q166" i="5"/>
  <c r="P166" i="5"/>
  <c r="O166" i="5"/>
  <c r="N166" i="5"/>
  <c r="M166" i="5"/>
  <c r="L166" i="5"/>
  <c r="K166" i="5"/>
  <c r="J166" i="5"/>
  <c r="I166" i="5"/>
  <c r="H166" i="5"/>
  <c r="G166" i="5"/>
  <c r="F166" i="5"/>
  <c r="E166" i="5"/>
  <c r="D166" i="5"/>
  <c r="C166" i="5"/>
  <c r="B166" i="5"/>
  <c r="A166" i="5"/>
  <c r="BJ165" i="5"/>
  <c r="BI165" i="5"/>
  <c r="BH165" i="5"/>
  <c r="BG165" i="5"/>
  <c r="BF165" i="5"/>
  <c r="BE165" i="5"/>
  <c r="BD165" i="5"/>
  <c r="BC165" i="5"/>
  <c r="BB165" i="5"/>
  <c r="BA165" i="5"/>
  <c r="AZ165" i="5"/>
  <c r="AY165" i="5"/>
  <c r="AX165" i="5"/>
  <c r="AW165" i="5"/>
  <c r="AV165" i="5"/>
  <c r="AU165" i="5"/>
  <c r="AT165" i="5"/>
  <c r="AS165" i="5"/>
  <c r="AR165" i="5"/>
  <c r="AQ165" i="5"/>
  <c r="AP165" i="5"/>
  <c r="AO165" i="5"/>
  <c r="AN165" i="5"/>
  <c r="AM165" i="5"/>
  <c r="AL165" i="5"/>
  <c r="AK165" i="5"/>
  <c r="AJ165" i="5"/>
  <c r="AI165" i="5"/>
  <c r="AH165" i="5"/>
  <c r="AG165" i="5"/>
  <c r="AF165" i="5"/>
  <c r="AE165" i="5"/>
  <c r="AD165" i="5"/>
  <c r="AC165" i="5"/>
  <c r="AB165" i="5"/>
  <c r="AA165" i="5"/>
  <c r="Z165" i="5"/>
  <c r="Y165" i="5"/>
  <c r="X165" i="5"/>
  <c r="W165" i="5"/>
  <c r="V165" i="5"/>
  <c r="U165" i="5"/>
  <c r="T165" i="5"/>
  <c r="S165" i="5"/>
  <c r="R165" i="5"/>
  <c r="Q165" i="5"/>
  <c r="P165" i="5"/>
  <c r="O165" i="5"/>
  <c r="N165" i="5"/>
  <c r="M165" i="5"/>
  <c r="L165" i="5"/>
  <c r="K165" i="5"/>
  <c r="J165" i="5"/>
  <c r="I165" i="5"/>
  <c r="H165" i="5"/>
  <c r="G165" i="5"/>
  <c r="F165" i="5"/>
  <c r="E165" i="5"/>
  <c r="D165" i="5"/>
  <c r="C165" i="5"/>
  <c r="B165" i="5"/>
  <c r="A165" i="5"/>
  <c r="BJ164" i="5"/>
  <c r="BI164" i="5"/>
  <c r="BH164" i="5"/>
  <c r="BG164" i="5"/>
  <c r="BF164" i="5"/>
  <c r="BE164" i="5"/>
  <c r="BD164" i="5"/>
  <c r="BC164" i="5"/>
  <c r="BB164" i="5"/>
  <c r="BA164" i="5"/>
  <c r="AZ164" i="5"/>
  <c r="AY164" i="5"/>
  <c r="AX164" i="5"/>
  <c r="AW164" i="5"/>
  <c r="AV164" i="5"/>
  <c r="AU164" i="5"/>
  <c r="AT164" i="5"/>
  <c r="AS164" i="5"/>
  <c r="AR164" i="5"/>
  <c r="AQ164" i="5"/>
  <c r="AP164" i="5"/>
  <c r="AO164" i="5"/>
  <c r="AN164" i="5"/>
  <c r="AM164" i="5"/>
  <c r="AL164" i="5"/>
  <c r="AK164" i="5"/>
  <c r="AJ164" i="5"/>
  <c r="AI164" i="5"/>
  <c r="AH164" i="5"/>
  <c r="AG164" i="5"/>
  <c r="AF164" i="5"/>
  <c r="AE164" i="5"/>
  <c r="AD164" i="5"/>
  <c r="AC164" i="5"/>
  <c r="AB164" i="5"/>
  <c r="AA164" i="5"/>
  <c r="Z164" i="5"/>
  <c r="Y164" i="5"/>
  <c r="X164" i="5"/>
  <c r="W164" i="5"/>
  <c r="V164" i="5"/>
  <c r="U164" i="5"/>
  <c r="T164" i="5"/>
  <c r="S164" i="5"/>
  <c r="R164" i="5"/>
  <c r="Q164" i="5"/>
  <c r="P164" i="5"/>
  <c r="O164" i="5"/>
  <c r="N164" i="5"/>
  <c r="M164" i="5"/>
  <c r="L164" i="5"/>
  <c r="K164" i="5"/>
  <c r="J164" i="5"/>
  <c r="I164" i="5"/>
  <c r="H164" i="5"/>
  <c r="G164" i="5"/>
  <c r="F164" i="5"/>
  <c r="E164" i="5"/>
  <c r="D164" i="5"/>
  <c r="C164" i="5"/>
  <c r="B164" i="5"/>
  <c r="A164" i="5"/>
  <c r="BJ163" i="5"/>
  <c r="BI163" i="5"/>
  <c r="BH163" i="5"/>
  <c r="BG163" i="5"/>
  <c r="BF163" i="5"/>
  <c r="BE163" i="5"/>
  <c r="BD163" i="5"/>
  <c r="BC163" i="5"/>
  <c r="BB163" i="5"/>
  <c r="BA163" i="5"/>
  <c r="AZ163" i="5"/>
  <c r="AY163" i="5"/>
  <c r="AX163" i="5"/>
  <c r="AW163" i="5"/>
  <c r="AV163" i="5"/>
  <c r="AU163" i="5"/>
  <c r="AT163" i="5"/>
  <c r="AS163" i="5"/>
  <c r="AR163" i="5"/>
  <c r="AQ163" i="5"/>
  <c r="AP163" i="5"/>
  <c r="AO163" i="5"/>
  <c r="AN163" i="5"/>
  <c r="AM163" i="5"/>
  <c r="AL163" i="5"/>
  <c r="AK163" i="5"/>
  <c r="AJ163" i="5"/>
  <c r="AI163" i="5"/>
  <c r="AH163" i="5"/>
  <c r="AG163" i="5"/>
  <c r="AF163" i="5"/>
  <c r="AE163" i="5"/>
  <c r="AD163" i="5"/>
  <c r="AC163" i="5"/>
  <c r="AB163" i="5"/>
  <c r="AA163" i="5"/>
  <c r="Z163" i="5"/>
  <c r="Y163" i="5"/>
  <c r="X163" i="5"/>
  <c r="W163" i="5"/>
  <c r="V163" i="5"/>
  <c r="U163" i="5"/>
  <c r="T163" i="5"/>
  <c r="S163" i="5"/>
  <c r="R163" i="5"/>
  <c r="Q163" i="5"/>
  <c r="P163" i="5"/>
  <c r="O163" i="5"/>
  <c r="N163" i="5"/>
  <c r="M163" i="5"/>
  <c r="L163" i="5"/>
  <c r="K163" i="5"/>
  <c r="J163" i="5"/>
  <c r="I163" i="5"/>
  <c r="H163" i="5"/>
  <c r="G163" i="5"/>
  <c r="F163" i="5"/>
  <c r="E163" i="5"/>
  <c r="D163" i="5"/>
  <c r="C163" i="5"/>
  <c r="B163" i="5"/>
  <c r="A163" i="5"/>
  <c r="BJ162" i="5"/>
  <c r="BI162" i="5"/>
  <c r="BH162" i="5"/>
  <c r="BG162" i="5"/>
  <c r="BF162" i="5"/>
  <c r="BE162" i="5"/>
  <c r="BD162" i="5"/>
  <c r="BC162" i="5"/>
  <c r="BB162" i="5"/>
  <c r="BA162" i="5"/>
  <c r="AZ162" i="5"/>
  <c r="AY162" i="5"/>
  <c r="AX162" i="5"/>
  <c r="AW162" i="5"/>
  <c r="AV162" i="5"/>
  <c r="AU162" i="5"/>
  <c r="AT162" i="5"/>
  <c r="AS162" i="5"/>
  <c r="AR162" i="5"/>
  <c r="AQ162" i="5"/>
  <c r="AP162" i="5"/>
  <c r="AO162" i="5"/>
  <c r="AN162" i="5"/>
  <c r="AM162" i="5"/>
  <c r="AL162" i="5"/>
  <c r="AK162" i="5"/>
  <c r="AJ162" i="5"/>
  <c r="AI162" i="5"/>
  <c r="AH162" i="5"/>
  <c r="AG162" i="5"/>
  <c r="AF162" i="5"/>
  <c r="AE162" i="5"/>
  <c r="AD162" i="5"/>
  <c r="AC162" i="5"/>
  <c r="AB162" i="5"/>
  <c r="AA162" i="5"/>
  <c r="Z162" i="5"/>
  <c r="Y162" i="5"/>
  <c r="X162" i="5"/>
  <c r="W162" i="5"/>
  <c r="V162" i="5"/>
  <c r="U162" i="5"/>
  <c r="T162" i="5"/>
  <c r="S162" i="5"/>
  <c r="R162" i="5"/>
  <c r="Q162" i="5"/>
  <c r="P162" i="5"/>
  <c r="O162" i="5"/>
  <c r="N162" i="5"/>
  <c r="M162" i="5"/>
  <c r="L162" i="5"/>
  <c r="K162" i="5"/>
  <c r="J162" i="5"/>
  <c r="I162" i="5"/>
  <c r="H162" i="5"/>
  <c r="G162" i="5"/>
  <c r="F162" i="5"/>
  <c r="E162" i="5"/>
  <c r="D162" i="5"/>
  <c r="C162" i="5"/>
  <c r="B162" i="5"/>
  <c r="A162" i="5"/>
  <c r="BJ161" i="5"/>
  <c r="BI161" i="5"/>
  <c r="BH161" i="5"/>
  <c r="BG161" i="5"/>
  <c r="BF161" i="5"/>
  <c r="BE161" i="5"/>
  <c r="BD161" i="5"/>
  <c r="BC161" i="5"/>
  <c r="BB161" i="5"/>
  <c r="BA161" i="5"/>
  <c r="AZ161" i="5"/>
  <c r="AY161" i="5"/>
  <c r="AX161" i="5"/>
  <c r="AW161" i="5"/>
  <c r="AV161" i="5"/>
  <c r="AU161" i="5"/>
  <c r="AT161" i="5"/>
  <c r="AS161" i="5"/>
  <c r="AR161" i="5"/>
  <c r="AQ161" i="5"/>
  <c r="AP161" i="5"/>
  <c r="AO161" i="5"/>
  <c r="AN161" i="5"/>
  <c r="AM161" i="5"/>
  <c r="AL161" i="5"/>
  <c r="AK161" i="5"/>
  <c r="AJ161" i="5"/>
  <c r="AI161" i="5"/>
  <c r="AH161" i="5"/>
  <c r="AG161" i="5"/>
  <c r="AF161" i="5"/>
  <c r="AE161" i="5"/>
  <c r="AD161" i="5"/>
  <c r="AC161" i="5"/>
  <c r="AB161" i="5"/>
  <c r="AA161" i="5"/>
  <c r="Z161" i="5"/>
  <c r="Y161" i="5"/>
  <c r="X161" i="5"/>
  <c r="W161" i="5"/>
  <c r="V161" i="5"/>
  <c r="U161" i="5"/>
  <c r="T161" i="5"/>
  <c r="S161" i="5"/>
  <c r="R161" i="5"/>
  <c r="Q161" i="5"/>
  <c r="P161" i="5"/>
  <c r="O161" i="5"/>
  <c r="N161" i="5"/>
  <c r="M161" i="5"/>
  <c r="L161" i="5"/>
  <c r="K161" i="5"/>
  <c r="J161" i="5"/>
  <c r="I161" i="5"/>
  <c r="H161" i="5"/>
  <c r="G161" i="5"/>
  <c r="F161" i="5"/>
  <c r="E161" i="5"/>
  <c r="D161" i="5"/>
  <c r="C161" i="5"/>
  <c r="B161" i="5"/>
  <c r="A161" i="5"/>
  <c r="BJ160" i="5"/>
  <c r="BI160" i="5"/>
  <c r="BH160" i="5"/>
  <c r="BG160" i="5"/>
  <c r="BF160" i="5"/>
  <c r="BE160" i="5"/>
  <c r="BD160" i="5"/>
  <c r="BC160" i="5"/>
  <c r="BB160" i="5"/>
  <c r="BA160" i="5"/>
  <c r="AZ160" i="5"/>
  <c r="AY160" i="5"/>
  <c r="AX160" i="5"/>
  <c r="AW160" i="5"/>
  <c r="AV160" i="5"/>
  <c r="AU160" i="5"/>
  <c r="AT160" i="5"/>
  <c r="AS160" i="5"/>
  <c r="AR160" i="5"/>
  <c r="AQ160" i="5"/>
  <c r="AP160" i="5"/>
  <c r="AO160" i="5"/>
  <c r="AN160" i="5"/>
  <c r="AM160" i="5"/>
  <c r="AL160" i="5"/>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C160" i="5"/>
  <c r="B160" i="5"/>
  <c r="A160" i="5"/>
  <c r="BJ159" i="5"/>
  <c r="BI159" i="5"/>
  <c r="BH159" i="5"/>
  <c r="BG159" i="5"/>
  <c r="BF159" i="5"/>
  <c r="BE159" i="5"/>
  <c r="BD159" i="5"/>
  <c r="BC159" i="5"/>
  <c r="BB159" i="5"/>
  <c r="BA159" i="5"/>
  <c r="AZ159" i="5"/>
  <c r="AY159" i="5"/>
  <c r="AX159" i="5"/>
  <c r="AW159" i="5"/>
  <c r="AV159" i="5"/>
  <c r="AU159" i="5"/>
  <c r="AT159" i="5"/>
  <c r="AS159" i="5"/>
  <c r="AR159" i="5"/>
  <c r="AQ159" i="5"/>
  <c r="AP159" i="5"/>
  <c r="AO159" i="5"/>
  <c r="AN159" i="5"/>
  <c r="AM159" i="5"/>
  <c r="AL159" i="5"/>
  <c r="AK159" i="5"/>
  <c r="AJ159" i="5"/>
  <c r="AI159" i="5"/>
  <c r="AH159" i="5"/>
  <c r="AG159" i="5"/>
  <c r="AF159" i="5"/>
  <c r="AE159" i="5"/>
  <c r="AD159" i="5"/>
  <c r="AC159" i="5"/>
  <c r="AB159" i="5"/>
  <c r="AA159" i="5"/>
  <c r="Z159" i="5"/>
  <c r="Y159" i="5"/>
  <c r="X159" i="5"/>
  <c r="W159" i="5"/>
  <c r="V159" i="5"/>
  <c r="U159" i="5"/>
  <c r="T159" i="5"/>
  <c r="S159" i="5"/>
  <c r="R159" i="5"/>
  <c r="Q159" i="5"/>
  <c r="P159" i="5"/>
  <c r="O159" i="5"/>
  <c r="N159" i="5"/>
  <c r="M159" i="5"/>
  <c r="L159" i="5"/>
  <c r="K159" i="5"/>
  <c r="J159" i="5"/>
  <c r="I159" i="5"/>
  <c r="H159" i="5"/>
  <c r="G159" i="5"/>
  <c r="F159" i="5"/>
  <c r="E159" i="5"/>
  <c r="D159" i="5"/>
  <c r="C159" i="5"/>
  <c r="B159" i="5"/>
  <c r="A159" i="5"/>
  <c r="BJ158" i="5"/>
  <c r="BI158" i="5"/>
  <c r="BH158" i="5"/>
  <c r="BG158" i="5"/>
  <c r="BF158" i="5"/>
  <c r="BE158" i="5"/>
  <c r="BD158" i="5"/>
  <c r="BC158" i="5"/>
  <c r="BB158" i="5"/>
  <c r="BA158" i="5"/>
  <c r="AZ158" i="5"/>
  <c r="AY158" i="5"/>
  <c r="AX158" i="5"/>
  <c r="AW158" i="5"/>
  <c r="AV158" i="5"/>
  <c r="AU158" i="5"/>
  <c r="AT158" i="5"/>
  <c r="AS158" i="5"/>
  <c r="AR158" i="5"/>
  <c r="AQ158" i="5"/>
  <c r="AP158" i="5"/>
  <c r="AO158" i="5"/>
  <c r="AN158" i="5"/>
  <c r="AM158" i="5"/>
  <c r="AL158" i="5"/>
  <c r="AK158" i="5"/>
  <c r="AJ158" i="5"/>
  <c r="AI158" i="5"/>
  <c r="AH158" i="5"/>
  <c r="AG158" i="5"/>
  <c r="AF158" i="5"/>
  <c r="AE158" i="5"/>
  <c r="AD158" i="5"/>
  <c r="AC158" i="5"/>
  <c r="AB158" i="5"/>
  <c r="AA158" i="5"/>
  <c r="Z158" i="5"/>
  <c r="Y158" i="5"/>
  <c r="X158" i="5"/>
  <c r="W158" i="5"/>
  <c r="V158" i="5"/>
  <c r="U158" i="5"/>
  <c r="T158" i="5"/>
  <c r="S158" i="5"/>
  <c r="R158" i="5"/>
  <c r="Q158" i="5"/>
  <c r="P158" i="5"/>
  <c r="O158" i="5"/>
  <c r="N158" i="5"/>
  <c r="M158" i="5"/>
  <c r="L158" i="5"/>
  <c r="K158" i="5"/>
  <c r="J158" i="5"/>
  <c r="I158" i="5"/>
  <c r="H158" i="5"/>
  <c r="G158" i="5"/>
  <c r="F158" i="5"/>
  <c r="E158" i="5"/>
  <c r="D158" i="5"/>
  <c r="C158" i="5"/>
  <c r="B158" i="5"/>
  <c r="A158" i="5"/>
  <c r="BJ157" i="5"/>
  <c r="BI157" i="5"/>
  <c r="BH157" i="5"/>
  <c r="BG157" i="5"/>
  <c r="BF157" i="5"/>
  <c r="BE157" i="5"/>
  <c r="BD157" i="5"/>
  <c r="BC157" i="5"/>
  <c r="BB157" i="5"/>
  <c r="BA157" i="5"/>
  <c r="AZ157" i="5"/>
  <c r="AY157" i="5"/>
  <c r="AX157" i="5"/>
  <c r="AW157" i="5"/>
  <c r="AV157" i="5"/>
  <c r="AU157" i="5"/>
  <c r="AT157" i="5"/>
  <c r="AS157" i="5"/>
  <c r="AR157" i="5"/>
  <c r="AQ157" i="5"/>
  <c r="AP157" i="5"/>
  <c r="AO157" i="5"/>
  <c r="AN157" i="5"/>
  <c r="AM157" i="5"/>
  <c r="AL157" i="5"/>
  <c r="AK157" i="5"/>
  <c r="AJ157" i="5"/>
  <c r="AI157" i="5"/>
  <c r="AH157" i="5"/>
  <c r="AG157" i="5"/>
  <c r="AF157" i="5"/>
  <c r="AE157" i="5"/>
  <c r="AD157" i="5"/>
  <c r="AC157" i="5"/>
  <c r="AB157" i="5"/>
  <c r="AA157" i="5"/>
  <c r="Z157" i="5"/>
  <c r="Y157" i="5"/>
  <c r="X157" i="5"/>
  <c r="W157" i="5"/>
  <c r="V157" i="5"/>
  <c r="U157" i="5"/>
  <c r="T157" i="5"/>
  <c r="S157" i="5"/>
  <c r="R157" i="5"/>
  <c r="Q157" i="5"/>
  <c r="P157" i="5"/>
  <c r="O157" i="5"/>
  <c r="N157" i="5"/>
  <c r="M157" i="5"/>
  <c r="L157" i="5"/>
  <c r="K157" i="5"/>
  <c r="J157" i="5"/>
  <c r="I157" i="5"/>
  <c r="H157" i="5"/>
  <c r="G157" i="5"/>
  <c r="F157" i="5"/>
  <c r="E157" i="5"/>
  <c r="D157" i="5"/>
  <c r="C157" i="5"/>
  <c r="B157" i="5"/>
  <c r="A157" i="5"/>
  <c r="BJ156" i="5"/>
  <c r="BI156" i="5"/>
  <c r="BH156" i="5"/>
  <c r="BG156" i="5"/>
  <c r="BF156" i="5"/>
  <c r="BE156" i="5"/>
  <c r="BD156" i="5"/>
  <c r="BC156" i="5"/>
  <c r="BB156" i="5"/>
  <c r="BA156" i="5"/>
  <c r="AZ156" i="5"/>
  <c r="AY156" i="5"/>
  <c r="AX156" i="5"/>
  <c r="AW156" i="5"/>
  <c r="AV156" i="5"/>
  <c r="AU156" i="5"/>
  <c r="AT156" i="5"/>
  <c r="AS156" i="5"/>
  <c r="AR156" i="5"/>
  <c r="AQ156" i="5"/>
  <c r="AP156" i="5"/>
  <c r="AO156" i="5"/>
  <c r="AN156" i="5"/>
  <c r="AM156" i="5"/>
  <c r="AL156" i="5"/>
  <c r="AK156" i="5"/>
  <c r="AJ156" i="5"/>
  <c r="AI156" i="5"/>
  <c r="AH156" i="5"/>
  <c r="AG156" i="5"/>
  <c r="AF156" i="5"/>
  <c r="AE156" i="5"/>
  <c r="AD156" i="5"/>
  <c r="AC156" i="5"/>
  <c r="AB156" i="5"/>
  <c r="AA156" i="5"/>
  <c r="Z156" i="5"/>
  <c r="Y156" i="5"/>
  <c r="X156" i="5"/>
  <c r="W156" i="5"/>
  <c r="V156" i="5"/>
  <c r="U156" i="5"/>
  <c r="T156" i="5"/>
  <c r="S156" i="5"/>
  <c r="R156" i="5"/>
  <c r="Q156" i="5"/>
  <c r="P156" i="5"/>
  <c r="O156" i="5"/>
  <c r="N156" i="5"/>
  <c r="M156" i="5"/>
  <c r="L156" i="5"/>
  <c r="K156" i="5"/>
  <c r="J156" i="5"/>
  <c r="I156" i="5"/>
  <c r="H156" i="5"/>
  <c r="G156" i="5"/>
  <c r="F156" i="5"/>
  <c r="E156" i="5"/>
  <c r="D156" i="5"/>
  <c r="C156" i="5"/>
  <c r="B156" i="5"/>
  <c r="A156"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B155" i="5"/>
  <c r="A155" i="5"/>
  <c r="BJ154" i="5"/>
  <c r="BI154" i="5"/>
  <c r="BH154" i="5"/>
  <c r="BG154" i="5"/>
  <c r="BF154" i="5"/>
  <c r="BE154" i="5"/>
  <c r="BD154" i="5"/>
  <c r="BC154" i="5"/>
  <c r="BB154" i="5"/>
  <c r="BA154" i="5"/>
  <c r="AZ154" i="5"/>
  <c r="AY154" i="5"/>
  <c r="AX154" i="5"/>
  <c r="AW154" i="5"/>
  <c r="AV154" i="5"/>
  <c r="AU154" i="5"/>
  <c r="AT154" i="5"/>
  <c r="AS154" i="5"/>
  <c r="AR154" i="5"/>
  <c r="AQ154" i="5"/>
  <c r="AP154" i="5"/>
  <c r="AO154" i="5"/>
  <c r="AN154" i="5"/>
  <c r="AM154" i="5"/>
  <c r="AL154" i="5"/>
  <c r="AK154" i="5"/>
  <c r="AJ154" i="5"/>
  <c r="AI154" i="5"/>
  <c r="AH154" i="5"/>
  <c r="AG154" i="5"/>
  <c r="AF154" i="5"/>
  <c r="AE154" i="5"/>
  <c r="AD154" i="5"/>
  <c r="AC154" i="5"/>
  <c r="AB154" i="5"/>
  <c r="AA154" i="5"/>
  <c r="Z154" i="5"/>
  <c r="Y154" i="5"/>
  <c r="X154" i="5"/>
  <c r="W154" i="5"/>
  <c r="V154" i="5"/>
  <c r="U154" i="5"/>
  <c r="T154" i="5"/>
  <c r="S154" i="5"/>
  <c r="R154" i="5"/>
  <c r="Q154" i="5"/>
  <c r="P154" i="5"/>
  <c r="O154" i="5"/>
  <c r="N154" i="5"/>
  <c r="M154" i="5"/>
  <c r="L154" i="5"/>
  <c r="K154" i="5"/>
  <c r="J154" i="5"/>
  <c r="I154" i="5"/>
  <c r="H154" i="5"/>
  <c r="G154" i="5"/>
  <c r="F154" i="5"/>
  <c r="E154" i="5"/>
  <c r="D154" i="5"/>
  <c r="C154" i="5"/>
  <c r="B154" i="5"/>
  <c r="A154" i="5"/>
  <c r="BJ153" i="5"/>
  <c r="BI153" i="5"/>
  <c r="BH153" i="5"/>
  <c r="BG153" i="5"/>
  <c r="BF153" i="5"/>
  <c r="BE153" i="5"/>
  <c r="BD153" i="5"/>
  <c r="BC153" i="5"/>
  <c r="BB153" i="5"/>
  <c r="BA153" i="5"/>
  <c r="AZ153" i="5"/>
  <c r="AY153" i="5"/>
  <c r="AX153" i="5"/>
  <c r="AW153" i="5"/>
  <c r="AV153" i="5"/>
  <c r="AU153" i="5"/>
  <c r="AT153" i="5"/>
  <c r="AS153" i="5"/>
  <c r="AR153" i="5"/>
  <c r="AQ153" i="5"/>
  <c r="AP153" i="5"/>
  <c r="AO153" i="5"/>
  <c r="AN153" i="5"/>
  <c r="AM153" i="5"/>
  <c r="AL153" i="5"/>
  <c r="AK153" i="5"/>
  <c r="AJ153" i="5"/>
  <c r="AI153" i="5"/>
  <c r="AH153" i="5"/>
  <c r="AG153" i="5"/>
  <c r="AF153" i="5"/>
  <c r="AE153" i="5"/>
  <c r="AD153" i="5"/>
  <c r="AC153" i="5"/>
  <c r="AB153" i="5"/>
  <c r="AA153" i="5"/>
  <c r="Z153" i="5"/>
  <c r="Y153" i="5"/>
  <c r="X153" i="5"/>
  <c r="W153" i="5"/>
  <c r="V153" i="5"/>
  <c r="U153" i="5"/>
  <c r="T153" i="5"/>
  <c r="S153" i="5"/>
  <c r="R153" i="5"/>
  <c r="Q153" i="5"/>
  <c r="P153" i="5"/>
  <c r="O153" i="5"/>
  <c r="N153" i="5"/>
  <c r="M153" i="5"/>
  <c r="L153" i="5"/>
  <c r="K153" i="5"/>
  <c r="J153" i="5"/>
  <c r="I153" i="5"/>
  <c r="H153" i="5"/>
  <c r="G153" i="5"/>
  <c r="F153" i="5"/>
  <c r="E153" i="5"/>
  <c r="D153" i="5"/>
  <c r="C153" i="5"/>
  <c r="B153" i="5"/>
  <c r="A153" i="5"/>
  <c r="BJ152" i="5"/>
  <c r="BI152" i="5"/>
  <c r="BH152" i="5"/>
  <c r="BG152" i="5"/>
  <c r="BF152" i="5"/>
  <c r="BE152" i="5"/>
  <c r="BD152" i="5"/>
  <c r="BC152" i="5"/>
  <c r="BB152" i="5"/>
  <c r="BA152" i="5"/>
  <c r="AZ152" i="5"/>
  <c r="AY152" i="5"/>
  <c r="AX152" i="5"/>
  <c r="AW152" i="5"/>
  <c r="AV152" i="5"/>
  <c r="AU152" i="5"/>
  <c r="AT152" i="5"/>
  <c r="AS152" i="5"/>
  <c r="AR152" i="5"/>
  <c r="AQ152" i="5"/>
  <c r="AP152" i="5"/>
  <c r="AO152" i="5"/>
  <c r="AN152" i="5"/>
  <c r="AM152" i="5"/>
  <c r="AL152" i="5"/>
  <c r="AK152" i="5"/>
  <c r="AJ152" i="5"/>
  <c r="AI152" i="5"/>
  <c r="AH152" i="5"/>
  <c r="AG152" i="5"/>
  <c r="AF152" i="5"/>
  <c r="AE152" i="5"/>
  <c r="AD152" i="5"/>
  <c r="AC152" i="5"/>
  <c r="AB152" i="5"/>
  <c r="AA152" i="5"/>
  <c r="Z152" i="5"/>
  <c r="Y152" i="5"/>
  <c r="X152" i="5"/>
  <c r="W152" i="5"/>
  <c r="V152" i="5"/>
  <c r="U152" i="5"/>
  <c r="T152" i="5"/>
  <c r="S152" i="5"/>
  <c r="R152" i="5"/>
  <c r="Q152" i="5"/>
  <c r="P152" i="5"/>
  <c r="O152" i="5"/>
  <c r="N152" i="5"/>
  <c r="M152" i="5"/>
  <c r="L152" i="5"/>
  <c r="K152" i="5"/>
  <c r="J152" i="5"/>
  <c r="I152" i="5"/>
  <c r="H152" i="5"/>
  <c r="G152" i="5"/>
  <c r="F152" i="5"/>
  <c r="E152" i="5"/>
  <c r="D152" i="5"/>
  <c r="C152" i="5"/>
  <c r="B152" i="5"/>
  <c r="A152" i="5"/>
  <c r="BJ151" i="5"/>
  <c r="BI151" i="5"/>
  <c r="BH151" i="5"/>
  <c r="BG151" i="5"/>
  <c r="BF151" i="5"/>
  <c r="BE151" i="5"/>
  <c r="BD151" i="5"/>
  <c r="BC151" i="5"/>
  <c r="BB151" i="5"/>
  <c r="BA151" i="5"/>
  <c r="AZ151" i="5"/>
  <c r="AY151" i="5"/>
  <c r="AX151" i="5"/>
  <c r="AW151" i="5"/>
  <c r="AV151" i="5"/>
  <c r="AU151" i="5"/>
  <c r="AT151" i="5"/>
  <c r="AS151" i="5"/>
  <c r="AR151" i="5"/>
  <c r="AQ151" i="5"/>
  <c r="AP151" i="5"/>
  <c r="AO151" i="5"/>
  <c r="AN151" i="5"/>
  <c r="AM151" i="5"/>
  <c r="AL151" i="5"/>
  <c r="AK151" i="5"/>
  <c r="AJ151" i="5"/>
  <c r="AI151" i="5"/>
  <c r="AH151" i="5"/>
  <c r="AG151" i="5"/>
  <c r="AF151" i="5"/>
  <c r="AE151" i="5"/>
  <c r="AD151" i="5"/>
  <c r="AC151" i="5"/>
  <c r="AB151" i="5"/>
  <c r="AA151" i="5"/>
  <c r="Z151" i="5"/>
  <c r="Y151" i="5"/>
  <c r="X151" i="5"/>
  <c r="W151" i="5"/>
  <c r="V151" i="5"/>
  <c r="U151" i="5"/>
  <c r="T151" i="5"/>
  <c r="S151" i="5"/>
  <c r="R151" i="5"/>
  <c r="Q151" i="5"/>
  <c r="P151" i="5"/>
  <c r="O151" i="5"/>
  <c r="N151" i="5"/>
  <c r="M151" i="5"/>
  <c r="L151" i="5"/>
  <c r="K151" i="5"/>
  <c r="J151" i="5"/>
  <c r="I151" i="5"/>
  <c r="H151" i="5"/>
  <c r="G151" i="5"/>
  <c r="F151" i="5"/>
  <c r="E151" i="5"/>
  <c r="D151" i="5"/>
  <c r="C151" i="5"/>
  <c r="B151" i="5"/>
  <c r="A151" i="5"/>
  <c r="BJ150" i="5"/>
  <c r="BI150" i="5"/>
  <c r="BH150" i="5"/>
  <c r="BG150" i="5"/>
  <c r="BF150" i="5"/>
  <c r="BE150" i="5"/>
  <c r="BD150" i="5"/>
  <c r="BC150" i="5"/>
  <c r="BB150" i="5"/>
  <c r="BA150" i="5"/>
  <c r="AZ150" i="5"/>
  <c r="AY150" i="5"/>
  <c r="AX150" i="5"/>
  <c r="AW150" i="5"/>
  <c r="AV150" i="5"/>
  <c r="AU150" i="5"/>
  <c r="AT150" i="5"/>
  <c r="AS150" i="5"/>
  <c r="AR150" i="5"/>
  <c r="AQ150" i="5"/>
  <c r="AP150" i="5"/>
  <c r="AO150" i="5"/>
  <c r="AN150" i="5"/>
  <c r="AM150" i="5"/>
  <c r="AL150" i="5"/>
  <c r="AK150" i="5"/>
  <c r="AJ150" i="5"/>
  <c r="AI150" i="5"/>
  <c r="AH150" i="5"/>
  <c r="AG150" i="5"/>
  <c r="AF150" i="5"/>
  <c r="AE150" i="5"/>
  <c r="AD150" i="5"/>
  <c r="AC150" i="5"/>
  <c r="AB150" i="5"/>
  <c r="AA150" i="5"/>
  <c r="Z150" i="5"/>
  <c r="Y150" i="5"/>
  <c r="X150" i="5"/>
  <c r="W150" i="5"/>
  <c r="V150" i="5"/>
  <c r="U150" i="5"/>
  <c r="T150" i="5"/>
  <c r="S150" i="5"/>
  <c r="R150" i="5"/>
  <c r="Q150" i="5"/>
  <c r="P150" i="5"/>
  <c r="O150" i="5"/>
  <c r="N150" i="5"/>
  <c r="M150" i="5"/>
  <c r="L150" i="5"/>
  <c r="K150" i="5"/>
  <c r="J150" i="5"/>
  <c r="I150" i="5"/>
  <c r="H150" i="5"/>
  <c r="G150" i="5"/>
  <c r="F150" i="5"/>
  <c r="E150" i="5"/>
  <c r="D150" i="5"/>
  <c r="C150" i="5"/>
  <c r="B150" i="5"/>
  <c r="A150"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B149" i="5"/>
  <c r="A149" i="5"/>
  <c r="BJ148" i="5"/>
  <c r="BI148" i="5"/>
  <c r="BH148" i="5"/>
  <c r="BG148" i="5"/>
  <c r="BF148" i="5"/>
  <c r="BE148" i="5"/>
  <c r="BD148" i="5"/>
  <c r="BC148" i="5"/>
  <c r="BB148" i="5"/>
  <c r="BA148" i="5"/>
  <c r="AZ148" i="5"/>
  <c r="AY148" i="5"/>
  <c r="AX148" i="5"/>
  <c r="AW148" i="5"/>
  <c r="AV148" i="5"/>
  <c r="AU148" i="5"/>
  <c r="AT148" i="5"/>
  <c r="AS148" i="5"/>
  <c r="AR148" i="5"/>
  <c r="AQ148" i="5"/>
  <c r="AP148" i="5"/>
  <c r="AO148" i="5"/>
  <c r="AN148" i="5"/>
  <c r="AM148" i="5"/>
  <c r="AL148" i="5"/>
  <c r="AK148" i="5"/>
  <c r="AJ148" i="5"/>
  <c r="AI148" i="5"/>
  <c r="AH148" i="5"/>
  <c r="AG148" i="5"/>
  <c r="AF148" i="5"/>
  <c r="AE148" i="5"/>
  <c r="AD148" i="5"/>
  <c r="AC148" i="5"/>
  <c r="AB148" i="5"/>
  <c r="AA148" i="5"/>
  <c r="Z148" i="5"/>
  <c r="Y148" i="5"/>
  <c r="X148" i="5"/>
  <c r="W148" i="5"/>
  <c r="V148" i="5"/>
  <c r="U148" i="5"/>
  <c r="T148" i="5"/>
  <c r="S148" i="5"/>
  <c r="R148" i="5"/>
  <c r="Q148" i="5"/>
  <c r="P148" i="5"/>
  <c r="O148" i="5"/>
  <c r="N148" i="5"/>
  <c r="M148" i="5"/>
  <c r="L148" i="5"/>
  <c r="K148" i="5"/>
  <c r="J148" i="5"/>
  <c r="I148" i="5"/>
  <c r="H148" i="5"/>
  <c r="G148" i="5"/>
  <c r="F148" i="5"/>
  <c r="E148" i="5"/>
  <c r="D148" i="5"/>
  <c r="C148" i="5"/>
  <c r="B148" i="5"/>
  <c r="A148" i="5"/>
  <c r="BJ147" i="5"/>
  <c r="BI147" i="5"/>
  <c r="BH147" i="5"/>
  <c r="BG147" i="5"/>
  <c r="BF147" i="5"/>
  <c r="BE147" i="5"/>
  <c r="BD147" i="5"/>
  <c r="BC147" i="5"/>
  <c r="BB147" i="5"/>
  <c r="BA147" i="5"/>
  <c r="AZ147" i="5"/>
  <c r="AY147" i="5"/>
  <c r="AX147" i="5"/>
  <c r="AW147" i="5"/>
  <c r="AV147" i="5"/>
  <c r="AU147" i="5"/>
  <c r="AT147" i="5"/>
  <c r="AS147" i="5"/>
  <c r="AR147" i="5"/>
  <c r="AQ147" i="5"/>
  <c r="AP147" i="5"/>
  <c r="AO147" i="5"/>
  <c r="AN147" i="5"/>
  <c r="AM147" i="5"/>
  <c r="AL147" i="5"/>
  <c r="AK147" i="5"/>
  <c r="AJ147" i="5"/>
  <c r="AI147" i="5"/>
  <c r="AH147" i="5"/>
  <c r="AG147" i="5"/>
  <c r="AF147" i="5"/>
  <c r="AE147" i="5"/>
  <c r="AD147" i="5"/>
  <c r="AC147" i="5"/>
  <c r="AB147" i="5"/>
  <c r="AA147" i="5"/>
  <c r="Z147" i="5"/>
  <c r="Y147" i="5"/>
  <c r="X147" i="5"/>
  <c r="W147" i="5"/>
  <c r="V147" i="5"/>
  <c r="U147" i="5"/>
  <c r="T147" i="5"/>
  <c r="S147" i="5"/>
  <c r="R147" i="5"/>
  <c r="Q147" i="5"/>
  <c r="P147" i="5"/>
  <c r="O147" i="5"/>
  <c r="N147" i="5"/>
  <c r="M147" i="5"/>
  <c r="L147" i="5"/>
  <c r="K147" i="5"/>
  <c r="J147" i="5"/>
  <c r="I147" i="5"/>
  <c r="H147" i="5"/>
  <c r="G147" i="5"/>
  <c r="F147" i="5"/>
  <c r="E147" i="5"/>
  <c r="D147" i="5"/>
  <c r="C147" i="5"/>
  <c r="B147" i="5"/>
  <c r="A147" i="5"/>
  <c r="BJ146" i="5"/>
  <c r="BI146" i="5"/>
  <c r="BH146" i="5"/>
  <c r="BG146" i="5"/>
  <c r="BF146" i="5"/>
  <c r="BE146" i="5"/>
  <c r="BD146" i="5"/>
  <c r="BC146" i="5"/>
  <c r="BB146" i="5"/>
  <c r="BA146" i="5"/>
  <c r="AZ146" i="5"/>
  <c r="AY146" i="5"/>
  <c r="AX146" i="5"/>
  <c r="AW146" i="5"/>
  <c r="AV146" i="5"/>
  <c r="AU146" i="5"/>
  <c r="AT146" i="5"/>
  <c r="AS146" i="5"/>
  <c r="AR146" i="5"/>
  <c r="AQ146" i="5"/>
  <c r="AP146" i="5"/>
  <c r="AO146" i="5"/>
  <c r="AN146" i="5"/>
  <c r="AM146" i="5"/>
  <c r="AL146" i="5"/>
  <c r="AK146" i="5"/>
  <c r="AJ146" i="5"/>
  <c r="AI146" i="5"/>
  <c r="AH146" i="5"/>
  <c r="AG146" i="5"/>
  <c r="AF146" i="5"/>
  <c r="AE146" i="5"/>
  <c r="AD146" i="5"/>
  <c r="AC146" i="5"/>
  <c r="AB146" i="5"/>
  <c r="AA146" i="5"/>
  <c r="Z146" i="5"/>
  <c r="Y146" i="5"/>
  <c r="X146" i="5"/>
  <c r="W146" i="5"/>
  <c r="V146" i="5"/>
  <c r="U146" i="5"/>
  <c r="T146" i="5"/>
  <c r="S146" i="5"/>
  <c r="R146" i="5"/>
  <c r="Q146" i="5"/>
  <c r="P146" i="5"/>
  <c r="O146" i="5"/>
  <c r="N146" i="5"/>
  <c r="M146" i="5"/>
  <c r="L146" i="5"/>
  <c r="K146" i="5"/>
  <c r="J146" i="5"/>
  <c r="I146" i="5"/>
  <c r="H146" i="5"/>
  <c r="G146" i="5"/>
  <c r="F146" i="5"/>
  <c r="E146" i="5"/>
  <c r="D146" i="5"/>
  <c r="C146" i="5"/>
  <c r="B146" i="5"/>
  <c r="A146" i="5"/>
  <c r="BJ145" i="5"/>
  <c r="BI145" i="5"/>
  <c r="BH145" i="5"/>
  <c r="BG145" i="5"/>
  <c r="BF145" i="5"/>
  <c r="BE145" i="5"/>
  <c r="BD145" i="5"/>
  <c r="BC145" i="5"/>
  <c r="BB145" i="5"/>
  <c r="BA145" i="5"/>
  <c r="AZ145" i="5"/>
  <c r="AY145" i="5"/>
  <c r="AX145" i="5"/>
  <c r="AW145" i="5"/>
  <c r="AV145" i="5"/>
  <c r="AU145" i="5"/>
  <c r="AT145" i="5"/>
  <c r="AS145" i="5"/>
  <c r="AR145" i="5"/>
  <c r="AQ145" i="5"/>
  <c r="AP145" i="5"/>
  <c r="AO145" i="5"/>
  <c r="AN145" i="5"/>
  <c r="AM145" i="5"/>
  <c r="AL145" i="5"/>
  <c r="AK145" i="5"/>
  <c r="AJ145" i="5"/>
  <c r="AI145" i="5"/>
  <c r="AH145" i="5"/>
  <c r="AG145" i="5"/>
  <c r="AF145" i="5"/>
  <c r="AE145" i="5"/>
  <c r="AD145" i="5"/>
  <c r="AC145" i="5"/>
  <c r="AB145" i="5"/>
  <c r="AA145" i="5"/>
  <c r="Z145" i="5"/>
  <c r="Y145" i="5"/>
  <c r="X145" i="5"/>
  <c r="W145" i="5"/>
  <c r="V145" i="5"/>
  <c r="U145" i="5"/>
  <c r="T145" i="5"/>
  <c r="S145" i="5"/>
  <c r="R145" i="5"/>
  <c r="Q145" i="5"/>
  <c r="P145" i="5"/>
  <c r="O145" i="5"/>
  <c r="N145" i="5"/>
  <c r="M145" i="5"/>
  <c r="L145" i="5"/>
  <c r="K145" i="5"/>
  <c r="J145" i="5"/>
  <c r="I145" i="5"/>
  <c r="H145" i="5"/>
  <c r="G145" i="5"/>
  <c r="F145" i="5"/>
  <c r="E145" i="5"/>
  <c r="D145" i="5"/>
  <c r="C145" i="5"/>
  <c r="B145" i="5"/>
  <c r="A145" i="5"/>
  <c r="BJ144" i="5"/>
  <c r="BI144" i="5"/>
  <c r="BH144" i="5"/>
  <c r="BG144" i="5"/>
  <c r="BF144" i="5"/>
  <c r="BE144" i="5"/>
  <c r="BD144" i="5"/>
  <c r="BC144" i="5"/>
  <c r="BB144" i="5"/>
  <c r="BA144" i="5"/>
  <c r="AZ144" i="5"/>
  <c r="AY144" i="5"/>
  <c r="AX144" i="5"/>
  <c r="AW144" i="5"/>
  <c r="AV144" i="5"/>
  <c r="AU144" i="5"/>
  <c r="AT144" i="5"/>
  <c r="AS144" i="5"/>
  <c r="AR144" i="5"/>
  <c r="AQ144" i="5"/>
  <c r="AP144" i="5"/>
  <c r="AO144" i="5"/>
  <c r="AN144" i="5"/>
  <c r="AM144" i="5"/>
  <c r="AL144" i="5"/>
  <c r="AK144" i="5"/>
  <c r="AJ144" i="5"/>
  <c r="AI144" i="5"/>
  <c r="AH144" i="5"/>
  <c r="AG144" i="5"/>
  <c r="AF144" i="5"/>
  <c r="AE144" i="5"/>
  <c r="AD144" i="5"/>
  <c r="AC144" i="5"/>
  <c r="AB144" i="5"/>
  <c r="AA144" i="5"/>
  <c r="Z144" i="5"/>
  <c r="Y144" i="5"/>
  <c r="X144" i="5"/>
  <c r="W144" i="5"/>
  <c r="V144" i="5"/>
  <c r="U144" i="5"/>
  <c r="T144" i="5"/>
  <c r="S144" i="5"/>
  <c r="R144" i="5"/>
  <c r="Q144" i="5"/>
  <c r="P144" i="5"/>
  <c r="O144" i="5"/>
  <c r="N144" i="5"/>
  <c r="M144" i="5"/>
  <c r="L144" i="5"/>
  <c r="K144" i="5"/>
  <c r="J144" i="5"/>
  <c r="I144" i="5"/>
  <c r="H144" i="5"/>
  <c r="G144" i="5"/>
  <c r="F144" i="5"/>
  <c r="E144" i="5"/>
  <c r="D144" i="5"/>
  <c r="C144" i="5"/>
  <c r="B144" i="5"/>
  <c r="A144" i="5"/>
  <c r="BJ143" i="5"/>
  <c r="BI143" i="5"/>
  <c r="BH143" i="5"/>
  <c r="BG143" i="5"/>
  <c r="BF143" i="5"/>
  <c r="BE143" i="5"/>
  <c r="BD143" i="5"/>
  <c r="BC143" i="5"/>
  <c r="BB143" i="5"/>
  <c r="BA143" i="5"/>
  <c r="AZ143" i="5"/>
  <c r="AY143" i="5"/>
  <c r="AX143" i="5"/>
  <c r="AW143" i="5"/>
  <c r="AV143" i="5"/>
  <c r="AU143" i="5"/>
  <c r="AT143" i="5"/>
  <c r="AS143" i="5"/>
  <c r="AR143" i="5"/>
  <c r="AQ143" i="5"/>
  <c r="AP143" i="5"/>
  <c r="AO143" i="5"/>
  <c r="AN143" i="5"/>
  <c r="AM143" i="5"/>
  <c r="AL143" i="5"/>
  <c r="AK143" i="5"/>
  <c r="AJ143" i="5"/>
  <c r="AI143" i="5"/>
  <c r="AH143" i="5"/>
  <c r="AG143" i="5"/>
  <c r="AF143" i="5"/>
  <c r="AE143" i="5"/>
  <c r="AD143" i="5"/>
  <c r="AC143" i="5"/>
  <c r="AB143" i="5"/>
  <c r="AA143" i="5"/>
  <c r="Z143" i="5"/>
  <c r="Y143" i="5"/>
  <c r="X143" i="5"/>
  <c r="W143" i="5"/>
  <c r="V143" i="5"/>
  <c r="U143" i="5"/>
  <c r="T143" i="5"/>
  <c r="S143" i="5"/>
  <c r="R143" i="5"/>
  <c r="Q143" i="5"/>
  <c r="P143" i="5"/>
  <c r="O143" i="5"/>
  <c r="N143" i="5"/>
  <c r="M143" i="5"/>
  <c r="L143" i="5"/>
  <c r="K143" i="5"/>
  <c r="J143" i="5"/>
  <c r="I143" i="5"/>
  <c r="H143" i="5"/>
  <c r="G143" i="5"/>
  <c r="F143" i="5"/>
  <c r="E143" i="5"/>
  <c r="D143" i="5"/>
  <c r="C143" i="5"/>
  <c r="B143" i="5"/>
  <c r="A143" i="5"/>
  <c r="BJ142" i="5"/>
  <c r="BI142" i="5"/>
  <c r="BH142" i="5"/>
  <c r="BG142" i="5"/>
  <c r="BF142" i="5"/>
  <c r="BE142" i="5"/>
  <c r="BD142" i="5"/>
  <c r="BC142" i="5"/>
  <c r="BB142" i="5"/>
  <c r="BA142" i="5"/>
  <c r="AZ142" i="5"/>
  <c r="AY142" i="5"/>
  <c r="AX142" i="5"/>
  <c r="AW142" i="5"/>
  <c r="AV142" i="5"/>
  <c r="AU142" i="5"/>
  <c r="AT142" i="5"/>
  <c r="AS142" i="5"/>
  <c r="AR142" i="5"/>
  <c r="AQ142" i="5"/>
  <c r="AP142" i="5"/>
  <c r="AO142" i="5"/>
  <c r="AN142" i="5"/>
  <c r="AM142" i="5"/>
  <c r="AL142" i="5"/>
  <c r="AK142" i="5"/>
  <c r="AJ142" i="5"/>
  <c r="AI142" i="5"/>
  <c r="AH142" i="5"/>
  <c r="AG142" i="5"/>
  <c r="AF142" i="5"/>
  <c r="AE142" i="5"/>
  <c r="AD142" i="5"/>
  <c r="AC142" i="5"/>
  <c r="AB142" i="5"/>
  <c r="AA142" i="5"/>
  <c r="Z142" i="5"/>
  <c r="Y142" i="5"/>
  <c r="X142" i="5"/>
  <c r="W142" i="5"/>
  <c r="V142" i="5"/>
  <c r="U142" i="5"/>
  <c r="T142" i="5"/>
  <c r="S142" i="5"/>
  <c r="R142" i="5"/>
  <c r="Q142" i="5"/>
  <c r="P142" i="5"/>
  <c r="O142" i="5"/>
  <c r="N142" i="5"/>
  <c r="M142" i="5"/>
  <c r="L142" i="5"/>
  <c r="K142" i="5"/>
  <c r="J142" i="5"/>
  <c r="I142" i="5"/>
  <c r="H142" i="5"/>
  <c r="G142" i="5"/>
  <c r="F142" i="5"/>
  <c r="E142" i="5"/>
  <c r="D142" i="5"/>
  <c r="C142" i="5"/>
  <c r="B142" i="5"/>
  <c r="A142" i="5"/>
  <c r="BJ141" i="5"/>
  <c r="BI141" i="5"/>
  <c r="BH141" i="5"/>
  <c r="BG141" i="5"/>
  <c r="BF141" i="5"/>
  <c r="BE141" i="5"/>
  <c r="BD141" i="5"/>
  <c r="BC141" i="5"/>
  <c r="BB141" i="5"/>
  <c r="BA141" i="5"/>
  <c r="AZ141" i="5"/>
  <c r="AY141" i="5"/>
  <c r="AX141" i="5"/>
  <c r="AW141" i="5"/>
  <c r="AV141" i="5"/>
  <c r="AU141" i="5"/>
  <c r="AT141" i="5"/>
  <c r="AS141" i="5"/>
  <c r="AR141" i="5"/>
  <c r="AQ141" i="5"/>
  <c r="AP141" i="5"/>
  <c r="AO141" i="5"/>
  <c r="AN141" i="5"/>
  <c r="AM141" i="5"/>
  <c r="AL141" i="5"/>
  <c r="AK141" i="5"/>
  <c r="AJ141" i="5"/>
  <c r="AI141" i="5"/>
  <c r="AH141" i="5"/>
  <c r="AG141" i="5"/>
  <c r="AF141" i="5"/>
  <c r="AE141" i="5"/>
  <c r="AD141" i="5"/>
  <c r="AC141" i="5"/>
  <c r="AB141" i="5"/>
  <c r="AA141" i="5"/>
  <c r="Z141" i="5"/>
  <c r="Y141" i="5"/>
  <c r="X141" i="5"/>
  <c r="W141" i="5"/>
  <c r="V141" i="5"/>
  <c r="U141" i="5"/>
  <c r="T141" i="5"/>
  <c r="S141" i="5"/>
  <c r="R141" i="5"/>
  <c r="Q141" i="5"/>
  <c r="P141" i="5"/>
  <c r="O141" i="5"/>
  <c r="N141" i="5"/>
  <c r="M141" i="5"/>
  <c r="L141" i="5"/>
  <c r="K141" i="5"/>
  <c r="J141" i="5"/>
  <c r="I141" i="5"/>
  <c r="H141" i="5"/>
  <c r="G141" i="5"/>
  <c r="F141" i="5"/>
  <c r="E141" i="5"/>
  <c r="D141" i="5"/>
  <c r="C141" i="5"/>
  <c r="B141" i="5"/>
  <c r="A141" i="5"/>
  <c r="BJ140" i="5"/>
  <c r="BI140" i="5"/>
  <c r="BH140" i="5"/>
  <c r="BG140" i="5"/>
  <c r="BF140" i="5"/>
  <c r="BE140" i="5"/>
  <c r="BD140" i="5"/>
  <c r="BC140" i="5"/>
  <c r="BB140" i="5"/>
  <c r="BA140" i="5"/>
  <c r="AZ140" i="5"/>
  <c r="AY140" i="5"/>
  <c r="AX140" i="5"/>
  <c r="AW140" i="5"/>
  <c r="AV140" i="5"/>
  <c r="AU140" i="5"/>
  <c r="AT140" i="5"/>
  <c r="AS140" i="5"/>
  <c r="AR140" i="5"/>
  <c r="AQ140" i="5"/>
  <c r="AP140" i="5"/>
  <c r="AO140" i="5"/>
  <c r="AN140" i="5"/>
  <c r="AM140" i="5"/>
  <c r="AL140" i="5"/>
  <c r="AK140" i="5"/>
  <c r="AJ140" i="5"/>
  <c r="AI140" i="5"/>
  <c r="AH140" i="5"/>
  <c r="AG140" i="5"/>
  <c r="AF140" i="5"/>
  <c r="AE140" i="5"/>
  <c r="AD140" i="5"/>
  <c r="AC140" i="5"/>
  <c r="AB140" i="5"/>
  <c r="AA140" i="5"/>
  <c r="Z140" i="5"/>
  <c r="Y140" i="5"/>
  <c r="X140" i="5"/>
  <c r="W140" i="5"/>
  <c r="V140" i="5"/>
  <c r="U140" i="5"/>
  <c r="T140" i="5"/>
  <c r="S140" i="5"/>
  <c r="R140" i="5"/>
  <c r="Q140" i="5"/>
  <c r="P140" i="5"/>
  <c r="O140" i="5"/>
  <c r="N140" i="5"/>
  <c r="M140" i="5"/>
  <c r="L140" i="5"/>
  <c r="K140" i="5"/>
  <c r="J140" i="5"/>
  <c r="I140" i="5"/>
  <c r="H140" i="5"/>
  <c r="G140" i="5"/>
  <c r="F140" i="5"/>
  <c r="E140" i="5"/>
  <c r="D140" i="5"/>
  <c r="C140" i="5"/>
  <c r="B140" i="5"/>
  <c r="A140" i="5"/>
  <c r="BJ139" i="5"/>
  <c r="BI139" i="5"/>
  <c r="BH139" i="5"/>
  <c r="BG139" i="5"/>
  <c r="BF139" i="5"/>
  <c r="BE139" i="5"/>
  <c r="BD139" i="5"/>
  <c r="BC139" i="5"/>
  <c r="BB139" i="5"/>
  <c r="BA139" i="5"/>
  <c r="AZ139" i="5"/>
  <c r="AY139" i="5"/>
  <c r="AX139" i="5"/>
  <c r="AW139" i="5"/>
  <c r="AV139" i="5"/>
  <c r="AU139" i="5"/>
  <c r="AT139" i="5"/>
  <c r="AS139" i="5"/>
  <c r="AR139" i="5"/>
  <c r="AQ139" i="5"/>
  <c r="AP139" i="5"/>
  <c r="AO139" i="5"/>
  <c r="AN139" i="5"/>
  <c r="AM139" i="5"/>
  <c r="AL139" i="5"/>
  <c r="AK139" i="5"/>
  <c r="AJ139" i="5"/>
  <c r="AI139" i="5"/>
  <c r="AH139" i="5"/>
  <c r="AG139" i="5"/>
  <c r="AF139" i="5"/>
  <c r="AE139" i="5"/>
  <c r="AD139" i="5"/>
  <c r="AC139" i="5"/>
  <c r="AB139" i="5"/>
  <c r="AA139" i="5"/>
  <c r="Z139" i="5"/>
  <c r="Y139" i="5"/>
  <c r="X139" i="5"/>
  <c r="W139" i="5"/>
  <c r="V139" i="5"/>
  <c r="U139" i="5"/>
  <c r="T139" i="5"/>
  <c r="S139" i="5"/>
  <c r="R139" i="5"/>
  <c r="Q139" i="5"/>
  <c r="P139" i="5"/>
  <c r="O139" i="5"/>
  <c r="N139" i="5"/>
  <c r="M139" i="5"/>
  <c r="L139" i="5"/>
  <c r="K139" i="5"/>
  <c r="J139" i="5"/>
  <c r="I139" i="5"/>
  <c r="H139" i="5"/>
  <c r="G139" i="5"/>
  <c r="F139" i="5"/>
  <c r="E139" i="5"/>
  <c r="D139" i="5"/>
  <c r="C139" i="5"/>
  <c r="B139" i="5"/>
  <c r="A139" i="5"/>
  <c r="BJ138" i="5"/>
  <c r="BI138" i="5"/>
  <c r="BH138" i="5"/>
  <c r="BG138" i="5"/>
  <c r="BF138" i="5"/>
  <c r="BE138" i="5"/>
  <c r="BD138" i="5"/>
  <c r="BC138" i="5"/>
  <c r="BB138" i="5"/>
  <c r="BA138" i="5"/>
  <c r="AZ138" i="5"/>
  <c r="AY138" i="5"/>
  <c r="AX138" i="5"/>
  <c r="AW138" i="5"/>
  <c r="AV138" i="5"/>
  <c r="AU138" i="5"/>
  <c r="AT138" i="5"/>
  <c r="AS138" i="5"/>
  <c r="AR138" i="5"/>
  <c r="AQ138" i="5"/>
  <c r="AP138" i="5"/>
  <c r="AO138" i="5"/>
  <c r="AN138" i="5"/>
  <c r="AM138" i="5"/>
  <c r="AL138" i="5"/>
  <c r="AK138" i="5"/>
  <c r="AJ138" i="5"/>
  <c r="AI138" i="5"/>
  <c r="AH138" i="5"/>
  <c r="AG138" i="5"/>
  <c r="AF138" i="5"/>
  <c r="AE138" i="5"/>
  <c r="AD138" i="5"/>
  <c r="AC138" i="5"/>
  <c r="AB138" i="5"/>
  <c r="AA138" i="5"/>
  <c r="Z138" i="5"/>
  <c r="Y138" i="5"/>
  <c r="X138" i="5"/>
  <c r="W138" i="5"/>
  <c r="V138" i="5"/>
  <c r="U138" i="5"/>
  <c r="T138" i="5"/>
  <c r="S138" i="5"/>
  <c r="R138" i="5"/>
  <c r="Q138" i="5"/>
  <c r="P138" i="5"/>
  <c r="O138" i="5"/>
  <c r="N138" i="5"/>
  <c r="M138" i="5"/>
  <c r="L138" i="5"/>
  <c r="K138" i="5"/>
  <c r="J138" i="5"/>
  <c r="I138" i="5"/>
  <c r="H138" i="5"/>
  <c r="G138" i="5"/>
  <c r="F138" i="5"/>
  <c r="E138" i="5"/>
  <c r="D138" i="5"/>
  <c r="C138" i="5"/>
  <c r="B138" i="5"/>
  <c r="A138" i="5"/>
  <c r="BJ137" i="5"/>
  <c r="BI137" i="5"/>
  <c r="BH137" i="5"/>
  <c r="BG137" i="5"/>
  <c r="BF137" i="5"/>
  <c r="BE137" i="5"/>
  <c r="BD137" i="5"/>
  <c r="BC137" i="5"/>
  <c r="BB137" i="5"/>
  <c r="BA137" i="5"/>
  <c r="AZ137" i="5"/>
  <c r="AY137" i="5"/>
  <c r="AX137" i="5"/>
  <c r="AW137" i="5"/>
  <c r="AV137" i="5"/>
  <c r="AU137" i="5"/>
  <c r="AT137" i="5"/>
  <c r="AS137" i="5"/>
  <c r="AR137" i="5"/>
  <c r="AQ137" i="5"/>
  <c r="AP137" i="5"/>
  <c r="AO137" i="5"/>
  <c r="AN137" i="5"/>
  <c r="AM137" i="5"/>
  <c r="AL137" i="5"/>
  <c r="AK137" i="5"/>
  <c r="AJ137" i="5"/>
  <c r="AI137" i="5"/>
  <c r="AH137" i="5"/>
  <c r="AG137" i="5"/>
  <c r="AF137" i="5"/>
  <c r="AE137" i="5"/>
  <c r="AD137" i="5"/>
  <c r="AC137" i="5"/>
  <c r="AB137" i="5"/>
  <c r="AA137" i="5"/>
  <c r="Z137" i="5"/>
  <c r="Y137" i="5"/>
  <c r="X137" i="5"/>
  <c r="W137" i="5"/>
  <c r="V137" i="5"/>
  <c r="U137" i="5"/>
  <c r="T137" i="5"/>
  <c r="S137" i="5"/>
  <c r="R137" i="5"/>
  <c r="Q137" i="5"/>
  <c r="P137" i="5"/>
  <c r="O137" i="5"/>
  <c r="N137" i="5"/>
  <c r="M137" i="5"/>
  <c r="L137" i="5"/>
  <c r="K137" i="5"/>
  <c r="J137" i="5"/>
  <c r="I137" i="5"/>
  <c r="H137" i="5"/>
  <c r="G137" i="5"/>
  <c r="F137" i="5"/>
  <c r="E137" i="5"/>
  <c r="D137" i="5"/>
  <c r="C137" i="5"/>
  <c r="B137" i="5"/>
  <c r="A137" i="5"/>
  <c r="BJ136" i="5"/>
  <c r="BI136" i="5"/>
  <c r="BH136" i="5"/>
  <c r="BG136" i="5"/>
  <c r="BF136" i="5"/>
  <c r="BE136" i="5"/>
  <c r="BD136" i="5"/>
  <c r="BC136" i="5"/>
  <c r="BB136" i="5"/>
  <c r="BA136" i="5"/>
  <c r="AZ136" i="5"/>
  <c r="AY136" i="5"/>
  <c r="AX136" i="5"/>
  <c r="AW136" i="5"/>
  <c r="AV136" i="5"/>
  <c r="AU136" i="5"/>
  <c r="AT136" i="5"/>
  <c r="AS136" i="5"/>
  <c r="AR136" i="5"/>
  <c r="AQ136" i="5"/>
  <c r="AP136" i="5"/>
  <c r="AO136" i="5"/>
  <c r="AN136" i="5"/>
  <c r="AM136" i="5"/>
  <c r="AL136" i="5"/>
  <c r="AK136" i="5"/>
  <c r="AJ136" i="5"/>
  <c r="AI136" i="5"/>
  <c r="AH136" i="5"/>
  <c r="AG136" i="5"/>
  <c r="AF136" i="5"/>
  <c r="AE136" i="5"/>
  <c r="AD136" i="5"/>
  <c r="AC136" i="5"/>
  <c r="AB136" i="5"/>
  <c r="AA136" i="5"/>
  <c r="Z136" i="5"/>
  <c r="Y136" i="5"/>
  <c r="X136" i="5"/>
  <c r="W136" i="5"/>
  <c r="V136" i="5"/>
  <c r="U136" i="5"/>
  <c r="T136" i="5"/>
  <c r="S136" i="5"/>
  <c r="R136" i="5"/>
  <c r="Q136" i="5"/>
  <c r="P136" i="5"/>
  <c r="O136" i="5"/>
  <c r="N136" i="5"/>
  <c r="M136" i="5"/>
  <c r="L136" i="5"/>
  <c r="K136" i="5"/>
  <c r="J136" i="5"/>
  <c r="I136" i="5"/>
  <c r="H136" i="5"/>
  <c r="G136" i="5"/>
  <c r="F136" i="5"/>
  <c r="E136" i="5"/>
  <c r="D136" i="5"/>
  <c r="C136" i="5"/>
  <c r="B136" i="5"/>
  <c r="A136" i="5"/>
  <c r="BJ135" i="5"/>
  <c r="BI135" i="5"/>
  <c r="BH135" i="5"/>
  <c r="BG135" i="5"/>
  <c r="BF135" i="5"/>
  <c r="BE135" i="5"/>
  <c r="BD135" i="5"/>
  <c r="BC135" i="5"/>
  <c r="BB135" i="5"/>
  <c r="BA135" i="5"/>
  <c r="AZ135" i="5"/>
  <c r="AY135" i="5"/>
  <c r="AX135" i="5"/>
  <c r="AW135" i="5"/>
  <c r="AV135" i="5"/>
  <c r="AU135" i="5"/>
  <c r="AT135" i="5"/>
  <c r="AS135" i="5"/>
  <c r="AR135" i="5"/>
  <c r="AQ135" i="5"/>
  <c r="AP135" i="5"/>
  <c r="AO135" i="5"/>
  <c r="AN135" i="5"/>
  <c r="AM135" i="5"/>
  <c r="AL135" i="5"/>
  <c r="AK135" i="5"/>
  <c r="AJ135" i="5"/>
  <c r="AI135" i="5"/>
  <c r="AH135" i="5"/>
  <c r="AG135" i="5"/>
  <c r="AF135" i="5"/>
  <c r="AE135" i="5"/>
  <c r="AD135" i="5"/>
  <c r="AC135" i="5"/>
  <c r="AB135" i="5"/>
  <c r="AA135" i="5"/>
  <c r="Z135" i="5"/>
  <c r="Y135" i="5"/>
  <c r="X135" i="5"/>
  <c r="W135" i="5"/>
  <c r="V135" i="5"/>
  <c r="U135" i="5"/>
  <c r="T135" i="5"/>
  <c r="S135" i="5"/>
  <c r="R135" i="5"/>
  <c r="Q135" i="5"/>
  <c r="P135" i="5"/>
  <c r="O135" i="5"/>
  <c r="N135" i="5"/>
  <c r="M135" i="5"/>
  <c r="L135" i="5"/>
  <c r="K135" i="5"/>
  <c r="J135" i="5"/>
  <c r="I135" i="5"/>
  <c r="H135" i="5"/>
  <c r="G135" i="5"/>
  <c r="F135" i="5"/>
  <c r="E135" i="5"/>
  <c r="D135" i="5"/>
  <c r="C135" i="5"/>
  <c r="B135" i="5"/>
  <c r="A135" i="5"/>
  <c r="BJ134" i="5"/>
  <c r="BI134" i="5"/>
  <c r="BH134" i="5"/>
  <c r="BG134" i="5"/>
  <c r="BF134" i="5"/>
  <c r="BE134" i="5"/>
  <c r="BD134" i="5"/>
  <c r="BC134" i="5"/>
  <c r="BB134" i="5"/>
  <c r="BA134" i="5"/>
  <c r="AZ134" i="5"/>
  <c r="AY134" i="5"/>
  <c r="AX134" i="5"/>
  <c r="AW134" i="5"/>
  <c r="AV134" i="5"/>
  <c r="AU134" i="5"/>
  <c r="AT134" i="5"/>
  <c r="AS134" i="5"/>
  <c r="AR134" i="5"/>
  <c r="AQ134" i="5"/>
  <c r="AP134" i="5"/>
  <c r="AO134" i="5"/>
  <c r="AN134" i="5"/>
  <c r="AM134" i="5"/>
  <c r="AL134" i="5"/>
  <c r="AK134" i="5"/>
  <c r="AJ134" i="5"/>
  <c r="AI134" i="5"/>
  <c r="AH134" i="5"/>
  <c r="AG134" i="5"/>
  <c r="AF134" i="5"/>
  <c r="AE134" i="5"/>
  <c r="AD134" i="5"/>
  <c r="AC134" i="5"/>
  <c r="AB134" i="5"/>
  <c r="AA134" i="5"/>
  <c r="Z134" i="5"/>
  <c r="Y134" i="5"/>
  <c r="X134" i="5"/>
  <c r="W134" i="5"/>
  <c r="V134" i="5"/>
  <c r="U134" i="5"/>
  <c r="T134" i="5"/>
  <c r="S134" i="5"/>
  <c r="R134" i="5"/>
  <c r="Q134" i="5"/>
  <c r="P134" i="5"/>
  <c r="O134" i="5"/>
  <c r="N134" i="5"/>
  <c r="M134" i="5"/>
  <c r="L134" i="5"/>
  <c r="K134" i="5"/>
  <c r="J134" i="5"/>
  <c r="I134" i="5"/>
  <c r="H134" i="5"/>
  <c r="G134" i="5"/>
  <c r="F134" i="5"/>
  <c r="E134" i="5"/>
  <c r="D134" i="5"/>
  <c r="C134" i="5"/>
  <c r="B134" i="5"/>
  <c r="A134" i="5"/>
  <c r="BJ133" i="5"/>
  <c r="BI133" i="5"/>
  <c r="BH133" i="5"/>
  <c r="BG133" i="5"/>
  <c r="BF133" i="5"/>
  <c r="BE133" i="5"/>
  <c r="BD133" i="5"/>
  <c r="BC133" i="5"/>
  <c r="BB133" i="5"/>
  <c r="BA133" i="5"/>
  <c r="AZ133" i="5"/>
  <c r="AY133" i="5"/>
  <c r="AX133" i="5"/>
  <c r="AW133" i="5"/>
  <c r="AV133" i="5"/>
  <c r="AU133" i="5"/>
  <c r="AT133" i="5"/>
  <c r="AS133" i="5"/>
  <c r="AR133" i="5"/>
  <c r="AQ133" i="5"/>
  <c r="AP133" i="5"/>
  <c r="AO133" i="5"/>
  <c r="AN133" i="5"/>
  <c r="AM133" i="5"/>
  <c r="AL133" i="5"/>
  <c r="AK133" i="5"/>
  <c r="AJ133" i="5"/>
  <c r="AI133" i="5"/>
  <c r="AH133" i="5"/>
  <c r="AG133" i="5"/>
  <c r="AF133" i="5"/>
  <c r="AE133" i="5"/>
  <c r="AD133" i="5"/>
  <c r="AC133" i="5"/>
  <c r="AB133" i="5"/>
  <c r="AA133" i="5"/>
  <c r="Z133" i="5"/>
  <c r="Y133" i="5"/>
  <c r="X133" i="5"/>
  <c r="W133" i="5"/>
  <c r="V133" i="5"/>
  <c r="U133" i="5"/>
  <c r="T133" i="5"/>
  <c r="S133" i="5"/>
  <c r="R133" i="5"/>
  <c r="Q133" i="5"/>
  <c r="P133" i="5"/>
  <c r="O133" i="5"/>
  <c r="N133" i="5"/>
  <c r="M133" i="5"/>
  <c r="L133" i="5"/>
  <c r="K133" i="5"/>
  <c r="J133" i="5"/>
  <c r="I133" i="5"/>
  <c r="H133" i="5"/>
  <c r="G133" i="5"/>
  <c r="F133" i="5"/>
  <c r="E133" i="5"/>
  <c r="D133" i="5"/>
  <c r="C133" i="5"/>
  <c r="B133" i="5"/>
  <c r="A133" i="5"/>
  <c r="BJ132" i="5"/>
  <c r="BI132" i="5"/>
  <c r="BH132" i="5"/>
  <c r="BG132" i="5"/>
  <c r="BF132" i="5"/>
  <c r="BE132" i="5"/>
  <c r="BD132" i="5"/>
  <c r="BC132" i="5"/>
  <c r="BB132" i="5"/>
  <c r="BA132" i="5"/>
  <c r="AZ132" i="5"/>
  <c r="AY132" i="5"/>
  <c r="AX132" i="5"/>
  <c r="AW132" i="5"/>
  <c r="AV132" i="5"/>
  <c r="AU132" i="5"/>
  <c r="AT132" i="5"/>
  <c r="AS132" i="5"/>
  <c r="AR132" i="5"/>
  <c r="AQ132" i="5"/>
  <c r="AP132" i="5"/>
  <c r="AO132" i="5"/>
  <c r="AN132" i="5"/>
  <c r="AM132" i="5"/>
  <c r="AL132" i="5"/>
  <c r="AK132" i="5"/>
  <c r="AJ132" i="5"/>
  <c r="AI132" i="5"/>
  <c r="AH132" i="5"/>
  <c r="AG132" i="5"/>
  <c r="AF132" i="5"/>
  <c r="AE132" i="5"/>
  <c r="AD132" i="5"/>
  <c r="AC132" i="5"/>
  <c r="AB132" i="5"/>
  <c r="AA132" i="5"/>
  <c r="Z132" i="5"/>
  <c r="Y132" i="5"/>
  <c r="X132" i="5"/>
  <c r="W132" i="5"/>
  <c r="V132" i="5"/>
  <c r="U132" i="5"/>
  <c r="T132" i="5"/>
  <c r="S132" i="5"/>
  <c r="R132" i="5"/>
  <c r="Q132" i="5"/>
  <c r="P132" i="5"/>
  <c r="O132" i="5"/>
  <c r="N132" i="5"/>
  <c r="M132" i="5"/>
  <c r="L132" i="5"/>
  <c r="K132" i="5"/>
  <c r="J132" i="5"/>
  <c r="I132" i="5"/>
  <c r="H132" i="5"/>
  <c r="G132" i="5"/>
  <c r="F132" i="5"/>
  <c r="E132" i="5"/>
  <c r="D132" i="5"/>
  <c r="C132" i="5"/>
  <c r="B132" i="5"/>
  <c r="A132" i="5"/>
  <c r="BJ131" i="5"/>
  <c r="BI131" i="5"/>
  <c r="BH131" i="5"/>
  <c r="BG131" i="5"/>
  <c r="BF131" i="5"/>
  <c r="BE131" i="5"/>
  <c r="BD131" i="5"/>
  <c r="BC131" i="5"/>
  <c r="BB131" i="5"/>
  <c r="BA131" i="5"/>
  <c r="AZ131" i="5"/>
  <c r="AY131" i="5"/>
  <c r="AX131" i="5"/>
  <c r="AW131" i="5"/>
  <c r="AV131" i="5"/>
  <c r="AU131" i="5"/>
  <c r="AT131" i="5"/>
  <c r="AS131" i="5"/>
  <c r="AR131" i="5"/>
  <c r="AQ131" i="5"/>
  <c r="AP131" i="5"/>
  <c r="AO131" i="5"/>
  <c r="AN131" i="5"/>
  <c r="AM131" i="5"/>
  <c r="AL131"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B131" i="5"/>
  <c r="A131" i="5"/>
  <c r="BJ130" i="5"/>
  <c r="BI130" i="5"/>
  <c r="BH130" i="5"/>
  <c r="BG130" i="5"/>
  <c r="BF130" i="5"/>
  <c r="BE130" i="5"/>
  <c r="BD130" i="5"/>
  <c r="BC130" i="5"/>
  <c r="BB130" i="5"/>
  <c r="BA130" i="5"/>
  <c r="AZ130" i="5"/>
  <c r="AY130" i="5"/>
  <c r="AX130" i="5"/>
  <c r="AW130" i="5"/>
  <c r="AV130" i="5"/>
  <c r="AU130" i="5"/>
  <c r="AT130" i="5"/>
  <c r="AS130" i="5"/>
  <c r="AR130" i="5"/>
  <c r="AQ130" i="5"/>
  <c r="AP130" i="5"/>
  <c r="AO130" i="5"/>
  <c r="AN130" i="5"/>
  <c r="AM130" i="5"/>
  <c r="AL130" i="5"/>
  <c r="AK130" i="5"/>
  <c r="AJ130" i="5"/>
  <c r="AI130" i="5"/>
  <c r="AH130" i="5"/>
  <c r="AG130" i="5"/>
  <c r="AF130" i="5"/>
  <c r="AE130" i="5"/>
  <c r="AD130" i="5"/>
  <c r="AC130" i="5"/>
  <c r="AB130" i="5"/>
  <c r="AA130" i="5"/>
  <c r="Z130" i="5"/>
  <c r="Y130" i="5"/>
  <c r="X130" i="5"/>
  <c r="W130" i="5"/>
  <c r="V130" i="5"/>
  <c r="U130" i="5"/>
  <c r="T130" i="5"/>
  <c r="S130" i="5"/>
  <c r="R130" i="5"/>
  <c r="Q130" i="5"/>
  <c r="P130" i="5"/>
  <c r="O130" i="5"/>
  <c r="N130" i="5"/>
  <c r="M130" i="5"/>
  <c r="L130" i="5"/>
  <c r="K130" i="5"/>
  <c r="J130" i="5"/>
  <c r="I130" i="5"/>
  <c r="H130" i="5"/>
  <c r="G130" i="5"/>
  <c r="F130" i="5"/>
  <c r="E130" i="5"/>
  <c r="D130" i="5"/>
  <c r="C130" i="5"/>
  <c r="B130" i="5"/>
  <c r="A130" i="5"/>
  <c r="BJ129" i="5"/>
  <c r="BI129" i="5"/>
  <c r="BH129" i="5"/>
  <c r="BG129" i="5"/>
  <c r="BF129" i="5"/>
  <c r="BE129" i="5"/>
  <c r="BD129" i="5"/>
  <c r="BC129" i="5"/>
  <c r="BB129" i="5"/>
  <c r="BA129" i="5"/>
  <c r="AZ129" i="5"/>
  <c r="AY129" i="5"/>
  <c r="AX129" i="5"/>
  <c r="AW129" i="5"/>
  <c r="AV129" i="5"/>
  <c r="AU129" i="5"/>
  <c r="AT129" i="5"/>
  <c r="AS129" i="5"/>
  <c r="AR129" i="5"/>
  <c r="AQ129" i="5"/>
  <c r="AP129" i="5"/>
  <c r="AO129" i="5"/>
  <c r="AN129" i="5"/>
  <c r="AM129" i="5"/>
  <c r="AL129" i="5"/>
  <c r="AK129" i="5"/>
  <c r="AJ129" i="5"/>
  <c r="AI129" i="5"/>
  <c r="AH129" i="5"/>
  <c r="AG129" i="5"/>
  <c r="AF129" i="5"/>
  <c r="AE129" i="5"/>
  <c r="AD129" i="5"/>
  <c r="AC129" i="5"/>
  <c r="AB129" i="5"/>
  <c r="AA129" i="5"/>
  <c r="Z129" i="5"/>
  <c r="Y129" i="5"/>
  <c r="X129" i="5"/>
  <c r="W129" i="5"/>
  <c r="V129" i="5"/>
  <c r="U129" i="5"/>
  <c r="T129" i="5"/>
  <c r="S129" i="5"/>
  <c r="R129" i="5"/>
  <c r="Q129" i="5"/>
  <c r="P129" i="5"/>
  <c r="O129" i="5"/>
  <c r="N129" i="5"/>
  <c r="M129" i="5"/>
  <c r="L129" i="5"/>
  <c r="K129" i="5"/>
  <c r="J129" i="5"/>
  <c r="I129" i="5"/>
  <c r="H129" i="5"/>
  <c r="G129" i="5"/>
  <c r="F129" i="5"/>
  <c r="E129" i="5"/>
  <c r="D129" i="5"/>
  <c r="C129" i="5"/>
  <c r="B129" i="5"/>
  <c r="A129" i="5"/>
  <c r="BJ128" i="5"/>
  <c r="BI128" i="5"/>
  <c r="BH128" i="5"/>
  <c r="BG128" i="5"/>
  <c r="BF128" i="5"/>
  <c r="BE128" i="5"/>
  <c r="BD128" i="5"/>
  <c r="BC128" i="5"/>
  <c r="BB128" i="5"/>
  <c r="BA128" i="5"/>
  <c r="AZ128" i="5"/>
  <c r="AY128" i="5"/>
  <c r="AX128" i="5"/>
  <c r="AW128" i="5"/>
  <c r="AV128" i="5"/>
  <c r="AU128" i="5"/>
  <c r="AT128" i="5"/>
  <c r="AS128" i="5"/>
  <c r="AR128" i="5"/>
  <c r="AQ128" i="5"/>
  <c r="AP128" i="5"/>
  <c r="AO128" i="5"/>
  <c r="AN128" i="5"/>
  <c r="AM128" i="5"/>
  <c r="AL128" i="5"/>
  <c r="AK128" i="5"/>
  <c r="AJ128" i="5"/>
  <c r="AI128" i="5"/>
  <c r="AH128" i="5"/>
  <c r="AG128" i="5"/>
  <c r="AF128" i="5"/>
  <c r="AE128" i="5"/>
  <c r="AD128" i="5"/>
  <c r="AC128" i="5"/>
  <c r="AB128" i="5"/>
  <c r="AA128" i="5"/>
  <c r="Z128" i="5"/>
  <c r="Y128" i="5"/>
  <c r="X128" i="5"/>
  <c r="W128" i="5"/>
  <c r="V128" i="5"/>
  <c r="U128" i="5"/>
  <c r="T128" i="5"/>
  <c r="S128" i="5"/>
  <c r="R128" i="5"/>
  <c r="Q128" i="5"/>
  <c r="P128" i="5"/>
  <c r="O128" i="5"/>
  <c r="N128" i="5"/>
  <c r="M128" i="5"/>
  <c r="L128" i="5"/>
  <c r="K128" i="5"/>
  <c r="J128" i="5"/>
  <c r="I128" i="5"/>
  <c r="H128" i="5"/>
  <c r="G128" i="5"/>
  <c r="F128" i="5"/>
  <c r="E128" i="5"/>
  <c r="D128" i="5"/>
  <c r="C128" i="5"/>
  <c r="B128" i="5"/>
  <c r="A128" i="5"/>
  <c r="BJ127" i="5"/>
  <c r="BI127" i="5"/>
  <c r="BH127" i="5"/>
  <c r="BG127" i="5"/>
  <c r="BF127" i="5"/>
  <c r="BE127" i="5"/>
  <c r="BD127" i="5"/>
  <c r="BC127" i="5"/>
  <c r="BB127" i="5"/>
  <c r="BA127" i="5"/>
  <c r="AZ127" i="5"/>
  <c r="AY127" i="5"/>
  <c r="AX127" i="5"/>
  <c r="AW127" i="5"/>
  <c r="AV127" i="5"/>
  <c r="AU127" i="5"/>
  <c r="AT127" i="5"/>
  <c r="AS127" i="5"/>
  <c r="AR127" i="5"/>
  <c r="AQ127" i="5"/>
  <c r="AP127" i="5"/>
  <c r="AO127" i="5"/>
  <c r="AN127" i="5"/>
  <c r="AM127" i="5"/>
  <c r="AL127" i="5"/>
  <c r="AK127" i="5"/>
  <c r="AJ127" i="5"/>
  <c r="AI127" i="5"/>
  <c r="AH127" i="5"/>
  <c r="AG127" i="5"/>
  <c r="AF127" i="5"/>
  <c r="AE127" i="5"/>
  <c r="AD127" i="5"/>
  <c r="AC127" i="5"/>
  <c r="AB127" i="5"/>
  <c r="AA127" i="5"/>
  <c r="Z127" i="5"/>
  <c r="Y127" i="5"/>
  <c r="X127" i="5"/>
  <c r="W127" i="5"/>
  <c r="V127" i="5"/>
  <c r="U127" i="5"/>
  <c r="T127" i="5"/>
  <c r="S127" i="5"/>
  <c r="R127" i="5"/>
  <c r="Q127" i="5"/>
  <c r="P127" i="5"/>
  <c r="O127" i="5"/>
  <c r="N127" i="5"/>
  <c r="M127" i="5"/>
  <c r="L127" i="5"/>
  <c r="K127" i="5"/>
  <c r="J127" i="5"/>
  <c r="I127" i="5"/>
  <c r="H127" i="5"/>
  <c r="G127" i="5"/>
  <c r="F127" i="5"/>
  <c r="E127" i="5"/>
  <c r="D127" i="5"/>
  <c r="C127" i="5"/>
  <c r="B127" i="5"/>
  <c r="A127" i="5"/>
  <c r="BJ126" i="5"/>
  <c r="BI126" i="5"/>
  <c r="BH126" i="5"/>
  <c r="BG126" i="5"/>
  <c r="BF126" i="5"/>
  <c r="BE126" i="5"/>
  <c r="BD126" i="5"/>
  <c r="BC126" i="5"/>
  <c r="BB126" i="5"/>
  <c r="BA126" i="5"/>
  <c r="AZ126" i="5"/>
  <c r="AY126" i="5"/>
  <c r="AX126" i="5"/>
  <c r="AW126" i="5"/>
  <c r="AV126" i="5"/>
  <c r="AU126" i="5"/>
  <c r="AT126" i="5"/>
  <c r="AS126" i="5"/>
  <c r="AR126" i="5"/>
  <c r="AQ126" i="5"/>
  <c r="AP126" i="5"/>
  <c r="AO126" i="5"/>
  <c r="AN126" i="5"/>
  <c r="AM126" i="5"/>
  <c r="AL126" i="5"/>
  <c r="AK126" i="5"/>
  <c r="AJ126" i="5"/>
  <c r="AI126" i="5"/>
  <c r="AH126" i="5"/>
  <c r="AG126" i="5"/>
  <c r="AF126" i="5"/>
  <c r="AE126" i="5"/>
  <c r="AD126" i="5"/>
  <c r="AC126" i="5"/>
  <c r="AB126" i="5"/>
  <c r="AA126" i="5"/>
  <c r="Z126" i="5"/>
  <c r="Y126" i="5"/>
  <c r="X126" i="5"/>
  <c r="W126" i="5"/>
  <c r="V126" i="5"/>
  <c r="U126" i="5"/>
  <c r="T126" i="5"/>
  <c r="S126" i="5"/>
  <c r="R126" i="5"/>
  <c r="Q126" i="5"/>
  <c r="P126" i="5"/>
  <c r="O126" i="5"/>
  <c r="N126" i="5"/>
  <c r="M126" i="5"/>
  <c r="L126" i="5"/>
  <c r="K126" i="5"/>
  <c r="J126" i="5"/>
  <c r="I126" i="5"/>
  <c r="H126" i="5"/>
  <c r="G126" i="5"/>
  <c r="F126" i="5"/>
  <c r="E126" i="5"/>
  <c r="D126" i="5"/>
  <c r="C126" i="5"/>
  <c r="B126" i="5"/>
  <c r="A126" i="5"/>
  <c r="BJ125" i="5"/>
  <c r="BI125" i="5"/>
  <c r="BH125" i="5"/>
  <c r="BG125" i="5"/>
  <c r="BF125" i="5"/>
  <c r="BE125" i="5"/>
  <c r="BD125" i="5"/>
  <c r="BC125" i="5"/>
  <c r="BB125" i="5"/>
  <c r="BA125" i="5"/>
  <c r="AZ125" i="5"/>
  <c r="AY125" i="5"/>
  <c r="AX125" i="5"/>
  <c r="AW125" i="5"/>
  <c r="AV125" i="5"/>
  <c r="AU125" i="5"/>
  <c r="AT125" i="5"/>
  <c r="AS125" i="5"/>
  <c r="AR125" i="5"/>
  <c r="AQ125" i="5"/>
  <c r="AP125" i="5"/>
  <c r="AO125" i="5"/>
  <c r="AN125" i="5"/>
  <c r="AM125" i="5"/>
  <c r="AL125" i="5"/>
  <c r="AK125" i="5"/>
  <c r="AJ125" i="5"/>
  <c r="AI125" i="5"/>
  <c r="AH125" i="5"/>
  <c r="AG125" i="5"/>
  <c r="AF125" i="5"/>
  <c r="AE125" i="5"/>
  <c r="AD125" i="5"/>
  <c r="AC125" i="5"/>
  <c r="AB125" i="5"/>
  <c r="AA125" i="5"/>
  <c r="Z125" i="5"/>
  <c r="Y125" i="5"/>
  <c r="X125" i="5"/>
  <c r="W125" i="5"/>
  <c r="V125" i="5"/>
  <c r="U125" i="5"/>
  <c r="T125" i="5"/>
  <c r="S125" i="5"/>
  <c r="R125" i="5"/>
  <c r="Q125" i="5"/>
  <c r="P125" i="5"/>
  <c r="O125" i="5"/>
  <c r="N125" i="5"/>
  <c r="M125" i="5"/>
  <c r="L125" i="5"/>
  <c r="K125" i="5"/>
  <c r="J125" i="5"/>
  <c r="I125" i="5"/>
  <c r="H125" i="5"/>
  <c r="G125" i="5"/>
  <c r="F125" i="5"/>
  <c r="E125" i="5"/>
  <c r="D125" i="5"/>
  <c r="C125" i="5"/>
  <c r="B125" i="5"/>
  <c r="A125" i="5"/>
  <c r="BJ124" i="5"/>
  <c r="BI124" i="5"/>
  <c r="BH124" i="5"/>
  <c r="BG124" i="5"/>
  <c r="BF124" i="5"/>
  <c r="BE124" i="5"/>
  <c r="BD124" i="5"/>
  <c r="BC124" i="5"/>
  <c r="BB124" i="5"/>
  <c r="BA124" i="5"/>
  <c r="AZ124" i="5"/>
  <c r="AY124" i="5"/>
  <c r="AX124" i="5"/>
  <c r="AW124" i="5"/>
  <c r="AV124" i="5"/>
  <c r="AU124" i="5"/>
  <c r="AT124" i="5"/>
  <c r="AS124" i="5"/>
  <c r="AR124" i="5"/>
  <c r="AQ124" i="5"/>
  <c r="AP124" i="5"/>
  <c r="AO124" i="5"/>
  <c r="AN124" i="5"/>
  <c r="AM124" i="5"/>
  <c r="AL124" i="5"/>
  <c r="AK124" i="5"/>
  <c r="AJ124" i="5"/>
  <c r="AI124" i="5"/>
  <c r="AH124" i="5"/>
  <c r="AG124" i="5"/>
  <c r="AF124" i="5"/>
  <c r="AE124" i="5"/>
  <c r="AD124" i="5"/>
  <c r="AC124" i="5"/>
  <c r="AB124" i="5"/>
  <c r="AA124" i="5"/>
  <c r="Z124" i="5"/>
  <c r="Y124" i="5"/>
  <c r="X124" i="5"/>
  <c r="W124" i="5"/>
  <c r="V124" i="5"/>
  <c r="U124" i="5"/>
  <c r="T124" i="5"/>
  <c r="S124" i="5"/>
  <c r="R124" i="5"/>
  <c r="Q124" i="5"/>
  <c r="P124" i="5"/>
  <c r="O124" i="5"/>
  <c r="N124" i="5"/>
  <c r="M124" i="5"/>
  <c r="L124" i="5"/>
  <c r="K124" i="5"/>
  <c r="J124" i="5"/>
  <c r="I124" i="5"/>
  <c r="H124" i="5"/>
  <c r="G124" i="5"/>
  <c r="F124" i="5"/>
  <c r="E124" i="5"/>
  <c r="D124" i="5"/>
  <c r="C124" i="5"/>
  <c r="B124" i="5"/>
  <c r="A124" i="5"/>
  <c r="BJ123" i="5"/>
  <c r="BI123" i="5"/>
  <c r="BH123" i="5"/>
  <c r="BG123" i="5"/>
  <c r="BF123" i="5"/>
  <c r="BE123" i="5"/>
  <c r="BD123" i="5"/>
  <c r="BC123" i="5"/>
  <c r="BB123" i="5"/>
  <c r="BA123" i="5"/>
  <c r="AZ123" i="5"/>
  <c r="AY123" i="5"/>
  <c r="AX123" i="5"/>
  <c r="AW123" i="5"/>
  <c r="AV123" i="5"/>
  <c r="AU123" i="5"/>
  <c r="AT123" i="5"/>
  <c r="AS123" i="5"/>
  <c r="AR123" i="5"/>
  <c r="AQ123" i="5"/>
  <c r="AP123" i="5"/>
  <c r="AO123" i="5"/>
  <c r="AN123" i="5"/>
  <c r="AM123" i="5"/>
  <c r="AL123" i="5"/>
  <c r="AK123" i="5"/>
  <c r="AJ123" i="5"/>
  <c r="AI123" i="5"/>
  <c r="AH123" i="5"/>
  <c r="AG123" i="5"/>
  <c r="AF123" i="5"/>
  <c r="AE123" i="5"/>
  <c r="AD123" i="5"/>
  <c r="AC123" i="5"/>
  <c r="AB123" i="5"/>
  <c r="AA123" i="5"/>
  <c r="Z123" i="5"/>
  <c r="Y123" i="5"/>
  <c r="X123" i="5"/>
  <c r="W123" i="5"/>
  <c r="V123" i="5"/>
  <c r="U123" i="5"/>
  <c r="T123" i="5"/>
  <c r="S123" i="5"/>
  <c r="R123" i="5"/>
  <c r="Q123" i="5"/>
  <c r="P123" i="5"/>
  <c r="O123" i="5"/>
  <c r="N123" i="5"/>
  <c r="M123" i="5"/>
  <c r="L123" i="5"/>
  <c r="K123" i="5"/>
  <c r="J123" i="5"/>
  <c r="I123" i="5"/>
  <c r="H123" i="5"/>
  <c r="G123" i="5"/>
  <c r="F123" i="5"/>
  <c r="E123" i="5"/>
  <c r="D123" i="5"/>
  <c r="C123" i="5"/>
  <c r="B123" i="5"/>
  <c r="A123" i="5"/>
  <c r="BJ122" i="5"/>
  <c r="BI122" i="5"/>
  <c r="BH122" i="5"/>
  <c r="BG122" i="5"/>
  <c r="BF122" i="5"/>
  <c r="BE122" i="5"/>
  <c r="BD122" i="5"/>
  <c r="BC122" i="5"/>
  <c r="BB122" i="5"/>
  <c r="BA122" i="5"/>
  <c r="AZ122" i="5"/>
  <c r="AY122" i="5"/>
  <c r="AX122" i="5"/>
  <c r="AW122" i="5"/>
  <c r="AV122" i="5"/>
  <c r="AU122" i="5"/>
  <c r="AT122" i="5"/>
  <c r="AS122" i="5"/>
  <c r="AR122" i="5"/>
  <c r="AQ122" i="5"/>
  <c r="AP122" i="5"/>
  <c r="AO122" i="5"/>
  <c r="AN122" i="5"/>
  <c r="AM122" i="5"/>
  <c r="AL122" i="5"/>
  <c r="AK122" i="5"/>
  <c r="AJ122" i="5"/>
  <c r="AI122" i="5"/>
  <c r="AH122" i="5"/>
  <c r="AG122" i="5"/>
  <c r="AF122" i="5"/>
  <c r="AE122" i="5"/>
  <c r="AD122" i="5"/>
  <c r="AC122" i="5"/>
  <c r="AB122" i="5"/>
  <c r="AA122" i="5"/>
  <c r="Z122" i="5"/>
  <c r="Y122" i="5"/>
  <c r="X122" i="5"/>
  <c r="W122" i="5"/>
  <c r="V122" i="5"/>
  <c r="U122" i="5"/>
  <c r="T122" i="5"/>
  <c r="S122" i="5"/>
  <c r="R122" i="5"/>
  <c r="Q122" i="5"/>
  <c r="P122" i="5"/>
  <c r="O122" i="5"/>
  <c r="N122" i="5"/>
  <c r="M122" i="5"/>
  <c r="L122" i="5"/>
  <c r="K122" i="5"/>
  <c r="J122" i="5"/>
  <c r="I122" i="5"/>
  <c r="H122" i="5"/>
  <c r="G122" i="5"/>
  <c r="F122" i="5"/>
  <c r="E122" i="5"/>
  <c r="D122" i="5"/>
  <c r="C122" i="5"/>
  <c r="B122" i="5"/>
  <c r="A122" i="5"/>
  <c r="BJ121" i="5"/>
  <c r="BI121" i="5"/>
  <c r="BH121" i="5"/>
  <c r="BG121" i="5"/>
  <c r="BF121" i="5"/>
  <c r="BE121" i="5"/>
  <c r="BD121" i="5"/>
  <c r="BC121" i="5"/>
  <c r="BB121" i="5"/>
  <c r="BA121" i="5"/>
  <c r="AZ121" i="5"/>
  <c r="AY121" i="5"/>
  <c r="AX121" i="5"/>
  <c r="AW121" i="5"/>
  <c r="AV121" i="5"/>
  <c r="AU121" i="5"/>
  <c r="AT121" i="5"/>
  <c r="AS121" i="5"/>
  <c r="AR121" i="5"/>
  <c r="AQ121" i="5"/>
  <c r="AP121" i="5"/>
  <c r="AO121" i="5"/>
  <c r="AN121" i="5"/>
  <c r="AM121" i="5"/>
  <c r="AL121" i="5"/>
  <c r="AK121" i="5"/>
  <c r="AJ121" i="5"/>
  <c r="AI121" i="5"/>
  <c r="AH121" i="5"/>
  <c r="AG121" i="5"/>
  <c r="AF121" i="5"/>
  <c r="AE121" i="5"/>
  <c r="AD121" i="5"/>
  <c r="AC121" i="5"/>
  <c r="AB121" i="5"/>
  <c r="AA121" i="5"/>
  <c r="Z121" i="5"/>
  <c r="Y121" i="5"/>
  <c r="X121" i="5"/>
  <c r="W121" i="5"/>
  <c r="V121" i="5"/>
  <c r="U121" i="5"/>
  <c r="T121" i="5"/>
  <c r="S121" i="5"/>
  <c r="R121" i="5"/>
  <c r="Q121" i="5"/>
  <c r="P121" i="5"/>
  <c r="O121" i="5"/>
  <c r="N121" i="5"/>
  <c r="M121" i="5"/>
  <c r="L121" i="5"/>
  <c r="K121" i="5"/>
  <c r="J121" i="5"/>
  <c r="I121" i="5"/>
  <c r="H121" i="5"/>
  <c r="G121" i="5"/>
  <c r="F121" i="5"/>
  <c r="E121" i="5"/>
  <c r="D121" i="5"/>
  <c r="C121" i="5"/>
  <c r="B121" i="5"/>
  <c r="A121" i="5"/>
  <c r="BJ120" i="5"/>
  <c r="BI120" i="5"/>
  <c r="BH120" i="5"/>
  <c r="BG120" i="5"/>
  <c r="BF120" i="5"/>
  <c r="BE120" i="5"/>
  <c r="BD120" i="5"/>
  <c r="BC120" i="5"/>
  <c r="BB120" i="5"/>
  <c r="BA120" i="5"/>
  <c r="AZ120" i="5"/>
  <c r="AY120" i="5"/>
  <c r="AX120" i="5"/>
  <c r="AW120" i="5"/>
  <c r="AV120" i="5"/>
  <c r="AU120" i="5"/>
  <c r="AT120" i="5"/>
  <c r="AS120" i="5"/>
  <c r="AR120" i="5"/>
  <c r="AQ120" i="5"/>
  <c r="AP120" i="5"/>
  <c r="AO120" i="5"/>
  <c r="AN120" i="5"/>
  <c r="AM120" i="5"/>
  <c r="AL120" i="5"/>
  <c r="AK120" i="5"/>
  <c r="AJ120" i="5"/>
  <c r="AI120" i="5"/>
  <c r="AH120" i="5"/>
  <c r="AG120" i="5"/>
  <c r="AF120" i="5"/>
  <c r="AE120" i="5"/>
  <c r="AD120" i="5"/>
  <c r="AC120" i="5"/>
  <c r="AB120" i="5"/>
  <c r="AA120" i="5"/>
  <c r="Z120" i="5"/>
  <c r="Y120" i="5"/>
  <c r="X120" i="5"/>
  <c r="W120" i="5"/>
  <c r="V120" i="5"/>
  <c r="U120" i="5"/>
  <c r="T120" i="5"/>
  <c r="S120" i="5"/>
  <c r="R120" i="5"/>
  <c r="Q120" i="5"/>
  <c r="P120" i="5"/>
  <c r="O120" i="5"/>
  <c r="N120" i="5"/>
  <c r="M120" i="5"/>
  <c r="L120" i="5"/>
  <c r="K120" i="5"/>
  <c r="J120" i="5"/>
  <c r="I120" i="5"/>
  <c r="H120" i="5"/>
  <c r="G120" i="5"/>
  <c r="F120" i="5"/>
  <c r="E120" i="5"/>
  <c r="D120" i="5"/>
  <c r="C120" i="5"/>
  <c r="B120" i="5"/>
  <c r="A120" i="5"/>
  <c r="BJ119" i="5"/>
  <c r="BI119" i="5"/>
  <c r="BH119" i="5"/>
  <c r="BG119" i="5"/>
  <c r="BF119" i="5"/>
  <c r="BE119" i="5"/>
  <c r="BD119" i="5"/>
  <c r="BC119" i="5"/>
  <c r="BB119" i="5"/>
  <c r="BA119" i="5"/>
  <c r="AZ119" i="5"/>
  <c r="AY119" i="5"/>
  <c r="AX119" i="5"/>
  <c r="AW119" i="5"/>
  <c r="AV119" i="5"/>
  <c r="AU119" i="5"/>
  <c r="AT119" i="5"/>
  <c r="AS119" i="5"/>
  <c r="AR119" i="5"/>
  <c r="AQ119" i="5"/>
  <c r="AP119" i="5"/>
  <c r="AO119" i="5"/>
  <c r="AN119" i="5"/>
  <c r="AM119" i="5"/>
  <c r="AL119" i="5"/>
  <c r="AK119" i="5"/>
  <c r="AJ119" i="5"/>
  <c r="AI119" i="5"/>
  <c r="AH119" i="5"/>
  <c r="AG119" i="5"/>
  <c r="AF119" i="5"/>
  <c r="AE119" i="5"/>
  <c r="AD119" i="5"/>
  <c r="AC119" i="5"/>
  <c r="AB119" i="5"/>
  <c r="AA119" i="5"/>
  <c r="Z119" i="5"/>
  <c r="Y119" i="5"/>
  <c r="X119" i="5"/>
  <c r="W119" i="5"/>
  <c r="V119" i="5"/>
  <c r="U119" i="5"/>
  <c r="T119" i="5"/>
  <c r="S119" i="5"/>
  <c r="R119" i="5"/>
  <c r="Q119" i="5"/>
  <c r="P119" i="5"/>
  <c r="O119" i="5"/>
  <c r="N119" i="5"/>
  <c r="M119" i="5"/>
  <c r="L119" i="5"/>
  <c r="K119" i="5"/>
  <c r="J119" i="5"/>
  <c r="I119" i="5"/>
  <c r="H119" i="5"/>
  <c r="G119" i="5"/>
  <c r="F119" i="5"/>
  <c r="E119" i="5"/>
  <c r="D119" i="5"/>
  <c r="C119" i="5"/>
  <c r="B119" i="5"/>
  <c r="A119" i="5"/>
  <c r="BJ118" i="5"/>
  <c r="BI118" i="5"/>
  <c r="BH118" i="5"/>
  <c r="BG118" i="5"/>
  <c r="BF118" i="5"/>
  <c r="BE118" i="5"/>
  <c r="BD118" i="5"/>
  <c r="BC118" i="5"/>
  <c r="BB118" i="5"/>
  <c r="BA118" i="5"/>
  <c r="AZ118" i="5"/>
  <c r="AY118" i="5"/>
  <c r="AX118" i="5"/>
  <c r="AW118" i="5"/>
  <c r="AV118" i="5"/>
  <c r="AU118" i="5"/>
  <c r="AT118" i="5"/>
  <c r="AS118" i="5"/>
  <c r="AR118" i="5"/>
  <c r="AQ118" i="5"/>
  <c r="AP118" i="5"/>
  <c r="AO118" i="5"/>
  <c r="AN118" i="5"/>
  <c r="AM118" i="5"/>
  <c r="AL118" i="5"/>
  <c r="AK118" i="5"/>
  <c r="AJ118" i="5"/>
  <c r="AI118" i="5"/>
  <c r="AH118" i="5"/>
  <c r="AG118" i="5"/>
  <c r="AF118" i="5"/>
  <c r="AE118" i="5"/>
  <c r="AD118" i="5"/>
  <c r="AC118" i="5"/>
  <c r="AB118" i="5"/>
  <c r="AA118" i="5"/>
  <c r="Z118" i="5"/>
  <c r="Y118" i="5"/>
  <c r="X118" i="5"/>
  <c r="W118" i="5"/>
  <c r="V118" i="5"/>
  <c r="U118" i="5"/>
  <c r="T118" i="5"/>
  <c r="S118" i="5"/>
  <c r="R118" i="5"/>
  <c r="Q118" i="5"/>
  <c r="P118" i="5"/>
  <c r="O118" i="5"/>
  <c r="N118" i="5"/>
  <c r="M118" i="5"/>
  <c r="L118" i="5"/>
  <c r="K118" i="5"/>
  <c r="J118" i="5"/>
  <c r="I118" i="5"/>
  <c r="H118" i="5"/>
  <c r="G118" i="5"/>
  <c r="F118" i="5"/>
  <c r="E118" i="5"/>
  <c r="D118" i="5"/>
  <c r="C118" i="5"/>
  <c r="B118" i="5"/>
  <c r="A118" i="5"/>
  <c r="BJ117" i="5"/>
  <c r="BI117" i="5"/>
  <c r="BH117" i="5"/>
  <c r="BG117" i="5"/>
  <c r="BF117" i="5"/>
  <c r="BE117" i="5"/>
  <c r="BD117" i="5"/>
  <c r="BC117" i="5"/>
  <c r="BB117" i="5"/>
  <c r="BA117" i="5"/>
  <c r="AZ117" i="5"/>
  <c r="AY117" i="5"/>
  <c r="AX117" i="5"/>
  <c r="AW117" i="5"/>
  <c r="AV117" i="5"/>
  <c r="AU117" i="5"/>
  <c r="AT117" i="5"/>
  <c r="AS117" i="5"/>
  <c r="AR117" i="5"/>
  <c r="AQ117" i="5"/>
  <c r="AP117" i="5"/>
  <c r="AO117" i="5"/>
  <c r="AN117" i="5"/>
  <c r="AM117" i="5"/>
  <c r="AL117" i="5"/>
  <c r="AK117" i="5"/>
  <c r="AJ117" i="5"/>
  <c r="AI117" i="5"/>
  <c r="AH117" i="5"/>
  <c r="AG117" i="5"/>
  <c r="AF117" i="5"/>
  <c r="AE117" i="5"/>
  <c r="AD117" i="5"/>
  <c r="AC117" i="5"/>
  <c r="AB117" i="5"/>
  <c r="AA117" i="5"/>
  <c r="Z117" i="5"/>
  <c r="Y117" i="5"/>
  <c r="X117" i="5"/>
  <c r="W117" i="5"/>
  <c r="V117" i="5"/>
  <c r="U117" i="5"/>
  <c r="T117" i="5"/>
  <c r="S117" i="5"/>
  <c r="R117" i="5"/>
  <c r="Q117" i="5"/>
  <c r="P117" i="5"/>
  <c r="O117" i="5"/>
  <c r="N117" i="5"/>
  <c r="M117" i="5"/>
  <c r="L117" i="5"/>
  <c r="K117" i="5"/>
  <c r="J117" i="5"/>
  <c r="I117" i="5"/>
  <c r="H117" i="5"/>
  <c r="G117" i="5"/>
  <c r="F117" i="5"/>
  <c r="E117" i="5"/>
  <c r="D117" i="5"/>
  <c r="C117" i="5"/>
  <c r="B117" i="5"/>
  <c r="A117" i="5"/>
  <c r="BJ116" i="5"/>
  <c r="BI116" i="5"/>
  <c r="BH116" i="5"/>
  <c r="BG116" i="5"/>
  <c r="BF116" i="5"/>
  <c r="BE116" i="5"/>
  <c r="BD116" i="5"/>
  <c r="BC116" i="5"/>
  <c r="BB116" i="5"/>
  <c r="BA116" i="5"/>
  <c r="AZ116" i="5"/>
  <c r="AY116" i="5"/>
  <c r="AX116" i="5"/>
  <c r="AW116" i="5"/>
  <c r="AV116" i="5"/>
  <c r="AU116" i="5"/>
  <c r="AT116" i="5"/>
  <c r="AS116" i="5"/>
  <c r="AR116" i="5"/>
  <c r="AQ116" i="5"/>
  <c r="AP116" i="5"/>
  <c r="AO116" i="5"/>
  <c r="AN116" i="5"/>
  <c r="AM116" i="5"/>
  <c r="AL116" i="5"/>
  <c r="AK116" i="5"/>
  <c r="AJ116" i="5"/>
  <c r="AI116" i="5"/>
  <c r="AH116" i="5"/>
  <c r="AG116" i="5"/>
  <c r="AF116" i="5"/>
  <c r="AE116" i="5"/>
  <c r="AD116" i="5"/>
  <c r="AC116" i="5"/>
  <c r="AB116" i="5"/>
  <c r="AA116" i="5"/>
  <c r="Z116" i="5"/>
  <c r="Y116" i="5"/>
  <c r="X116" i="5"/>
  <c r="W116" i="5"/>
  <c r="V116" i="5"/>
  <c r="U116" i="5"/>
  <c r="T116" i="5"/>
  <c r="S116" i="5"/>
  <c r="R116" i="5"/>
  <c r="Q116" i="5"/>
  <c r="P116" i="5"/>
  <c r="O116" i="5"/>
  <c r="N116" i="5"/>
  <c r="M116" i="5"/>
  <c r="L116" i="5"/>
  <c r="K116" i="5"/>
  <c r="J116" i="5"/>
  <c r="I116" i="5"/>
  <c r="H116" i="5"/>
  <c r="G116" i="5"/>
  <c r="F116" i="5"/>
  <c r="E116" i="5"/>
  <c r="D116" i="5"/>
  <c r="C116" i="5"/>
  <c r="B116" i="5"/>
  <c r="A116" i="5"/>
  <c r="BJ115" i="5"/>
  <c r="BI115" i="5"/>
  <c r="BH115" i="5"/>
  <c r="BG115" i="5"/>
  <c r="BF115" i="5"/>
  <c r="BE115" i="5"/>
  <c r="BD115" i="5"/>
  <c r="BC115" i="5"/>
  <c r="BB115" i="5"/>
  <c r="BA115" i="5"/>
  <c r="AZ115" i="5"/>
  <c r="AY115" i="5"/>
  <c r="AX115" i="5"/>
  <c r="AW115" i="5"/>
  <c r="AV115" i="5"/>
  <c r="AU115" i="5"/>
  <c r="AT115" i="5"/>
  <c r="AS115" i="5"/>
  <c r="AR115" i="5"/>
  <c r="AQ115" i="5"/>
  <c r="AP115" i="5"/>
  <c r="AO115" i="5"/>
  <c r="AN115" i="5"/>
  <c r="AM115" i="5"/>
  <c r="AL115" i="5"/>
  <c r="AK115" i="5"/>
  <c r="AJ115" i="5"/>
  <c r="AI115" i="5"/>
  <c r="AH115" i="5"/>
  <c r="AG115" i="5"/>
  <c r="AF115" i="5"/>
  <c r="AE115" i="5"/>
  <c r="AD115" i="5"/>
  <c r="AC115" i="5"/>
  <c r="AB115" i="5"/>
  <c r="AA115" i="5"/>
  <c r="Z115" i="5"/>
  <c r="Y115" i="5"/>
  <c r="X115" i="5"/>
  <c r="W115" i="5"/>
  <c r="V115" i="5"/>
  <c r="U115" i="5"/>
  <c r="T115" i="5"/>
  <c r="S115" i="5"/>
  <c r="R115" i="5"/>
  <c r="Q115" i="5"/>
  <c r="P115" i="5"/>
  <c r="O115" i="5"/>
  <c r="N115" i="5"/>
  <c r="M115" i="5"/>
  <c r="L115" i="5"/>
  <c r="K115" i="5"/>
  <c r="J115" i="5"/>
  <c r="I115" i="5"/>
  <c r="H115" i="5"/>
  <c r="G115" i="5"/>
  <c r="F115" i="5"/>
  <c r="E115" i="5"/>
  <c r="D115" i="5"/>
  <c r="C115" i="5"/>
  <c r="B115" i="5"/>
  <c r="A115" i="5"/>
  <c r="BJ114" i="5"/>
  <c r="BI114" i="5"/>
  <c r="BH114" i="5"/>
  <c r="BG114" i="5"/>
  <c r="BF114" i="5"/>
  <c r="BE114" i="5"/>
  <c r="BD114" i="5"/>
  <c r="BC114" i="5"/>
  <c r="BB114" i="5"/>
  <c r="BA114" i="5"/>
  <c r="AZ114" i="5"/>
  <c r="AY114" i="5"/>
  <c r="AX114" i="5"/>
  <c r="AW114" i="5"/>
  <c r="AV114" i="5"/>
  <c r="AU114" i="5"/>
  <c r="AT114" i="5"/>
  <c r="AS114" i="5"/>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R114" i="5"/>
  <c r="Q114" i="5"/>
  <c r="P114" i="5"/>
  <c r="O114" i="5"/>
  <c r="N114" i="5"/>
  <c r="M114" i="5"/>
  <c r="L114" i="5"/>
  <c r="K114" i="5"/>
  <c r="J114" i="5"/>
  <c r="I114" i="5"/>
  <c r="H114" i="5"/>
  <c r="G114" i="5"/>
  <c r="F114" i="5"/>
  <c r="E114" i="5"/>
  <c r="D114" i="5"/>
  <c r="C114" i="5"/>
  <c r="B114" i="5"/>
  <c r="A114" i="5"/>
  <c r="BJ113" i="5"/>
  <c r="BI113" i="5"/>
  <c r="BH113" i="5"/>
  <c r="BG113" i="5"/>
  <c r="BF113" i="5"/>
  <c r="BE113" i="5"/>
  <c r="BD113" i="5"/>
  <c r="BC113" i="5"/>
  <c r="BB113" i="5"/>
  <c r="BA113" i="5"/>
  <c r="AZ113" i="5"/>
  <c r="AY113" i="5"/>
  <c r="AX113" i="5"/>
  <c r="AW113" i="5"/>
  <c r="AV113" i="5"/>
  <c r="AU113" i="5"/>
  <c r="AT113" i="5"/>
  <c r="AS113" i="5"/>
  <c r="AR113" i="5"/>
  <c r="AQ113" i="5"/>
  <c r="AP113" i="5"/>
  <c r="AO113" i="5"/>
  <c r="AN113" i="5"/>
  <c r="AM113" i="5"/>
  <c r="AL113" i="5"/>
  <c r="AK113" i="5"/>
  <c r="AJ113" i="5"/>
  <c r="AI113" i="5"/>
  <c r="AH113" i="5"/>
  <c r="AG113" i="5"/>
  <c r="AF113" i="5"/>
  <c r="AE113" i="5"/>
  <c r="AD113" i="5"/>
  <c r="AC113" i="5"/>
  <c r="AB113" i="5"/>
  <c r="AA113" i="5"/>
  <c r="Z113" i="5"/>
  <c r="Y113" i="5"/>
  <c r="X113" i="5"/>
  <c r="W113" i="5"/>
  <c r="V113" i="5"/>
  <c r="U113" i="5"/>
  <c r="T113" i="5"/>
  <c r="S113" i="5"/>
  <c r="R113" i="5"/>
  <c r="Q113" i="5"/>
  <c r="P113" i="5"/>
  <c r="O113" i="5"/>
  <c r="N113" i="5"/>
  <c r="M113" i="5"/>
  <c r="L113" i="5"/>
  <c r="K113" i="5"/>
  <c r="J113" i="5"/>
  <c r="I113" i="5"/>
  <c r="H113" i="5"/>
  <c r="G113" i="5"/>
  <c r="F113" i="5"/>
  <c r="E113" i="5"/>
  <c r="D113" i="5"/>
  <c r="C113" i="5"/>
  <c r="B113" i="5"/>
  <c r="A113" i="5"/>
  <c r="BJ112" i="5"/>
  <c r="BI112" i="5"/>
  <c r="BH112" i="5"/>
  <c r="BG112" i="5"/>
  <c r="BF112" i="5"/>
  <c r="BE112" i="5"/>
  <c r="BD112" i="5"/>
  <c r="BC112" i="5"/>
  <c r="BB112" i="5"/>
  <c r="BA112" i="5"/>
  <c r="AZ112" i="5"/>
  <c r="AY112" i="5"/>
  <c r="AX112" i="5"/>
  <c r="AW112" i="5"/>
  <c r="AV112" i="5"/>
  <c r="AU112" i="5"/>
  <c r="AT112" i="5"/>
  <c r="AS112" i="5"/>
  <c r="AR112" i="5"/>
  <c r="AQ112" i="5"/>
  <c r="AP112" i="5"/>
  <c r="AO112" i="5"/>
  <c r="AN112" i="5"/>
  <c r="AM112" i="5"/>
  <c r="AL112" i="5"/>
  <c r="AK112" i="5"/>
  <c r="AJ112" i="5"/>
  <c r="AI112" i="5"/>
  <c r="AH112" i="5"/>
  <c r="AG112" i="5"/>
  <c r="AF112" i="5"/>
  <c r="AE112" i="5"/>
  <c r="AD112" i="5"/>
  <c r="AC112" i="5"/>
  <c r="AB112" i="5"/>
  <c r="AA112" i="5"/>
  <c r="Z112" i="5"/>
  <c r="Y112" i="5"/>
  <c r="X112" i="5"/>
  <c r="W112" i="5"/>
  <c r="V112" i="5"/>
  <c r="U112" i="5"/>
  <c r="T112" i="5"/>
  <c r="S112" i="5"/>
  <c r="R112" i="5"/>
  <c r="Q112" i="5"/>
  <c r="P112" i="5"/>
  <c r="O112" i="5"/>
  <c r="N112" i="5"/>
  <c r="M112" i="5"/>
  <c r="L112" i="5"/>
  <c r="K112" i="5"/>
  <c r="J112" i="5"/>
  <c r="I112" i="5"/>
  <c r="H112" i="5"/>
  <c r="G112" i="5"/>
  <c r="F112" i="5"/>
  <c r="E112" i="5"/>
  <c r="D112" i="5"/>
  <c r="C112" i="5"/>
  <c r="B112" i="5"/>
  <c r="A112" i="5"/>
  <c r="BJ111" i="5"/>
  <c r="BI111" i="5"/>
  <c r="BH111" i="5"/>
  <c r="BG111" i="5"/>
  <c r="BF111" i="5"/>
  <c r="BE111" i="5"/>
  <c r="BD111" i="5"/>
  <c r="BC111" i="5"/>
  <c r="BB111" i="5"/>
  <c r="BA111" i="5"/>
  <c r="AZ111" i="5"/>
  <c r="AY111" i="5"/>
  <c r="AX111" i="5"/>
  <c r="AW111" i="5"/>
  <c r="AV111" i="5"/>
  <c r="AU111" i="5"/>
  <c r="AT111" i="5"/>
  <c r="AS111" i="5"/>
  <c r="AR111" i="5"/>
  <c r="AQ111" i="5"/>
  <c r="AP111" i="5"/>
  <c r="AO111" i="5"/>
  <c r="AN111" i="5"/>
  <c r="AM111" i="5"/>
  <c r="AL111" i="5"/>
  <c r="AK111" i="5"/>
  <c r="AJ111" i="5"/>
  <c r="AI111" i="5"/>
  <c r="AH111" i="5"/>
  <c r="AG111" i="5"/>
  <c r="AF111" i="5"/>
  <c r="AE111" i="5"/>
  <c r="AD111" i="5"/>
  <c r="AC111" i="5"/>
  <c r="AB111" i="5"/>
  <c r="AA111" i="5"/>
  <c r="Z111" i="5"/>
  <c r="Y111" i="5"/>
  <c r="X111" i="5"/>
  <c r="W111" i="5"/>
  <c r="V111" i="5"/>
  <c r="U111" i="5"/>
  <c r="T111" i="5"/>
  <c r="S111" i="5"/>
  <c r="R111" i="5"/>
  <c r="Q111" i="5"/>
  <c r="P111" i="5"/>
  <c r="O111" i="5"/>
  <c r="N111" i="5"/>
  <c r="M111" i="5"/>
  <c r="L111" i="5"/>
  <c r="K111" i="5"/>
  <c r="J111" i="5"/>
  <c r="I111" i="5"/>
  <c r="H111" i="5"/>
  <c r="G111" i="5"/>
  <c r="F111" i="5"/>
  <c r="E111" i="5"/>
  <c r="D111" i="5"/>
  <c r="C111" i="5"/>
  <c r="B111" i="5"/>
  <c r="A111" i="5"/>
  <c r="BJ110" i="5"/>
  <c r="BI110" i="5"/>
  <c r="BH110" i="5"/>
  <c r="BG110" i="5"/>
  <c r="BF110" i="5"/>
  <c r="BE110" i="5"/>
  <c r="BD110" i="5"/>
  <c r="BC110" i="5"/>
  <c r="BB110" i="5"/>
  <c r="BA110" i="5"/>
  <c r="AZ110" i="5"/>
  <c r="AY110" i="5"/>
  <c r="AX110" i="5"/>
  <c r="AW110" i="5"/>
  <c r="AV110" i="5"/>
  <c r="AU110" i="5"/>
  <c r="AT110" i="5"/>
  <c r="AS110" i="5"/>
  <c r="AR110" i="5"/>
  <c r="AQ110" i="5"/>
  <c r="AP110" i="5"/>
  <c r="AO110" i="5"/>
  <c r="AN110" i="5"/>
  <c r="AM110" i="5"/>
  <c r="AL110" i="5"/>
  <c r="AK110" i="5"/>
  <c r="AJ110" i="5"/>
  <c r="AI110" i="5"/>
  <c r="AH110" i="5"/>
  <c r="AG110" i="5"/>
  <c r="AF110" i="5"/>
  <c r="AE110" i="5"/>
  <c r="AD110" i="5"/>
  <c r="AC110" i="5"/>
  <c r="AB110" i="5"/>
  <c r="AA110" i="5"/>
  <c r="Z110" i="5"/>
  <c r="Y110" i="5"/>
  <c r="X110" i="5"/>
  <c r="W110" i="5"/>
  <c r="V110" i="5"/>
  <c r="U110" i="5"/>
  <c r="T110" i="5"/>
  <c r="S110" i="5"/>
  <c r="R110" i="5"/>
  <c r="Q110" i="5"/>
  <c r="P110" i="5"/>
  <c r="O110" i="5"/>
  <c r="N110" i="5"/>
  <c r="M110" i="5"/>
  <c r="L110" i="5"/>
  <c r="K110" i="5"/>
  <c r="J110" i="5"/>
  <c r="I110" i="5"/>
  <c r="H110" i="5"/>
  <c r="G110" i="5"/>
  <c r="F110" i="5"/>
  <c r="E110" i="5"/>
  <c r="D110" i="5"/>
  <c r="C110" i="5"/>
  <c r="B110" i="5"/>
  <c r="A110" i="5"/>
  <c r="BJ109" i="5"/>
  <c r="BI109" i="5"/>
  <c r="BH109" i="5"/>
  <c r="BG109" i="5"/>
  <c r="BF109" i="5"/>
  <c r="BE109" i="5"/>
  <c r="BD109" i="5"/>
  <c r="BC109" i="5"/>
  <c r="BB109" i="5"/>
  <c r="BA109" i="5"/>
  <c r="AZ109" i="5"/>
  <c r="AY109" i="5"/>
  <c r="AX109" i="5"/>
  <c r="AW109" i="5"/>
  <c r="AV109" i="5"/>
  <c r="AU109" i="5"/>
  <c r="AT109" i="5"/>
  <c r="AS109" i="5"/>
  <c r="AR109" i="5"/>
  <c r="AQ109" i="5"/>
  <c r="AP109" i="5"/>
  <c r="AO109" i="5"/>
  <c r="AN109" i="5"/>
  <c r="AM109" i="5"/>
  <c r="AL109" i="5"/>
  <c r="AK109" i="5"/>
  <c r="AJ109" i="5"/>
  <c r="AI109" i="5"/>
  <c r="AH109" i="5"/>
  <c r="AG109" i="5"/>
  <c r="AF109" i="5"/>
  <c r="AE109" i="5"/>
  <c r="AD109" i="5"/>
  <c r="AC109" i="5"/>
  <c r="AB109" i="5"/>
  <c r="AA109" i="5"/>
  <c r="Z109" i="5"/>
  <c r="Y109" i="5"/>
  <c r="X109" i="5"/>
  <c r="W109" i="5"/>
  <c r="V109" i="5"/>
  <c r="U109" i="5"/>
  <c r="T109" i="5"/>
  <c r="S109" i="5"/>
  <c r="R109" i="5"/>
  <c r="Q109" i="5"/>
  <c r="P109" i="5"/>
  <c r="O109" i="5"/>
  <c r="N109" i="5"/>
  <c r="M109" i="5"/>
  <c r="L109" i="5"/>
  <c r="K109" i="5"/>
  <c r="J109" i="5"/>
  <c r="I109" i="5"/>
  <c r="H109" i="5"/>
  <c r="G109" i="5"/>
  <c r="F109" i="5"/>
  <c r="E109" i="5"/>
  <c r="D109" i="5"/>
  <c r="C109" i="5"/>
  <c r="B109" i="5"/>
  <c r="A109" i="5"/>
  <c r="BJ108" i="5"/>
  <c r="BI108" i="5"/>
  <c r="BH108" i="5"/>
  <c r="BG108" i="5"/>
  <c r="BF108" i="5"/>
  <c r="BE108" i="5"/>
  <c r="BD108" i="5"/>
  <c r="BC108" i="5"/>
  <c r="BB108" i="5"/>
  <c r="BA108" i="5"/>
  <c r="AZ108" i="5"/>
  <c r="AY108" i="5"/>
  <c r="AX108" i="5"/>
  <c r="AW108" i="5"/>
  <c r="AV108" i="5"/>
  <c r="AU108" i="5"/>
  <c r="AT108" i="5"/>
  <c r="AS108" i="5"/>
  <c r="AR108" i="5"/>
  <c r="AQ108" i="5"/>
  <c r="AP108" i="5"/>
  <c r="AO108" i="5"/>
  <c r="AN108" i="5"/>
  <c r="AM108" i="5"/>
  <c r="AL108" i="5"/>
  <c r="AK108" i="5"/>
  <c r="AJ108" i="5"/>
  <c r="AI108" i="5"/>
  <c r="AH108" i="5"/>
  <c r="AG108" i="5"/>
  <c r="AF108" i="5"/>
  <c r="AE108" i="5"/>
  <c r="AD108" i="5"/>
  <c r="AC108" i="5"/>
  <c r="AB108" i="5"/>
  <c r="AA108" i="5"/>
  <c r="Z108" i="5"/>
  <c r="Y108" i="5"/>
  <c r="X108" i="5"/>
  <c r="W108" i="5"/>
  <c r="V108" i="5"/>
  <c r="U108" i="5"/>
  <c r="T108" i="5"/>
  <c r="S108" i="5"/>
  <c r="R108" i="5"/>
  <c r="Q108" i="5"/>
  <c r="P108" i="5"/>
  <c r="O108" i="5"/>
  <c r="N108" i="5"/>
  <c r="M108" i="5"/>
  <c r="L108" i="5"/>
  <c r="K108" i="5"/>
  <c r="J108" i="5"/>
  <c r="I108" i="5"/>
  <c r="H108" i="5"/>
  <c r="G108" i="5"/>
  <c r="F108" i="5"/>
  <c r="E108" i="5"/>
  <c r="D108" i="5"/>
  <c r="C108" i="5"/>
  <c r="B108" i="5"/>
  <c r="A108"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C107" i="5"/>
  <c r="B107" i="5"/>
  <c r="A107" i="5"/>
  <c r="BJ106" i="5"/>
  <c r="BI106" i="5"/>
  <c r="BH106" i="5"/>
  <c r="BG106" i="5"/>
  <c r="BF106" i="5"/>
  <c r="BE106" i="5"/>
  <c r="BD106" i="5"/>
  <c r="BC106" i="5"/>
  <c r="BB106" i="5"/>
  <c r="BA106" i="5"/>
  <c r="AZ106" i="5"/>
  <c r="AY106" i="5"/>
  <c r="AX106" i="5"/>
  <c r="AW106" i="5"/>
  <c r="AV106" i="5"/>
  <c r="AU106" i="5"/>
  <c r="AT106" i="5"/>
  <c r="AS106" i="5"/>
  <c r="AR106" i="5"/>
  <c r="AQ106" i="5"/>
  <c r="AP106" i="5"/>
  <c r="AO106" i="5"/>
  <c r="AN106" i="5"/>
  <c r="AM106" i="5"/>
  <c r="AL106" i="5"/>
  <c r="AK106" i="5"/>
  <c r="AJ106" i="5"/>
  <c r="AI106" i="5"/>
  <c r="AH106" i="5"/>
  <c r="AG106" i="5"/>
  <c r="AF106" i="5"/>
  <c r="AE106" i="5"/>
  <c r="AD106" i="5"/>
  <c r="AC106" i="5"/>
  <c r="AB106" i="5"/>
  <c r="AA106" i="5"/>
  <c r="Z106" i="5"/>
  <c r="Y106" i="5"/>
  <c r="X106" i="5"/>
  <c r="W106" i="5"/>
  <c r="V106" i="5"/>
  <c r="U106" i="5"/>
  <c r="T106" i="5"/>
  <c r="S106" i="5"/>
  <c r="R106" i="5"/>
  <c r="Q106" i="5"/>
  <c r="P106" i="5"/>
  <c r="O106" i="5"/>
  <c r="N106" i="5"/>
  <c r="M106" i="5"/>
  <c r="L106" i="5"/>
  <c r="K106" i="5"/>
  <c r="J106" i="5"/>
  <c r="I106" i="5"/>
  <c r="H106" i="5"/>
  <c r="G106" i="5"/>
  <c r="F106" i="5"/>
  <c r="E106" i="5"/>
  <c r="D106" i="5"/>
  <c r="C106" i="5"/>
  <c r="B106" i="5"/>
  <c r="A106" i="5"/>
  <c r="BJ105" i="5"/>
  <c r="BI105" i="5"/>
  <c r="BH105" i="5"/>
  <c r="BG105" i="5"/>
  <c r="BF105" i="5"/>
  <c r="BE105" i="5"/>
  <c r="BD105" i="5"/>
  <c r="BC105" i="5"/>
  <c r="BB105" i="5"/>
  <c r="BA105" i="5"/>
  <c r="AZ105" i="5"/>
  <c r="AY105" i="5"/>
  <c r="AX105" i="5"/>
  <c r="AW105" i="5"/>
  <c r="AV105" i="5"/>
  <c r="AU105" i="5"/>
  <c r="AT105" i="5"/>
  <c r="AS105" i="5"/>
  <c r="AR105" i="5"/>
  <c r="AQ105" i="5"/>
  <c r="AP105" i="5"/>
  <c r="AO105" i="5"/>
  <c r="AN105" i="5"/>
  <c r="AM105" i="5"/>
  <c r="AL105" i="5"/>
  <c r="AK105" i="5"/>
  <c r="AJ105" i="5"/>
  <c r="AI105" i="5"/>
  <c r="AH105" i="5"/>
  <c r="AG105" i="5"/>
  <c r="AF105" i="5"/>
  <c r="AE105" i="5"/>
  <c r="AD105" i="5"/>
  <c r="AC105" i="5"/>
  <c r="AB105" i="5"/>
  <c r="AA105" i="5"/>
  <c r="Z105" i="5"/>
  <c r="Y105" i="5"/>
  <c r="X105" i="5"/>
  <c r="W105" i="5"/>
  <c r="V105" i="5"/>
  <c r="U105" i="5"/>
  <c r="T105" i="5"/>
  <c r="S105" i="5"/>
  <c r="R105" i="5"/>
  <c r="Q105" i="5"/>
  <c r="P105" i="5"/>
  <c r="O105" i="5"/>
  <c r="N105" i="5"/>
  <c r="M105" i="5"/>
  <c r="L105" i="5"/>
  <c r="K105" i="5"/>
  <c r="J105" i="5"/>
  <c r="I105" i="5"/>
  <c r="H105" i="5"/>
  <c r="G105" i="5"/>
  <c r="F105" i="5"/>
  <c r="E105" i="5"/>
  <c r="D105" i="5"/>
  <c r="C105" i="5"/>
  <c r="B105" i="5"/>
  <c r="A105" i="5"/>
  <c r="BJ104" i="5"/>
  <c r="BI104" i="5"/>
  <c r="BH104" i="5"/>
  <c r="BG104" i="5"/>
  <c r="BF104" i="5"/>
  <c r="BE104" i="5"/>
  <c r="BD104" i="5"/>
  <c r="BC104" i="5"/>
  <c r="BB104" i="5"/>
  <c r="BA104" i="5"/>
  <c r="AZ104" i="5"/>
  <c r="AY104" i="5"/>
  <c r="AX104" i="5"/>
  <c r="AW104" i="5"/>
  <c r="AV104" i="5"/>
  <c r="AU104" i="5"/>
  <c r="AT104" i="5"/>
  <c r="AS104" i="5"/>
  <c r="AR104" i="5"/>
  <c r="AQ104" i="5"/>
  <c r="AP104" i="5"/>
  <c r="AO104" i="5"/>
  <c r="AN104" i="5"/>
  <c r="AM104" i="5"/>
  <c r="AL104" i="5"/>
  <c r="AK104" i="5"/>
  <c r="AJ104" i="5"/>
  <c r="AI104" i="5"/>
  <c r="AH104" i="5"/>
  <c r="AG104" i="5"/>
  <c r="AF104" i="5"/>
  <c r="AE104" i="5"/>
  <c r="AD104" i="5"/>
  <c r="AC104" i="5"/>
  <c r="AB104" i="5"/>
  <c r="AA104" i="5"/>
  <c r="Z104" i="5"/>
  <c r="Y104" i="5"/>
  <c r="X104" i="5"/>
  <c r="W104" i="5"/>
  <c r="V104" i="5"/>
  <c r="U104" i="5"/>
  <c r="T104" i="5"/>
  <c r="S104" i="5"/>
  <c r="R104" i="5"/>
  <c r="Q104" i="5"/>
  <c r="P104" i="5"/>
  <c r="O104" i="5"/>
  <c r="N104" i="5"/>
  <c r="M104" i="5"/>
  <c r="L104" i="5"/>
  <c r="K104" i="5"/>
  <c r="J104" i="5"/>
  <c r="I104" i="5"/>
  <c r="H104" i="5"/>
  <c r="G104" i="5"/>
  <c r="F104" i="5"/>
  <c r="E104" i="5"/>
  <c r="D104" i="5"/>
  <c r="C104" i="5"/>
  <c r="B104" i="5"/>
  <c r="A104" i="5"/>
  <c r="BJ103" i="5"/>
  <c r="BI103" i="5"/>
  <c r="BH103" i="5"/>
  <c r="BG103" i="5"/>
  <c r="BF103" i="5"/>
  <c r="BE103" i="5"/>
  <c r="BD103" i="5"/>
  <c r="BC103" i="5"/>
  <c r="BB103" i="5"/>
  <c r="BA103" i="5"/>
  <c r="AZ103" i="5"/>
  <c r="AY103" i="5"/>
  <c r="AX103" i="5"/>
  <c r="AW103" i="5"/>
  <c r="AV103" i="5"/>
  <c r="AU103" i="5"/>
  <c r="AT103" i="5"/>
  <c r="AS103" i="5"/>
  <c r="AR103" i="5"/>
  <c r="AQ103" i="5"/>
  <c r="AP103" i="5"/>
  <c r="AO103" i="5"/>
  <c r="AN103" i="5"/>
  <c r="AM103" i="5"/>
  <c r="AL103" i="5"/>
  <c r="AK103" i="5"/>
  <c r="AJ103" i="5"/>
  <c r="AI103" i="5"/>
  <c r="AH103" i="5"/>
  <c r="AG103" i="5"/>
  <c r="AF103" i="5"/>
  <c r="AE103" i="5"/>
  <c r="AD103" i="5"/>
  <c r="AC103" i="5"/>
  <c r="AB103" i="5"/>
  <c r="AA103" i="5"/>
  <c r="Z103" i="5"/>
  <c r="Y103" i="5"/>
  <c r="X103" i="5"/>
  <c r="W103" i="5"/>
  <c r="V103" i="5"/>
  <c r="U103" i="5"/>
  <c r="T103" i="5"/>
  <c r="S103" i="5"/>
  <c r="R103" i="5"/>
  <c r="Q103" i="5"/>
  <c r="P103" i="5"/>
  <c r="O103" i="5"/>
  <c r="N103" i="5"/>
  <c r="M103" i="5"/>
  <c r="L103" i="5"/>
  <c r="K103" i="5"/>
  <c r="J103" i="5"/>
  <c r="I103" i="5"/>
  <c r="H103" i="5"/>
  <c r="G103" i="5"/>
  <c r="F103" i="5"/>
  <c r="E103" i="5"/>
  <c r="D103" i="5"/>
  <c r="C103" i="5"/>
  <c r="B103" i="5"/>
  <c r="A103" i="5"/>
  <c r="BJ102" i="5"/>
  <c r="BI102" i="5"/>
  <c r="BH102" i="5"/>
  <c r="BG102" i="5"/>
  <c r="BF102" i="5"/>
  <c r="BE102" i="5"/>
  <c r="BD102" i="5"/>
  <c r="BC102" i="5"/>
  <c r="BB102" i="5"/>
  <c r="BA102" i="5"/>
  <c r="AZ102" i="5"/>
  <c r="AY102" i="5"/>
  <c r="AX102" i="5"/>
  <c r="AW102" i="5"/>
  <c r="AV102" i="5"/>
  <c r="AU102" i="5"/>
  <c r="AT102" i="5"/>
  <c r="AS102" i="5"/>
  <c r="AR102" i="5"/>
  <c r="AQ102" i="5"/>
  <c r="AP102" i="5"/>
  <c r="AO102" i="5"/>
  <c r="AN102" i="5"/>
  <c r="AM102" i="5"/>
  <c r="AL102" i="5"/>
  <c r="AK102" i="5"/>
  <c r="AJ102" i="5"/>
  <c r="AI102" i="5"/>
  <c r="AH102" i="5"/>
  <c r="AG102" i="5"/>
  <c r="AF102" i="5"/>
  <c r="AE102" i="5"/>
  <c r="AD102" i="5"/>
  <c r="AC102" i="5"/>
  <c r="AB102" i="5"/>
  <c r="AA102" i="5"/>
  <c r="Z102" i="5"/>
  <c r="Y102" i="5"/>
  <c r="X102" i="5"/>
  <c r="W102" i="5"/>
  <c r="V102" i="5"/>
  <c r="U102" i="5"/>
  <c r="T102" i="5"/>
  <c r="S102" i="5"/>
  <c r="R102" i="5"/>
  <c r="Q102" i="5"/>
  <c r="P102" i="5"/>
  <c r="O102" i="5"/>
  <c r="N102" i="5"/>
  <c r="M102" i="5"/>
  <c r="L102" i="5"/>
  <c r="K102" i="5"/>
  <c r="J102" i="5"/>
  <c r="I102" i="5"/>
  <c r="H102" i="5"/>
  <c r="G102" i="5"/>
  <c r="F102" i="5"/>
  <c r="E102" i="5"/>
  <c r="D102" i="5"/>
  <c r="C102" i="5"/>
  <c r="B102" i="5"/>
  <c r="A102" i="5"/>
  <c r="BJ101" i="5"/>
  <c r="BI101" i="5"/>
  <c r="BH101" i="5"/>
  <c r="BG101" i="5"/>
  <c r="BF101" i="5"/>
  <c r="BE101" i="5"/>
  <c r="BD101" i="5"/>
  <c r="BC101" i="5"/>
  <c r="BB101" i="5"/>
  <c r="BA101" i="5"/>
  <c r="AZ101" i="5"/>
  <c r="AY101" i="5"/>
  <c r="AX101" i="5"/>
  <c r="AW101" i="5"/>
  <c r="AV101" i="5"/>
  <c r="AU101" i="5"/>
  <c r="AT101" i="5"/>
  <c r="AS101" i="5"/>
  <c r="AR101" i="5"/>
  <c r="AQ101" i="5"/>
  <c r="AP101" i="5"/>
  <c r="AO101" i="5"/>
  <c r="AN101" i="5"/>
  <c r="AM101" i="5"/>
  <c r="AL101" i="5"/>
  <c r="AK101" i="5"/>
  <c r="AJ101" i="5"/>
  <c r="AI101" i="5"/>
  <c r="AH101" i="5"/>
  <c r="AG101" i="5"/>
  <c r="AF101" i="5"/>
  <c r="AE101" i="5"/>
  <c r="AD101" i="5"/>
  <c r="AC101" i="5"/>
  <c r="AB101" i="5"/>
  <c r="AA101" i="5"/>
  <c r="Z101" i="5"/>
  <c r="Y101" i="5"/>
  <c r="X101" i="5"/>
  <c r="W101" i="5"/>
  <c r="V101" i="5"/>
  <c r="U101" i="5"/>
  <c r="T101" i="5"/>
  <c r="S101" i="5"/>
  <c r="R101" i="5"/>
  <c r="Q101" i="5"/>
  <c r="P101" i="5"/>
  <c r="O101" i="5"/>
  <c r="N101" i="5"/>
  <c r="M101" i="5"/>
  <c r="L101" i="5"/>
  <c r="K101" i="5"/>
  <c r="J101" i="5"/>
  <c r="I101" i="5"/>
  <c r="H101" i="5"/>
  <c r="G101" i="5"/>
  <c r="F101" i="5"/>
  <c r="E101" i="5"/>
  <c r="D101" i="5"/>
  <c r="C101" i="5"/>
  <c r="B101" i="5"/>
  <c r="A101" i="5"/>
  <c r="BJ100" i="5"/>
  <c r="BI100" i="5"/>
  <c r="BH100" i="5"/>
  <c r="BG100" i="5"/>
  <c r="BF100" i="5"/>
  <c r="BE100" i="5"/>
  <c r="BD100" i="5"/>
  <c r="BC100" i="5"/>
  <c r="BB100" i="5"/>
  <c r="BA100" i="5"/>
  <c r="AZ100" i="5"/>
  <c r="AY100" i="5"/>
  <c r="AX100" i="5"/>
  <c r="AW100" i="5"/>
  <c r="AV100" i="5"/>
  <c r="AU100" i="5"/>
  <c r="AT100" i="5"/>
  <c r="AS100" i="5"/>
  <c r="AR100" i="5"/>
  <c r="AQ100" i="5"/>
  <c r="AP100" i="5"/>
  <c r="AO100" i="5"/>
  <c r="AN100" i="5"/>
  <c r="AM100" i="5"/>
  <c r="AL100"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B100" i="5"/>
  <c r="A100" i="5"/>
  <c r="BJ99" i="5"/>
  <c r="BI99" i="5"/>
  <c r="BH99" i="5"/>
  <c r="BG99" i="5"/>
  <c r="BF99" i="5"/>
  <c r="BE99" i="5"/>
  <c r="BD99" i="5"/>
  <c r="BC99" i="5"/>
  <c r="BB99" i="5"/>
  <c r="BA99" i="5"/>
  <c r="AZ99" i="5"/>
  <c r="AY99" i="5"/>
  <c r="AX99" i="5"/>
  <c r="AW99" i="5"/>
  <c r="AV99" i="5"/>
  <c r="AU99" i="5"/>
  <c r="AT99" i="5"/>
  <c r="AS99" i="5"/>
  <c r="AR99" i="5"/>
  <c r="AQ99" i="5"/>
  <c r="AP99" i="5"/>
  <c r="AO99" i="5"/>
  <c r="AN99" i="5"/>
  <c r="AM99" i="5"/>
  <c r="AL99" i="5"/>
  <c r="AK99" i="5"/>
  <c r="AJ99" i="5"/>
  <c r="AI99" i="5"/>
  <c r="AH99" i="5"/>
  <c r="AG99" i="5"/>
  <c r="AF99" i="5"/>
  <c r="AE99" i="5"/>
  <c r="AD99" i="5"/>
  <c r="AC99" i="5"/>
  <c r="AB99" i="5"/>
  <c r="AA99" i="5"/>
  <c r="Z99" i="5"/>
  <c r="Y99" i="5"/>
  <c r="X99" i="5"/>
  <c r="W99" i="5"/>
  <c r="V99" i="5"/>
  <c r="U99" i="5"/>
  <c r="T99" i="5"/>
  <c r="S99" i="5"/>
  <c r="R99" i="5"/>
  <c r="Q99" i="5"/>
  <c r="P99" i="5"/>
  <c r="O99" i="5"/>
  <c r="N99" i="5"/>
  <c r="M99" i="5"/>
  <c r="L99" i="5"/>
  <c r="K99" i="5"/>
  <c r="J99" i="5"/>
  <c r="I99" i="5"/>
  <c r="H99" i="5"/>
  <c r="G99" i="5"/>
  <c r="F99" i="5"/>
  <c r="E99" i="5"/>
  <c r="D99" i="5"/>
  <c r="C99" i="5"/>
  <c r="B99" i="5"/>
  <c r="A99" i="5"/>
  <c r="BJ98" i="5"/>
  <c r="BI98" i="5"/>
  <c r="BH98" i="5"/>
  <c r="BG98" i="5"/>
  <c r="BF98" i="5"/>
  <c r="BE98" i="5"/>
  <c r="BD98" i="5"/>
  <c r="BC98" i="5"/>
  <c r="BB98" i="5"/>
  <c r="BA98" i="5"/>
  <c r="AZ98" i="5"/>
  <c r="AY98" i="5"/>
  <c r="AX98" i="5"/>
  <c r="AW98" i="5"/>
  <c r="AV98" i="5"/>
  <c r="AU98" i="5"/>
  <c r="AT98" i="5"/>
  <c r="AS98" i="5"/>
  <c r="AR98" i="5"/>
  <c r="AQ98" i="5"/>
  <c r="AP98" i="5"/>
  <c r="AO98" i="5"/>
  <c r="AN98" i="5"/>
  <c r="AM98" i="5"/>
  <c r="AL98" i="5"/>
  <c r="AK98" i="5"/>
  <c r="AJ98" i="5"/>
  <c r="AI98" i="5"/>
  <c r="AH98" i="5"/>
  <c r="AG98" i="5"/>
  <c r="AF98" i="5"/>
  <c r="AE98" i="5"/>
  <c r="AD98" i="5"/>
  <c r="AC98" i="5"/>
  <c r="AB98" i="5"/>
  <c r="AA98" i="5"/>
  <c r="Z98" i="5"/>
  <c r="Y98" i="5"/>
  <c r="X98" i="5"/>
  <c r="W98" i="5"/>
  <c r="V98" i="5"/>
  <c r="U98" i="5"/>
  <c r="T98" i="5"/>
  <c r="S98" i="5"/>
  <c r="R98" i="5"/>
  <c r="Q98" i="5"/>
  <c r="P98" i="5"/>
  <c r="O98" i="5"/>
  <c r="N98" i="5"/>
  <c r="M98" i="5"/>
  <c r="L98" i="5"/>
  <c r="K98" i="5"/>
  <c r="J98" i="5"/>
  <c r="I98" i="5"/>
  <c r="H98" i="5"/>
  <c r="G98" i="5"/>
  <c r="F98" i="5"/>
  <c r="E98" i="5"/>
  <c r="D98" i="5"/>
  <c r="C98" i="5"/>
  <c r="B98" i="5"/>
  <c r="A98" i="5"/>
  <c r="BJ97" i="5"/>
  <c r="BI97" i="5"/>
  <c r="BH97" i="5"/>
  <c r="BG97" i="5"/>
  <c r="BF97" i="5"/>
  <c r="BE97" i="5"/>
  <c r="BD97" i="5"/>
  <c r="BC97" i="5"/>
  <c r="BB97" i="5"/>
  <c r="BA97" i="5"/>
  <c r="AZ97" i="5"/>
  <c r="AY97" i="5"/>
  <c r="AX97" i="5"/>
  <c r="AW97" i="5"/>
  <c r="AV97" i="5"/>
  <c r="AU97" i="5"/>
  <c r="AT97" i="5"/>
  <c r="AS97" i="5"/>
  <c r="AR97" i="5"/>
  <c r="AQ97" i="5"/>
  <c r="AP97" i="5"/>
  <c r="AO97" i="5"/>
  <c r="AN97" i="5"/>
  <c r="AM97" i="5"/>
  <c r="AL97" i="5"/>
  <c r="AK97" i="5"/>
  <c r="AJ97" i="5"/>
  <c r="AI97" i="5"/>
  <c r="AH97" i="5"/>
  <c r="AG97" i="5"/>
  <c r="AF97" i="5"/>
  <c r="AE97" i="5"/>
  <c r="AD97" i="5"/>
  <c r="AC97" i="5"/>
  <c r="AB97" i="5"/>
  <c r="AA97" i="5"/>
  <c r="Z97" i="5"/>
  <c r="Y97" i="5"/>
  <c r="X97" i="5"/>
  <c r="W97" i="5"/>
  <c r="V97" i="5"/>
  <c r="U97" i="5"/>
  <c r="T97" i="5"/>
  <c r="S97" i="5"/>
  <c r="R97" i="5"/>
  <c r="Q97" i="5"/>
  <c r="P97" i="5"/>
  <c r="O97" i="5"/>
  <c r="N97" i="5"/>
  <c r="M97" i="5"/>
  <c r="L97" i="5"/>
  <c r="K97" i="5"/>
  <c r="J97" i="5"/>
  <c r="I97" i="5"/>
  <c r="H97" i="5"/>
  <c r="G97" i="5"/>
  <c r="F97" i="5"/>
  <c r="E97" i="5"/>
  <c r="D97" i="5"/>
  <c r="C97" i="5"/>
  <c r="B97" i="5"/>
  <c r="A97" i="5"/>
  <c r="BJ96" i="5"/>
  <c r="BI96" i="5"/>
  <c r="BH96" i="5"/>
  <c r="BG96" i="5"/>
  <c r="BF96" i="5"/>
  <c r="BE96" i="5"/>
  <c r="BD96" i="5"/>
  <c r="BC96" i="5"/>
  <c r="BB96" i="5"/>
  <c r="BA96" i="5"/>
  <c r="AZ96" i="5"/>
  <c r="AY96" i="5"/>
  <c r="AX96" i="5"/>
  <c r="AW96" i="5"/>
  <c r="AV96" i="5"/>
  <c r="AU96" i="5"/>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M96" i="5"/>
  <c r="L96" i="5"/>
  <c r="K96" i="5"/>
  <c r="J96" i="5"/>
  <c r="I96" i="5"/>
  <c r="H96" i="5"/>
  <c r="G96" i="5"/>
  <c r="F96" i="5"/>
  <c r="E96" i="5"/>
  <c r="D96" i="5"/>
  <c r="C96" i="5"/>
  <c r="B96" i="5"/>
  <c r="A96" i="5"/>
  <c r="BJ95" i="5"/>
  <c r="BI95" i="5"/>
  <c r="BH95" i="5"/>
  <c r="BG95" i="5"/>
  <c r="BF95" i="5"/>
  <c r="BE95" i="5"/>
  <c r="BD95" i="5"/>
  <c r="BC95" i="5"/>
  <c r="BB95" i="5"/>
  <c r="BA95" i="5"/>
  <c r="AZ95" i="5"/>
  <c r="AY95" i="5"/>
  <c r="AX95" i="5"/>
  <c r="AW95"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M95" i="5"/>
  <c r="L95" i="5"/>
  <c r="K95" i="5"/>
  <c r="J95" i="5"/>
  <c r="I95" i="5"/>
  <c r="H95" i="5"/>
  <c r="G95" i="5"/>
  <c r="F95" i="5"/>
  <c r="E95" i="5"/>
  <c r="D95" i="5"/>
  <c r="C95" i="5"/>
  <c r="B95" i="5"/>
  <c r="A95" i="5"/>
  <c r="BJ94" i="5"/>
  <c r="BI94" i="5"/>
  <c r="BH94" i="5"/>
  <c r="BG94" i="5"/>
  <c r="BF94" i="5"/>
  <c r="BE94" i="5"/>
  <c r="BD94" i="5"/>
  <c r="BC94" i="5"/>
  <c r="BB94" i="5"/>
  <c r="BA94" i="5"/>
  <c r="AZ94" i="5"/>
  <c r="AY94" i="5"/>
  <c r="AX94" i="5"/>
  <c r="AW94"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4" i="5"/>
  <c r="B94" i="5"/>
  <c r="A94" i="5"/>
  <c r="BJ93" i="5"/>
  <c r="BI93" i="5"/>
  <c r="BH93" i="5"/>
  <c r="BG93" i="5"/>
  <c r="BF93" i="5"/>
  <c r="BE93" i="5"/>
  <c r="BD93" i="5"/>
  <c r="BC93" i="5"/>
  <c r="BB93" i="5"/>
  <c r="BA93" i="5"/>
  <c r="AZ93" i="5"/>
  <c r="AY93" i="5"/>
  <c r="AX93" i="5"/>
  <c r="AW93" i="5"/>
  <c r="AV93" i="5"/>
  <c r="AU93" i="5"/>
  <c r="AT93" i="5"/>
  <c r="AS93" i="5"/>
  <c r="AR93" i="5"/>
  <c r="AQ93" i="5"/>
  <c r="AP93" i="5"/>
  <c r="AO93"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M93" i="5"/>
  <c r="L93" i="5"/>
  <c r="K93" i="5"/>
  <c r="J93" i="5"/>
  <c r="I93" i="5"/>
  <c r="H93" i="5"/>
  <c r="G93" i="5"/>
  <c r="F93" i="5"/>
  <c r="E93" i="5"/>
  <c r="D93" i="5"/>
  <c r="C93" i="5"/>
  <c r="B93" i="5"/>
  <c r="A93" i="5"/>
  <c r="BJ92" i="5"/>
  <c r="BI92" i="5"/>
  <c r="BH92" i="5"/>
  <c r="BG92" i="5"/>
  <c r="BF92" i="5"/>
  <c r="BE92" i="5"/>
  <c r="BD92" i="5"/>
  <c r="BC92" i="5"/>
  <c r="BB92" i="5"/>
  <c r="BA92" i="5"/>
  <c r="AZ92" i="5"/>
  <c r="AY92" i="5"/>
  <c r="AX92" i="5"/>
  <c r="AW92" i="5"/>
  <c r="AV92" i="5"/>
  <c r="AU92" i="5"/>
  <c r="AT92" i="5"/>
  <c r="AS92" i="5"/>
  <c r="AR92" i="5"/>
  <c r="AQ92" i="5"/>
  <c r="AP92" i="5"/>
  <c r="AO92" i="5"/>
  <c r="AN92" i="5"/>
  <c r="AM92" i="5"/>
  <c r="AL92" i="5"/>
  <c r="AK92" i="5"/>
  <c r="AJ92" i="5"/>
  <c r="AI92" i="5"/>
  <c r="AH92" i="5"/>
  <c r="AG92" i="5"/>
  <c r="AF92" i="5"/>
  <c r="AE92" i="5"/>
  <c r="AD92" i="5"/>
  <c r="AC92" i="5"/>
  <c r="AB92" i="5"/>
  <c r="AA92" i="5"/>
  <c r="Z92" i="5"/>
  <c r="Y92" i="5"/>
  <c r="X92" i="5"/>
  <c r="W92" i="5"/>
  <c r="V92" i="5"/>
  <c r="U92" i="5"/>
  <c r="T92" i="5"/>
  <c r="S92" i="5"/>
  <c r="R92" i="5"/>
  <c r="Q92" i="5"/>
  <c r="P92" i="5"/>
  <c r="O92" i="5"/>
  <c r="N92" i="5"/>
  <c r="M92" i="5"/>
  <c r="L92" i="5"/>
  <c r="K92" i="5"/>
  <c r="J92" i="5"/>
  <c r="I92" i="5"/>
  <c r="H92" i="5"/>
  <c r="G92" i="5"/>
  <c r="F92" i="5"/>
  <c r="E92" i="5"/>
  <c r="D92" i="5"/>
  <c r="C92" i="5"/>
  <c r="B92" i="5"/>
  <c r="A92" i="5"/>
  <c r="BJ91" i="5"/>
  <c r="BI91" i="5"/>
  <c r="BH91" i="5"/>
  <c r="BG91" i="5"/>
  <c r="BF91" i="5"/>
  <c r="BE91" i="5"/>
  <c r="BD91" i="5"/>
  <c r="BC91" i="5"/>
  <c r="BB91" i="5"/>
  <c r="BA91" i="5"/>
  <c r="AZ91" i="5"/>
  <c r="AY91" i="5"/>
  <c r="AX91" i="5"/>
  <c r="AW91" i="5"/>
  <c r="AV91" i="5"/>
  <c r="AU91" i="5"/>
  <c r="AT91" i="5"/>
  <c r="AS91" i="5"/>
  <c r="AR91" i="5"/>
  <c r="AQ91" i="5"/>
  <c r="AP91" i="5"/>
  <c r="AO91" i="5"/>
  <c r="AN91" i="5"/>
  <c r="AM91" i="5"/>
  <c r="AL91" i="5"/>
  <c r="AK91" i="5"/>
  <c r="AJ91" i="5"/>
  <c r="AI91" i="5"/>
  <c r="AH91" i="5"/>
  <c r="AG91" i="5"/>
  <c r="AF91" i="5"/>
  <c r="AE91" i="5"/>
  <c r="AD91" i="5"/>
  <c r="AC91" i="5"/>
  <c r="AB91" i="5"/>
  <c r="AA91" i="5"/>
  <c r="Z91" i="5"/>
  <c r="Y91" i="5"/>
  <c r="X91" i="5"/>
  <c r="W91" i="5"/>
  <c r="V91" i="5"/>
  <c r="U91" i="5"/>
  <c r="T91" i="5"/>
  <c r="S91" i="5"/>
  <c r="R91" i="5"/>
  <c r="Q91" i="5"/>
  <c r="P91" i="5"/>
  <c r="O91" i="5"/>
  <c r="N91" i="5"/>
  <c r="M91" i="5"/>
  <c r="L91" i="5"/>
  <c r="K91" i="5"/>
  <c r="J91" i="5"/>
  <c r="I91" i="5"/>
  <c r="H91" i="5"/>
  <c r="G91" i="5"/>
  <c r="F91" i="5"/>
  <c r="E91" i="5"/>
  <c r="D91" i="5"/>
  <c r="C91" i="5"/>
  <c r="B91" i="5"/>
  <c r="A91" i="5"/>
  <c r="BJ90" i="5"/>
  <c r="BI90" i="5"/>
  <c r="BH90" i="5"/>
  <c r="BG90" i="5"/>
  <c r="BF90" i="5"/>
  <c r="BE90" i="5"/>
  <c r="BD90" i="5"/>
  <c r="BC90" i="5"/>
  <c r="BB90" i="5"/>
  <c r="BA90" i="5"/>
  <c r="AZ90" i="5"/>
  <c r="AY90" i="5"/>
  <c r="AX90" i="5"/>
  <c r="AW90" i="5"/>
  <c r="AV90" i="5"/>
  <c r="AU90" i="5"/>
  <c r="AT90" i="5"/>
  <c r="AS90" i="5"/>
  <c r="AR90" i="5"/>
  <c r="AQ90" i="5"/>
  <c r="AP90" i="5"/>
  <c r="AO90" i="5"/>
  <c r="AN90" i="5"/>
  <c r="AM90" i="5"/>
  <c r="AL90" i="5"/>
  <c r="AK90" i="5"/>
  <c r="AJ90" i="5"/>
  <c r="AI90" i="5"/>
  <c r="AH90" i="5"/>
  <c r="AG90" i="5"/>
  <c r="AF90" i="5"/>
  <c r="AE90" i="5"/>
  <c r="AD90" i="5"/>
  <c r="AC90" i="5"/>
  <c r="AB90" i="5"/>
  <c r="AA90" i="5"/>
  <c r="Z90" i="5"/>
  <c r="Y90" i="5"/>
  <c r="X90" i="5"/>
  <c r="W90" i="5"/>
  <c r="V90" i="5"/>
  <c r="U90" i="5"/>
  <c r="T90" i="5"/>
  <c r="S90" i="5"/>
  <c r="R90" i="5"/>
  <c r="Q90" i="5"/>
  <c r="P90" i="5"/>
  <c r="O90" i="5"/>
  <c r="N90" i="5"/>
  <c r="M90" i="5"/>
  <c r="L90" i="5"/>
  <c r="K90" i="5"/>
  <c r="J90" i="5"/>
  <c r="I90" i="5"/>
  <c r="H90" i="5"/>
  <c r="G90" i="5"/>
  <c r="F90" i="5"/>
  <c r="E90" i="5"/>
  <c r="D90" i="5"/>
  <c r="C90" i="5"/>
  <c r="B90" i="5"/>
  <c r="A90" i="5"/>
  <c r="BJ89" i="5"/>
  <c r="BI89" i="5"/>
  <c r="BH89" i="5"/>
  <c r="BG89" i="5"/>
  <c r="BF89" i="5"/>
  <c r="BE89" i="5"/>
  <c r="BD89" i="5"/>
  <c r="BC89" i="5"/>
  <c r="BB89" i="5"/>
  <c r="BA89" i="5"/>
  <c r="AZ89" i="5"/>
  <c r="AY89" i="5"/>
  <c r="AX89" i="5"/>
  <c r="AW89" i="5"/>
  <c r="AV89" i="5"/>
  <c r="AU89" i="5"/>
  <c r="AT89" i="5"/>
  <c r="AS89" i="5"/>
  <c r="AR89" i="5"/>
  <c r="AQ89" i="5"/>
  <c r="AP89" i="5"/>
  <c r="AO89" i="5"/>
  <c r="AN89" i="5"/>
  <c r="AM89" i="5"/>
  <c r="AL89" i="5"/>
  <c r="AK89" i="5"/>
  <c r="AJ89" i="5"/>
  <c r="AI89" i="5"/>
  <c r="AH89" i="5"/>
  <c r="AG89" i="5"/>
  <c r="AF89" i="5"/>
  <c r="AE89" i="5"/>
  <c r="AD89" i="5"/>
  <c r="AC89" i="5"/>
  <c r="AB89" i="5"/>
  <c r="AA89" i="5"/>
  <c r="Z89" i="5"/>
  <c r="Y89" i="5"/>
  <c r="X89" i="5"/>
  <c r="W89" i="5"/>
  <c r="V89" i="5"/>
  <c r="U89" i="5"/>
  <c r="T89" i="5"/>
  <c r="S89" i="5"/>
  <c r="R89" i="5"/>
  <c r="Q89" i="5"/>
  <c r="P89" i="5"/>
  <c r="O89" i="5"/>
  <c r="N89" i="5"/>
  <c r="M89" i="5"/>
  <c r="L89" i="5"/>
  <c r="K89" i="5"/>
  <c r="J89" i="5"/>
  <c r="I89" i="5"/>
  <c r="H89" i="5"/>
  <c r="G89" i="5"/>
  <c r="F89" i="5"/>
  <c r="E89" i="5"/>
  <c r="D89" i="5"/>
  <c r="C89" i="5"/>
  <c r="B89" i="5"/>
  <c r="A89" i="5"/>
  <c r="BJ88" i="5"/>
  <c r="BI88" i="5"/>
  <c r="BH88" i="5"/>
  <c r="BG88" i="5"/>
  <c r="BF88" i="5"/>
  <c r="BE88" i="5"/>
  <c r="BD88" i="5"/>
  <c r="BC88" i="5"/>
  <c r="BB88" i="5"/>
  <c r="BA88" i="5"/>
  <c r="AZ88" i="5"/>
  <c r="AY88" i="5"/>
  <c r="AX88" i="5"/>
  <c r="AW88" i="5"/>
  <c r="AV88" i="5"/>
  <c r="AU88" i="5"/>
  <c r="AT88" i="5"/>
  <c r="AS88" i="5"/>
  <c r="AR88" i="5"/>
  <c r="AQ88" i="5"/>
  <c r="AP88" i="5"/>
  <c r="AO88" i="5"/>
  <c r="AN88" i="5"/>
  <c r="AM88" i="5"/>
  <c r="AL88" i="5"/>
  <c r="AK88" i="5"/>
  <c r="AJ88" i="5"/>
  <c r="AI88" i="5"/>
  <c r="AH88" i="5"/>
  <c r="AG88" i="5"/>
  <c r="AF88" i="5"/>
  <c r="AE88" i="5"/>
  <c r="AD88" i="5"/>
  <c r="AC88" i="5"/>
  <c r="AB88" i="5"/>
  <c r="AA88" i="5"/>
  <c r="Z88" i="5"/>
  <c r="Y88" i="5"/>
  <c r="X88" i="5"/>
  <c r="W88" i="5"/>
  <c r="V88" i="5"/>
  <c r="U88" i="5"/>
  <c r="T88" i="5"/>
  <c r="S88" i="5"/>
  <c r="R88" i="5"/>
  <c r="Q88" i="5"/>
  <c r="P88" i="5"/>
  <c r="O88" i="5"/>
  <c r="N88" i="5"/>
  <c r="M88" i="5"/>
  <c r="L88" i="5"/>
  <c r="K88" i="5"/>
  <c r="J88" i="5"/>
  <c r="I88" i="5"/>
  <c r="H88" i="5"/>
  <c r="G88" i="5"/>
  <c r="F88" i="5"/>
  <c r="E88" i="5"/>
  <c r="D88" i="5"/>
  <c r="C88" i="5"/>
  <c r="B88" i="5"/>
  <c r="A88" i="5"/>
  <c r="BJ87" i="5"/>
  <c r="BI87" i="5"/>
  <c r="BH87" i="5"/>
  <c r="BG87" i="5"/>
  <c r="BF87" i="5"/>
  <c r="BE87" i="5"/>
  <c r="BD87" i="5"/>
  <c r="BC87" i="5"/>
  <c r="BB87" i="5"/>
  <c r="BA87" i="5"/>
  <c r="AZ87" i="5"/>
  <c r="AY87" i="5"/>
  <c r="AX87" i="5"/>
  <c r="AW87" i="5"/>
  <c r="AV87" i="5"/>
  <c r="AU87" i="5"/>
  <c r="AT87" i="5"/>
  <c r="AS87" i="5"/>
  <c r="AR87" i="5"/>
  <c r="AQ87" i="5"/>
  <c r="AP87" i="5"/>
  <c r="AO87" i="5"/>
  <c r="AN87" i="5"/>
  <c r="AM87" i="5"/>
  <c r="AL87" i="5"/>
  <c r="AK87" i="5"/>
  <c r="AJ87" i="5"/>
  <c r="AI87" i="5"/>
  <c r="AH87" i="5"/>
  <c r="AG87" i="5"/>
  <c r="AF87" i="5"/>
  <c r="AE87" i="5"/>
  <c r="AD87" i="5"/>
  <c r="AC87" i="5"/>
  <c r="AB87" i="5"/>
  <c r="AA87" i="5"/>
  <c r="Z87" i="5"/>
  <c r="Y87" i="5"/>
  <c r="X87" i="5"/>
  <c r="W87" i="5"/>
  <c r="V87" i="5"/>
  <c r="U87" i="5"/>
  <c r="T87" i="5"/>
  <c r="S87" i="5"/>
  <c r="R87" i="5"/>
  <c r="Q87" i="5"/>
  <c r="P87" i="5"/>
  <c r="O87" i="5"/>
  <c r="N87" i="5"/>
  <c r="M87" i="5"/>
  <c r="L87" i="5"/>
  <c r="K87" i="5"/>
  <c r="J87" i="5"/>
  <c r="I87" i="5"/>
  <c r="H87" i="5"/>
  <c r="G87" i="5"/>
  <c r="F87" i="5"/>
  <c r="E87" i="5"/>
  <c r="D87" i="5"/>
  <c r="C87" i="5"/>
  <c r="B87" i="5"/>
  <c r="A87" i="5"/>
  <c r="BJ86" i="5"/>
  <c r="BI86" i="5"/>
  <c r="BH86" i="5"/>
  <c r="BG86" i="5"/>
  <c r="BF86"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W86" i="5"/>
  <c r="V86" i="5"/>
  <c r="U86" i="5"/>
  <c r="T86" i="5"/>
  <c r="S86" i="5"/>
  <c r="R86" i="5"/>
  <c r="Q86" i="5"/>
  <c r="P86" i="5"/>
  <c r="O86" i="5"/>
  <c r="N86" i="5"/>
  <c r="M86" i="5"/>
  <c r="L86" i="5"/>
  <c r="K86" i="5"/>
  <c r="J86" i="5"/>
  <c r="I86" i="5"/>
  <c r="H86" i="5"/>
  <c r="G86" i="5"/>
  <c r="F86" i="5"/>
  <c r="E86" i="5"/>
  <c r="D86" i="5"/>
  <c r="C86" i="5"/>
  <c r="B86" i="5"/>
  <c r="A86" i="5"/>
  <c r="BJ85" i="5"/>
  <c r="BI85" i="5"/>
  <c r="BH85" i="5"/>
  <c r="BG85" i="5"/>
  <c r="BF85" i="5"/>
  <c r="BE85" i="5"/>
  <c r="BD85" i="5"/>
  <c r="BC85" i="5"/>
  <c r="BB85" i="5"/>
  <c r="BA85" i="5"/>
  <c r="AZ85" i="5"/>
  <c r="AY85" i="5"/>
  <c r="AX85" i="5"/>
  <c r="AW85" i="5"/>
  <c r="AV85" i="5"/>
  <c r="AU85" i="5"/>
  <c r="AT85" i="5"/>
  <c r="AS85" i="5"/>
  <c r="AR85" i="5"/>
  <c r="AQ85" i="5"/>
  <c r="AP85" i="5"/>
  <c r="AO85" i="5"/>
  <c r="AN85" i="5"/>
  <c r="AM85" i="5"/>
  <c r="AL85" i="5"/>
  <c r="AK85" i="5"/>
  <c r="AJ85" i="5"/>
  <c r="AI85" i="5"/>
  <c r="AH85" i="5"/>
  <c r="AG85" i="5"/>
  <c r="AF85" i="5"/>
  <c r="AE85" i="5"/>
  <c r="AD85" i="5"/>
  <c r="AC85" i="5"/>
  <c r="AB85" i="5"/>
  <c r="AA85" i="5"/>
  <c r="Z85" i="5"/>
  <c r="Y85" i="5"/>
  <c r="X85" i="5"/>
  <c r="W85" i="5"/>
  <c r="V85" i="5"/>
  <c r="U85" i="5"/>
  <c r="T85" i="5"/>
  <c r="S85" i="5"/>
  <c r="R85" i="5"/>
  <c r="Q85" i="5"/>
  <c r="P85" i="5"/>
  <c r="O85" i="5"/>
  <c r="N85" i="5"/>
  <c r="M85" i="5"/>
  <c r="L85" i="5"/>
  <c r="K85" i="5"/>
  <c r="J85" i="5"/>
  <c r="I85" i="5"/>
  <c r="H85" i="5"/>
  <c r="G85" i="5"/>
  <c r="F85" i="5"/>
  <c r="E85" i="5"/>
  <c r="D85" i="5"/>
  <c r="C85" i="5"/>
  <c r="B85" i="5"/>
  <c r="A85" i="5"/>
  <c r="BJ84" i="5"/>
  <c r="BI84" i="5"/>
  <c r="BH84" i="5"/>
  <c r="BG84" i="5"/>
  <c r="BF84" i="5"/>
  <c r="BE84" i="5"/>
  <c r="BD84" i="5"/>
  <c r="BC84" i="5"/>
  <c r="BB84" i="5"/>
  <c r="BA84" i="5"/>
  <c r="AZ84" i="5"/>
  <c r="AY84" i="5"/>
  <c r="AX84" i="5"/>
  <c r="AW84" i="5"/>
  <c r="AV84" i="5"/>
  <c r="AU84" i="5"/>
  <c r="AT84" i="5"/>
  <c r="AS84" i="5"/>
  <c r="AR84" i="5"/>
  <c r="AQ84" i="5"/>
  <c r="AP84" i="5"/>
  <c r="AO84" i="5"/>
  <c r="AN84"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B84" i="5"/>
  <c r="A84" i="5"/>
  <c r="BJ83" i="5"/>
  <c r="BI83" i="5"/>
  <c r="BH83" i="5"/>
  <c r="BG83" i="5"/>
  <c r="BF83" i="5"/>
  <c r="BE83" i="5"/>
  <c r="BD83" i="5"/>
  <c r="BC83" i="5"/>
  <c r="BB83" i="5"/>
  <c r="BA83" i="5"/>
  <c r="AZ83" i="5"/>
  <c r="AY83" i="5"/>
  <c r="AX83" i="5"/>
  <c r="AW83" i="5"/>
  <c r="AV83" i="5"/>
  <c r="AU83" i="5"/>
  <c r="AT83" i="5"/>
  <c r="AS83" i="5"/>
  <c r="AR83" i="5"/>
  <c r="AQ83" i="5"/>
  <c r="AP83" i="5"/>
  <c r="AO83" i="5"/>
  <c r="AN83" i="5"/>
  <c r="AM83" i="5"/>
  <c r="AL83" i="5"/>
  <c r="AK83" i="5"/>
  <c r="AJ83" i="5"/>
  <c r="AI83" i="5"/>
  <c r="AH83" i="5"/>
  <c r="AG83" i="5"/>
  <c r="AF83" i="5"/>
  <c r="AE83" i="5"/>
  <c r="AD83" i="5"/>
  <c r="AC83" i="5"/>
  <c r="AB83" i="5"/>
  <c r="AA83" i="5"/>
  <c r="Z83" i="5"/>
  <c r="Y83" i="5"/>
  <c r="X83" i="5"/>
  <c r="W83" i="5"/>
  <c r="V83" i="5"/>
  <c r="U83" i="5"/>
  <c r="T83" i="5"/>
  <c r="S83" i="5"/>
  <c r="R83" i="5"/>
  <c r="Q83" i="5"/>
  <c r="P83" i="5"/>
  <c r="O83" i="5"/>
  <c r="N83" i="5"/>
  <c r="M83" i="5"/>
  <c r="L83" i="5"/>
  <c r="K83" i="5"/>
  <c r="J83" i="5"/>
  <c r="I83" i="5"/>
  <c r="H83" i="5"/>
  <c r="G83" i="5"/>
  <c r="F83" i="5"/>
  <c r="E83" i="5"/>
  <c r="D83" i="5"/>
  <c r="C83" i="5"/>
  <c r="B83" i="5"/>
  <c r="A83" i="5"/>
  <c r="BJ82" i="5"/>
  <c r="BI82" i="5"/>
  <c r="BH82" i="5"/>
  <c r="BG82" i="5"/>
  <c r="BF82" i="5"/>
  <c r="BE82" i="5"/>
  <c r="BD82" i="5"/>
  <c r="BC82" i="5"/>
  <c r="BB82" i="5"/>
  <c r="BA82" i="5"/>
  <c r="AZ82" i="5"/>
  <c r="AY82" i="5"/>
  <c r="AX82" i="5"/>
  <c r="AW82" i="5"/>
  <c r="AV82" i="5"/>
  <c r="AU82" i="5"/>
  <c r="AT82" i="5"/>
  <c r="AS82" i="5"/>
  <c r="AR82" i="5"/>
  <c r="AQ82" i="5"/>
  <c r="AP82" i="5"/>
  <c r="AO82" i="5"/>
  <c r="AN82" i="5"/>
  <c r="AM82" i="5"/>
  <c r="AL82"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B82" i="5"/>
  <c r="A82" i="5"/>
  <c r="BJ81" i="5"/>
  <c r="BI81" i="5"/>
  <c r="BH81" i="5"/>
  <c r="BG81" i="5"/>
  <c r="BF81" i="5"/>
  <c r="BE81" i="5"/>
  <c r="BD81" i="5"/>
  <c r="BC81" i="5"/>
  <c r="BB81" i="5"/>
  <c r="BA81" i="5"/>
  <c r="AZ81" i="5"/>
  <c r="AY81" i="5"/>
  <c r="AX81" i="5"/>
  <c r="AW81" i="5"/>
  <c r="AV81" i="5"/>
  <c r="AU81" i="5"/>
  <c r="AT81" i="5"/>
  <c r="AS81" i="5"/>
  <c r="AR81" i="5"/>
  <c r="AQ81" i="5"/>
  <c r="AP81" i="5"/>
  <c r="AO81" i="5"/>
  <c r="AN81" i="5"/>
  <c r="AM81" i="5"/>
  <c r="AL81" i="5"/>
  <c r="AK81" i="5"/>
  <c r="AJ81" i="5"/>
  <c r="AI81" i="5"/>
  <c r="AH81" i="5"/>
  <c r="AG81" i="5"/>
  <c r="AF81" i="5"/>
  <c r="AE81" i="5"/>
  <c r="AD81" i="5"/>
  <c r="AC81" i="5"/>
  <c r="AB81" i="5"/>
  <c r="AA81" i="5"/>
  <c r="Z81" i="5"/>
  <c r="Y81" i="5"/>
  <c r="X81" i="5"/>
  <c r="W81" i="5"/>
  <c r="V81" i="5"/>
  <c r="U81" i="5"/>
  <c r="T81" i="5"/>
  <c r="S81" i="5"/>
  <c r="R81" i="5"/>
  <c r="Q81" i="5"/>
  <c r="P81" i="5"/>
  <c r="O81" i="5"/>
  <c r="N81" i="5"/>
  <c r="M81" i="5"/>
  <c r="L81" i="5"/>
  <c r="K81" i="5"/>
  <c r="J81" i="5"/>
  <c r="I81" i="5"/>
  <c r="H81" i="5"/>
  <c r="G81" i="5"/>
  <c r="F81" i="5"/>
  <c r="E81" i="5"/>
  <c r="D81" i="5"/>
  <c r="C81" i="5"/>
  <c r="B81" i="5"/>
  <c r="A81" i="5"/>
  <c r="BJ80" i="5"/>
  <c r="BI80" i="5"/>
  <c r="BH80" i="5"/>
  <c r="BG80" i="5"/>
  <c r="BF80" i="5"/>
  <c r="BE80" i="5"/>
  <c r="BD80" i="5"/>
  <c r="BC80" i="5"/>
  <c r="BB80" i="5"/>
  <c r="BA80" i="5"/>
  <c r="AZ80" i="5"/>
  <c r="AY80" i="5"/>
  <c r="AX80" i="5"/>
  <c r="AW80" i="5"/>
  <c r="AV80" i="5"/>
  <c r="AU80" i="5"/>
  <c r="AT80" i="5"/>
  <c r="AS80" i="5"/>
  <c r="AR80" i="5"/>
  <c r="AQ80" i="5"/>
  <c r="AP80" i="5"/>
  <c r="AO80" i="5"/>
  <c r="AN80" i="5"/>
  <c r="AM80" i="5"/>
  <c r="AL80" i="5"/>
  <c r="AK80" i="5"/>
  <c r="AJ80" i="5"/>
  <c r="AI80" i="5"/>
  <c r="AH80" i="5"/>
  <c r="AG80" i="5"/>
  <c r="AF80" i="5"/>
  <c r="AE80" i="5"/>
  <c r="AD80" i="5"/>
  <c r="AC80" i="5"/>
  <c r="AB80" i="5"/>
  <c r="AA80" i="5"/>
  <c r="Z80" i="5"/>
  <c r="Y80" i="5"/>
  <c r="X80" i="5"/>
  <c r="W80" i="5"/>
  <c r="V80" i="5"/>
  <c r="U80" i="5"/>
  <c r="T80" i="5"/>
  <c r="S80" i="5"/>
  <c r="R80" i="5"/>
  <c r="Q80" i="5"/>
  <c r="P80" i="5"/>
  <c r="O80" i="5"/>
  <c r="N80" i="5"/>
  <c r="M80" i="5"/>
  <c r="L80" i="5"/>
  <c r="K80" i="5"/>
  <c r="J80" i="5"/>
  <c r="I80" i="5"/>
  <c r="H80" i="5"/>
  <c r="G80" i="5"/>
  <c r="F80" i="5"/>
  <c r="E80" i="5"/>
  <c r="D80" i="5"/>
  <c r="C80" i="5"/>
  <c r="B80" i="5"/>
  <c r="A80" i="5"/>
  <c r="BJ79" i="5"/>
  <c r="BI79" i="5"/>
  <c r="BH79" i="5"/>
  <c r="BG79" i="5"/>
  <c r="BF79" i="5"/>
  <c r="BE79" i="5"/>
  <c r="BD79" i="5"/>
  <c r="BC79" i="5"/>
  <c r="BB79" i="5"/>
  <c r="BA79" i="5"/>
  <c r="AZ79" i="5"/>
  <c r="AY79" i="5"/>
  <c r="AX79" i="5"/>
  <c r="AW79" i="5"/>
  <c r="AV79" i="5"/>
  <c r="AU79" i="5"/>
  <c r="AT79" i="5"/>
  <c r="AS79" i="5"/>
  <c r="AR79" i="5"/>
  <c r="AQ79" i="5"/>
  <c r="AP79" i="5"/>
  <c r="AO79" i="5"/>
  <c r="AN79" i="5"/>
  <c r="AM79" i="5"/>
  <c r="AL79" i="5"/>
  <c r="AK79" i="5"/>
  <c r="AJ79" i="5"/>
  <c r="AI79" i="5"/>
  <c r="AH79" i="5"/>
  <c r="AG79" i="5"/>
  <c r="AF79" i="5"/>
  <c r="AE79" i="5"/>
  <c r="AD79" i="5"/>
  <c r="AC79" i="5"/>
  <c r="AB79" i="5"/>
  <c r="AA79" i="5"/>
  <c r="Z79" i="5"/>
  <c r="Y79" i="5"/>
  <c r="X79" i="5"/>
  <c r="W79" i="5"/>
  <c r="V79" i="5"/>
  <c r="U79" i="5"/>
  <c r="T79" i="5"/>
  <c r="S79" i="5"/>
  <c r="R79" i="5"/>
  <c r="Q79" i="5"/>
  <c r="P79" i="5"/>
  <c r="O79" i="5"/>
  <c r="N79" i="5"/>
  <c r="M79" i="5"/>
  <c r="L79" i="5"/>
  <c r="K79" i="5"/>
  <c r="J79" i="5"/>
  <c r="I79" i="5"/>
  <c r="H79" i="5"/>
  <c r="G79" i="5"/>
  <c r="F79" i="5"/>
  <c r="E79" i="5"/>
  <c r="D79" i="5"/>
  <c r="C79" i="5"/>
  <c r="B79" i="5"/>
  <c r="A79" i="5"/>
  <c r="BJ78" i="5"/>
  <c r="BI78" i="5"/>
  <c r="BH78" i="5"/>
  <c r="BG78" i="5"/>
  <c r="BF78" i="5"/>
  <c r="BE78" i="5"/>
  <c r="BD78" i="5"/>
  <c r="BC78" i="5"/>
  <c r="BB78" i="5"/>
  <c r="BA78" i="5"/>
  <c r="AZ78" i="5"/>
  <c r="AY78" i="5"/>
  <c r="AX78" i="5"/>
  <c r="AW78" i="5"/>
  <c r="AV78" i="5"/>
  <c r="AU78" i="5"/>
  <c r="AT78" i="5"/>
  <c r="AS78" i="5"/>
  <c r="AR78" i="5"/>
  <c r="AQ78" i="5"/>
  <c r="AP78" i="5"/>
  <c r="AO78" i="5"/>
  <c r="AN78" i="5"/>
  <c r="AM78" i="5"/>
  <c r="AL78" i="5"/>
  <c r="AK78" i="5"/>
  <c r="AJ78" i="5"/>
  <c r="AI78" i="5"/>
  <c r="AH78" i="5"/>
  <c r="AG78" i="5"/>
  <c r="AF78" i="5"/>
  <c r="AE78" i="5"/>
  <c r="AD78" i="5"/>
  <c r="AC78" i="5"/>
  <c r="AB78" i="5"/>
  <c r="AA78" i="5"/>
  <c r="Z78" i="5"/>
  <c r="Y78" i="5"/>
  <c r="X78" i="5"/>
  <c r="W78" i="5"/>
  <c r="V78" i="5"/>
  <c r="U78" i="5"/>
  <c r="T78" i="5"/>
  <c r="S78" i="5"/>
  <c r="R78" i="5"/>
  <c r="Q78" i="5"/>
  <c r="P78" i="5"/>
  <c r="O78" i="5"/>
  <c r="N78" i="5"/>
  <c r="M78" i="5"/>
  <c r="L78" i="5"/>
  <c r="K78" i="5"/>
  <c r="J78" i="5"/>
  <c r="I78" i="5"/>
  <c r="H78" i="5"/>
  <c r="G78" i="5"/>
  <c r="F78" i="5"/>
  <c r="E78" i="5"/>
  <c r="D78" i="5"/>
  <c r="C78" i="5"/>
  <c r="B78" i="5"/>
  <c r="A78" i="5"/>
  <c r="BJ77" i="5"/>
  <c r="BI77" i="5"/>
  <c r="BH77" i="5"/>
  <c r="BG77" i="5"/>
  <c r="BF77" i="5"/>
  <c r="BE77" i="5"/>
  <c r="BD77" i="5"/>
  <c r="BC77" i="5"/>
  <c r="BB77" i="5"/>
  <c r="BA77" i="5"/>
  <c r="AZ77" i="5"/>
  <c r="AY77" i="5"/>
  <c r="AX77" i="5"/>
  <c r="AW77" i="5"/>
  <c r="AV77" i="5"/>
  <c r="AU77" i="5"/>
  <c r="AT77" i="5"/>
  <c r="AS77" i="5"/>
  <c r="AR77" i="5"/>
  <c r="AQ77" i="5"/>
  <c r="AP77" i="5"/>
  <c r="AO77" i="5"/>
  <c r="AN77" i="5"/>
  <c r="AM77" i="5"/>
  <c r="AL77" i="5"/>
  <c r="AK77" i="5"/>
  <c r="AJ77" i="5"/>
  <c r="AI77" i="5"/>
  <c r="AH77" i="5"/>
  <c r="AG77" i="5"/>
  <c r="AF77" i="5"/>
  <c r="AE77" i="5"/>
  <c r="AD77" i="5"/>
  <c r="AC77" i="5"/>
  <c r="AB77" i="5"/>
  <c r="AA77" i="5"/>
  <c r="Z77" i="5"/>
  <c r="Y77" i="5"/>
  <c r="X77" i="5"/>
  <c r="W77" i="5"/>
  <c r="V77" i="5"/>
  <c r="U77" i="5"/>
  <c r="T77" i="5"/>
  <c r="S77" i="5"/>
  <c r="R77" i="5"/>
  <c r="Q77" i="5"/>
  <c r="P77" i="5"/>
  <c r="O77" i="5"/>
  <c r="N77" i="5"/>
  <c r="M77" i="5"/>
  <c r="L77" i="5"/>
  <c r="K77" i="5"/>
  <c r="J77" i="5"/>
  <c r="I77" i="5"/>
  <c r="H77" i="5"/>
  <c r="G77" i="5"/>
  <c r="F77" i="5"/>
  <c r="E77" i="5"/>
  <c r="D77" i="5"/>
  <c r="C77" i="5"/>
  <c r="B77" i="5"/>
  <c r="A77" i="5"/>
  <c r="BJ76" i="5"/>
  <c r="BI76" i="5"/>
  <c r="BH76" i="5"/>
  <c r="BG76" i="5"/>
  <c r="BF76" i="5"/>
  <c r="BE76" i="5"/>
  <c r="BD76" i="5"/>
  <c r="BC76" i="5"/>
  <c r="BB76" i="5"/>
  <c r="BA76" i="5"/>
  <c r="AZ76" i="5"/>
  <c r="AY76" i="5"/>
  <c r="AX76" i="5"/>
  <c r="AW76" i="5"/>
  <c r="AV76" i="5"/>
  <c r="AU76" i="5"/>
  <c r="AT76" i="5"/>
  <c r="AS76" i="5"/>
  <c r="AR76" i="5"/>
  <c r="AQ76" i="5"/>
  <c r="AP76" i="5"/>
  <c r="AO76" i="5"/>
  <c r="AN76" i="5"/>
  <c r="AM76" i="5"/>
  <c r="AL76"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B76" i="5"/>
  <c r="A76" i="5"/>
  <c r="BJ75" i="5"/>
  <c r="BI75" i="5"/>
  <c r="BH75" i="5"/>
  <c r="BG75" i="5"/>
  <c r="BF75" i="5"/>
  <c r="BE75" i="5"/>
  <c r="BD75" i="5"/>
  <c r="BC75" i="5"/>
  <c r="BB75" i="5"/>
  <c r="BA75" i="5"/>
  <c r="AZ75" i="5"/>
  <c r="AY75" i="5"/>
  <c r="AX75" i="5"/>
  <c r="AW75" i="5"/>
  <c r="AV75" i="5"/>
  <c r="AU75" i="5"/>
  <c r="AT75" i="5"/>
  <c r="AS75" i="5"/>
  <c r="AR75" i="5"/>
  <c r="AQ75" i="5"/>
  <c r="AP75" i="5"/>
  <c r="AO75" i="5"/>
  <c r="AN75" i="5"/>
  <c r="AM75" i="5"/>
  <c r="AL75" i="5"/>
  <c r="AK75" i="5"/>
  <c r="AJ75" i="5"/>
  <c r="AI75" i="5"/>
  <c r="AH75" i="5"/>
  <c r="AG75" i="5"/>
  <c r="AF75" i="5"/>
  <c r="AE75" i="5"/>
  <c r="AD75" i="5"/>
  <c r="AC75" i="5"/>
  <c r="AB75" i="5"/>
  <c r="AA75" i="5"/>
  <c r="Z75" i="5"/>
  <c r="Y75" i="5"/>
  <c r="X75" i="5"/>
  <c r="W75" i="5"/>
  <c r="V75" i="5"/>
  <c r="U75" i="5"/>
  <c r="T75" i="5"/>
  <c r="S75" i="5"/>
  <c r="R75" i="5"/>
  <c r="Q75" i="5"/>
  <c r="P75" i="5"/>
  <c r="O75" i="5"/>
  <c r="N75" i="5"/>
  <c r="M75" i="5"/>
  <c r="L75" i="5"/>
  <c r="K75" i="5"/>
  <c r="J75" i="5"/>
  <c r="I75" i="5"/>
  <c r="H75" i="5"/>
  <c r="G75" i="5"/>
  <c r="F75" i="5"/>
  <c r="E75" i="5"/>
  <c r="D75" i="5"/>
  <c r="C75" i="5"/>
  <c r="B75" i="5"/>
  <c r="A75" i="5"/>
  <c r="BJ74" i="5"/>
  <c r="BI74" i="5"/>
  <c r="BH74" i="5"/>
  <c r="BG74" i="5"/>
  <c r="BF74" i="5"/>
  <c r="BE74" i="5"/>
  <c r="BD74" i="5"/>
  <c r="BC74" i="5"/>
  <c r="BB74" i="5"/>
  <c r="BA74" i="5"/>
  <c r="AZ74" i="5"/>
  <c r="AY74" i="5"/>
  <c r="AX74" i="5"/>
  <c r="AW74" i="5"/>
  <c r="AV74" i="5"/>
  <c r="AU74" i="5"/>
  <c r="AT74" i="5"/>
  <c r="AS74" i="5"/>
  <c r="AR74" i="5"/>
  <c r="AQ74" i="5"/>
  <c r="AP74" i="5"/>
  <c r="AO74" i="5"/>
  <c r="AN74" i="5"/>
  <c r="AM74" i="5"/>
  <c r="AL74" i="5"/>
  <c r="AK74" i="5"/>
  <c r="AJ74" i="5"/>
  <c r="AI74" i="5"/>
  <c r="AH74" i="5"/>
  <c r="AG74" i="5"/>
  <c r="AF74" i="5"/>
  <c r="AE74" i="5"/>
  <c r="AD74" i="5"/>
  <c r="AC74" i="5"/>
  <c r="AB74" i="5"/>
  <c r="AA74" i="5"/>
  <c r="Z74" i="5"/>
  <c r="Y74" i="5"/>
  <c r="X74" i="5"/>
  <c r="W74" i="5"/>
  <c r="V74" i="5"/>
  <c r="U74" i="5"/>
  <c r="T74" i="5"/>
  <c r="S74" i="5"/>
  <c r="R74" i="5"/>
  <c r="Q74" i="5"/>
  <c r="P74" i="5"/>
  <c r="O74" i="5"/>
  <c r="N74" i="5"/>
  <c r="M74" i="5"/>
  <c r="L74" i="5"/>
  <c r="K74" i="5"/>
  <c r="J74" i="5"/>
  <c r="I74" i="5"/>
  <c r="H74" i="5"/>
  <c r="G74" i="5"/>
  <c r="F74" i="5"/>
  <c r="E74" i="5"/>
  <c r="D74" i="5"/>
  <c r="C74" i="5"/>
  <c r="B74" i="5"/>
  <c r="A74" i="5"/>
  <c r="BJ73" i="5"/>
  <c r="BI73" i="5"/>
  <c r="BH73" i="5"/>
  <c r="BG73" i="5"/>
  <c r="BF73" i="5"/>
  <c r="BE73" i="5"/>
  <c r="BD73" i="5"/>
  <c r="BC73" i="5"/>
  <c r="BB73" i="5"/>
  <c r="BA73" i="5"/>
  <c r="AZ73" i="5"/>
  <c r="AY73" i="5"/>
  <c r="AX73" i="5"/>
  <c r="AW73" i="5"/>
  <c r="AV73" i="5"/>
  <c r="AU73" i="5"/>
  <c r="AT73" i="5"/>
  <c r="AS73" i="5"/>
  <c r="AR73" i="5"/>
  <c r="AQ73" i="5"/>
  <c r="AP73" i="5"/>
  <c r="AO73" i="5"/>
  <c r="AN73" i="5"/>
  <c r="AM73" i="5"/>
  <c r="AL73" i="5"/>
  <c r="AK73" i="5"/>
  <c r="AJ73" i="5"/>
  <c r="AI73" i="5"/>
  <c r="AH73" i="5"/>
  <c r="AG73" i="5"/>
  <c r="AF73" i="5"/>
  <c r="AE73" i="5"/>
  <c r="AD73" i="5"/>
  <c r="AC73" i="5"/>
  <c r="AB73" i="5"/>
  <c r="AA73" i="5"/>
  <c r="Z73" i="5"/>
  <c r="Y73" i="5"/>
  <c r="X73" i="5"/>
  <c r="W73" i="5"/>
  <c r="V73" i="5"/>
  <c r="U73" i="5"/>
  <c r="T73" i="5"/>
  <c r="S73" i="5"/>
  <c r="R73" i="5"/>
  <c r="Q73" i="5"/>
  <c r="P73" i="5"/>
  <c r="O73" i="5"/>
  <c r="N73" i="5"/>
  <c r="M73" i="5"/>
  <c r="L73" i="5"/>
  <c r="K73" i="5"/>
  <c r="J73" i="5"/>
  <c r="I73" i="5"/>
  <c r="H73" i="5"/>
  <c r="G73" i="5"/>
  <c r="F73" i="5"/>
  <c r="E73" i="5"/>
  <c r="D73" i="5"/>
  <c r="C73" i="5"/>
  <c r="B73" i="5"/>
  <c r="A73" i="5"/>
  <c r="BJ72" i="5"/>
  <c r="BI72" i="5"/>
  <c r="BH72" i="5"/>
  <c r="BG72" i="5"/>
  <c r="BF72"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W72" i="5"/>
  <c r="V72" i="5"/>
  <c r="U72" i="5"/>
  <c r="T72" i="5"/>
  <c r="S72" i="5"/>
  <c r="R72" i="5"/>
  <c r="Q72" i="5"/>
  <c r="P72" i="5"/>
  <c r="O72" i="5"/>
  <c r="N72" i="5"/>
  <c r="M72" i="5"/>
  <c r="L72" i="5"/>
  <c r="K72" i="5"/>
  <c r="J72" i="5"/>
  <c r="I72" i="5"/>
  <c r="H72" i="5"/>
  <c r="G72" i="5"/>
  <c r="F72" i="5"/>
  <c r="E72" i="5"/>
  <c r="D72" i="5"/>
  <c r="C72" i="5"/>
  <c r="B72" i="5"/>
  <c r="A72" i="5"/>
  <c r="BJ71" i="5"/>
  <c r="BI71" i="5"/>
  <c r="BH71" i="5"/>
  <c r="BG71" i="5"/>
  <c r="BF71" i="5"/>
  <c r="BE71" i="5"/>
  <c r="BD71" i="5"/>
  <c r="BC71" i="5"/>
  <c r="BB71" i="5"/>
  <c r="BA71" i="5"/>
  <c r="AZ71" i="5"/>
  <c r="AY71" i="5"/>
  <c r="AX71" i="5"/>
  <c r="AW71" i="5"/>
  <c r="AV71" i="5"/>
  <c r="AU71" i="5"/>
  <c r="AT71" i="5"/>
  <c r="AS71" i="5"/>
  <c r="AR71" i="5"/>
  <c r="AQ71" i="5"/>
  <c r="AP71" i="5"/>
  <c r="AO71" i="5"/>
  <c r="AN71" i="5"/>
  <c r="AM71" i="5"/>
  <c r="AL71" i="5"/>
  <c r="AK71" i="5"/>
  <c r="AJ71" i="5"/>
  <c r="AI71" i="5"/>
  <c r="AH71" i="5"/>
  <c r="AG71" i="5"/>
  <c r="AF71" i="5"/>
  <c r="AE71" i="5"/>
  <c r="AD71" i="5"/>
  <c r="AC71" i="5"/>
  <c r="AB71" i="5"/>
  <c r="AA71" i="5"/>
  <c r="Z71" i="5"/>
  <c r="Y71" i="5"/>
  <c r="X71" i="5"/>
  <c r="W71" i="5"/>
  <c r="V71" i="5"/>
  <c r="U71" i="5"/>
  <c r="T71" i="5"/>
  <c r="S71" i="5"/>
  <c r="R71" i="5"/>
  <c r="Q71" i="5"/>
  <c r="P71" i="5"/>
  <c r="O71" i="5"/>
  <c r="N71" i="5"/>
  <c r="M71" i="5"/>
  <c r="L71" i="5"/>
  <c r="K71" i="5"/>
  <c r="J71" i="5"/>
  <c r="I71" i="5"/>
  <c r="H71" i="5"/>
  <c r="G71" i="5"/>
  <c r="F71" i="5"/>
  <c r="E71" i="5"/>
  <c r="D71" i="5"/>
  <c r="C71" i="5"/>
  <c r="B71" i="5"/>
  <c r="A71" i="5"/>
  <c r="BJ70" i="5"/>
  <c r="BI70" i="5"/>
  <c r="BH70" i="5"/>
  <c r="BG70" i="5"/>
  <c r="BF70" i="5"/>
  <c r="BE70" i="5"/>
  <c r="BD70" i="5"/>
  <c r="BC70" i="5"/>
  <c r="BB70" i="5"/>
  <c r="BA70" i="5"/>
  <c r="AZ70" i="5"/>
  <c r="AY70" i="5"/>
  <c r="AX70" i="5"/>
  <c r="AW70" i="5"/>
  <c r="AV70" i="5"/>
  <c r="AU70" i="5"/>
  <c r="AT70" i="5"/>
  <c r="AS70" i="5"/>
  <c r="AR70"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C70" i="5"/>
  <c r="B70" i="5"/>
  <c r="A70" i="5"/>
  <c r="BJ69" i="5"/>
  <c r="BI69" i="5"/>
  <c r="BH69" i="5"/>
  <c r="BG69" i="5"/>
  <c r="BF69" i="5"/>
  <c r="BE69" i="5"/>
  <c r="BD69" i="5"/>
  <c r="BC69" i="5"/>
  <c r="BB69" i="5"/>
  <c r="BA69" i="5"/>
  <c r="AZ69" i="5"/>
  <c r="AY69" i="5"/>
  <c r="AX69" i="5"/>
  <c r="AW69" i="5"/>
  <c r="AV69" i="5"/>
  <c r="AU69" i="5"/>
  <c r="AT69" i="5"/>
  <c r="AS69" i="5"/>
  <c r="AR69"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C69" i="5"/>
  <c r="B69" i="5"/>
  <c r="A69" i="5"/>
  <c r="BJ68" i="5"/>
  <c r="BI68" i="5"/>
  <c r="BH68" i="5"/>
  <c r="BG68" i="5"/>
  <c r="BF68" i="5"/>
  <c r="BE68" i="5"/>
  <c r="BD68" i="5"/>
  <c r="BC68" i="5"/>
  <c r="BB68" i="5"/>
  <c r="BA68" i="5"/>
  <c r="AZ68" i="5"/>
  <c r="AY68" i="5"/>
  <c r="AX68" i="5"/>
  <c r="AW68" i="5"/>
  <c r="AV68" i="5"/>
  <c r="AU68" i="5"/>
  <c r="AT68" i="5"/>
  <c r="AS68" i="5"/>
  <c r="AR68" i="5"/>
  <c r="AQ68" i="5"/>
  <c r="AP68" i="5"/>
  <c r="AO68" i="5"/>
  <c r="AN68" i="5"/>
  <c r="AM68" i="5"/>
  <c r="AL68"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B68" i="5"/>
  <c r="A68" i="5"/>
  <c r="BJ67" i="5"/>
  <c r="BI67" i="5"/>
  <c r="BH67" i="5"/>
  <c r="BG67" i="5"/>
  <c r="BF67" i="5"/>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C67" i="5"/>
  <c r="B67" i="5"/>
  <c r="A67" i="5"/>
  <c r="BJ66" i="5"/>
  <c r="BI66" i="5"/>
  <c r="BH66" i="5"/>
  <c r="BG66" i="5"/>
  <c r="BF66" i="5"/>
  <c r="BE66" i="5"/>
  <c r="BD66" i="5"/>
  <c r="BC66" i="5"/>
  <c r="BB66" i="5"/>
  <c r="BA66" i="5"/>
  <c r="AZ66" i="5"/>
  <c r="AY66" i="5"/>
  <c r="AX66" i="5"/>
  <c r="AW66" i="5"/>
  <c r="AV66" i="5"/>
  <c r="AU66" i="5"/>
  <c r="AT66" i="5"/>
  <c r="AS66" i="5"/>
  <c r="AR66" i="5"/>
  <c r="AQ66" i="5"/>
  <c r="AP66" i="5"/>
  <c r="AO66" i="5"/>
  <c r="AN66" i="5"/>
  <c r="AM66" i="5"/>
  <c r="AL66" i="5"/>
  <c r="AK66" i="5"/>
  <c r="AJ66" i="5"/>
  <c r="AI66" i="5"/>
  <c r="AH66"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C66" i="5"/>
  <c r="B66" i="5"/>
  <c r="A66" i="5"/>
  <c r="BJ65" i="5"/>
  <c r="BI65" i="5"/>
  <c r="BH65" i="5"/>
  <c r="BG65" i="5"/>
  <c r="BF65" i="5"/>
  <c r="BE65" i="5"/>
  <c r="BD65" i="5"/>
  <c r="BC65" i="5"/>
  <c r="BB65" i="5"/>
  <c r="BA65" i="5"/>
  <c r="AZ65" i="5"/>
  <c r="AY65" i="5"/>
  <c r="AX65" i="5"/>
  <c r="AW65" i="5"/>
  <c r="AV65" i="5"/>
  <c r="AU65" i="5"/>
  <c r="AT65" i="5"/>
  <c r="AS65" i="5"/>
  <c r="AR65" i="5"/>
  <c r="AQ65" i="5"/>
  <c r="AP65" i="5"/>
  <c r="AO65" i="5"/>
  <c r="AN65" i="5"/>
  <c r="AM65" i="5"/>
  <c r="AL65" i="5"/>
  <c r="AK65" i="5"/>
  <c r="AJ65" i="5"/>
  <c r="AI65" i="5"/>
  <c r="AH65"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C65" i="5"/>
  <c r="B65" i="5"/>
  <c r="A65" i="5"/>
  <c r="BJ64" i="5"/>
  <c r="BI64" i="5"/>
  <c r="BH64" i="5"/>
  <c r="BG64" i="5"/>
  <c r="BF64" i="5"/>
  <c r="BE64" i="5"/>
  <c r="BD64" i="5"/>
  <c r="BC64" i="5"/>
  <c r="BB64" i="5"/>
  <c r="BA64" i="5"/>
  <c r="AZ64" i="5"/>
  <c r="AY64" i="5"/>
  <c r="AX64" i="5"/>
  <c r="AW64" i="5"/>
  <c r="AV64" i="5"/>
  <c r="AU64" i="5"/>
  <c r="AT64" i="5"/>
  <c r="AS64" i="5"/>
  <c r="AR64" i="5"/>
  <c r="AQ64" i="5"/>
  <c r="AP64" i="5"/>
  <c r="AO64" i="5"/>
  <c r="AN64" i="5"/>
  <c r="AM64" i="5"/>
  <c r="AL64" i="5"/>
  <c r="AK64" i="5"/>
  <c r="AJ64" i="5"/>
  <c r="AI64" i="5"/>
  <c r="AH64"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C64" i="5"/>
  <c r="B64" i="5"/>
  <c r="A64" i="5"/>
  <c r="BJ63" i="5"/>
  <c r="BI63" i="5"/>
  <c r="BH63" i="5"/>
  <c r="BG63" i="5"/>
  <c r="BF63" i="5"/>
  <c r="BE63" i="5"/>
  <c r="BD63" i="5"/>
  <c r="BC63" i="5"/>
  <c r="BB63" i="5"/>
  <c r="BA63" i="5"/>
  <c r="AZ63" i="5"/>
  <c r="AY63" i="5"/>
  <c r="AX63" i="5"/>
  <c r="AW63" i="5"/>
  <c r="AV63" i="5"/>
  <c r="AU63" i="5"/>
  <c r="AT63" i="5"/>
  <c r="AS63" i="5"/>
  <c r="AR63" i="5"/>
  <c r="AQ63" i="5"/>
  <c r="AP63" i="5"/>
  <c r="AO63" i="5"/>
  <c r="AN63" i="5"/>
  <c r="AM63" i="5"/>
  <c r="AL63" i="5"/>
  <c r="AK63" i="5"/>
  <c r="AJ63" i="5"/>
  <c r="AI63" i="5"/>
  <c r="AH63"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C63" i="5"/>
  <c r="B63" i="5"/>
  <c r="A63" i="5"/>
  <c r="BJ62" i="5"/>
  <c r="BI62" i="5"/>
  <c r="BH62" i="5"/>
  <c r="BG62" i="5"/>
  <c r="BF62" i="5"/>
  <c r="BE62" i="5"/>
  <c r="BD62" i="5"/>
  <c r="BC62" i="5"/>
  <c r="BB62" i="5"/>
  <c r="BA62" i="5"/>
  <c r="AZ62" i="5"/>
  <c r="AY62" i="5"/>
  <c r="AX62"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C62" i="5"/>
  <c r="B62" i="5"/>
  <c r="A62" i="5"/>
  <c r="BJ61" i="5"/>
  <c r="BI61" i="5"/>
  <c r="BH61" i="5"/>
  <c r="BG61" i="5"/>
  <c r="BF61" i="5"/>
  <c r="BE61" i="5"/>
  <c r="BD61" i="5"/>
  <c r="BC61" i="5"/>
  <c r="BB61" i="5"/>
  <c r="BA61" i="5"/>
  <c r="AZ61" i="5"/>
  <c r="AY61" i="5"/>
  <c r="AX61" i="5"/>
  <c r="AW61" i="5"/>
  <c r="AV61" i="5"/>
  <c r="AU61" i="5"/>
  <c r="AT61" i="5"/>
  <c r="AS61" i="5"/>
  <c r="AR61" i="5"/>
  <c r="AQ61" i="5"/>
  <c r="AP61" i="5"/>
  <c r="AO61" i="5"/>
  <c r="AN61" i="5"/>
  <c r="AM61" i="5"/>
  <c r="AL61" i="5"/>
  <c r="AK61" i="5"/>
  <c r="AJ61" i="5"/>
  <c r="AI61" i="5"/>
  <c r="AH61"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C61" i="5"/>
  <c r="B61" i="5"/>
  <c r="A61" i="5"/>
  <c r="BJ60" i="5"/>
  <c r="BI60" i="5"/>
  <c r="BH60" i="5"/>
  <c r="BG60" i="5"/>
  <c r="BF60" i="5"/>
  <c r="BE60" i="5"/>
  <c r="BD60" i="5"/>
  <c r="BC60" i="5"/>
  <c r="BB60" i="5"/>
  <c r="BA60" i="5"/>
  <c r="AZ60" i="5"/>
  <c r="AY60" i="5"/>
  <c r="AX60" i="5"/>
  <c r="AW60" i="5"/>
  <c r="AV60" i="5"/>
  <c r="AU60" i="5"/>
  <c r="AT60" i="5"/>
  <c r="AS60" i="5"/>
  <c r="AR60" i="5"/>
  <c r="AQ60" i="5"/>
  <c r="AP60" i="5"/>
  <c r="AO60" i="5"/>
  <c r="AN60" i="5"/>
  <c r="AM60" i="5"/>
  <c r="AL60" i="5"/>
  <c r="AK60"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60" i="5"/>
  <c r="B60" i="5"/>
  <c r="A60" i="5"/>
  <c r="BJ59" i="5"/>
  <c r="BI59" i="5"/>
  <c r="BH59" i="5"/>
  <c r="BG59" i="5"/>
  <c r="BF59"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P59" i="5"/>
  <c r="O59" i="5"/>
  <c r="N59" i="5"/>
  <c r="M59" i="5"/>
  <c r="L59" i="5"/>
  <c r="K59" i="5"/>
  <c r="J59" i="5"/>
  <c r="I59" i="5"/>
  <c r="H59" i="5"/>
  <c r="G59" i="5"/>
  <c r="F59" i="5"/>
  <c r="E59" i="5"/>
  <c r="D59" i="5"/>
  <c r="C59" i="5"/>
  <c r="B59" i="5"/>
  <c r="A59"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8" i="5"/>
  <c r="B58" i="5"/>
  <c r="A58" i="5"/>
  <c r="BJ57" i="5"/>
  <c r="BI57" i="5"/>
  <c r="BH57" i="5"/>
  <c r="BG57" i="5"/>
  <c r="BF57" i="5"/>
  <c r="BE57" i="5"/>
  <c r="BD57" i="5"/>
  <c r="BC57" i="5"/>
  <c r="BB57" i="5"/>
  <c r="BA57" i="5"/>
  <c r="AZ57" i="5"/>
  <c r="AY57" i="5"/>
  <c r="AX57" i="5"/>
  <c r="AW57" i="5"/>
  <c r="AV57" i="5"/>
  <c r="AU57" i="5"/>
  <c r="AT57"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R57" i="5"/>
  <c r="Q57" i="5"/>
  <c r="P57" i="5"/>
  <c r="O57" i="5"/>
  <c r="N57" i="5"/>
  <c r="M57" i="5"/>
  <c r="L57" i="5"/>
  <c r="K57" i="5"/>
  <c r="J57" i="5"/>
  <c r="I57" i="5"/>
  <c r="H57" i="5"/>
  <c r="G57" i="5"/>
  <c r="F57" i="5"/>
  <c r="E57" i="5"/>
  <c r="D57" i="5"/>
  <c r="C57" i="5"/>
  <c r="B57" i="5"/>
  <c r="A57" i="5"/>
  <c r="BJ56" i="5"/>
  <c r="BI56" i="5"/>
  <c r="BH56" i="5"/>
  <c r="BG56" i="5"/>
  <c r="BF56" i="5"/>
  <c r="BE56" i="5"/>
  <c r="BD56" i="5"/>
  <c r="BC56" i="5"/>
  <c r="BB56" i="5"/>
  <c r="BA56" i="5"/>
  <c r="AZ56" i="5"/>
  <c r="AY56" i="5"/>
  <c r="AX56" i="5"/>
  <c r="AW56" i="5"/>
  <c r="AV56" i="5"/>
  <c r="AU56" i="5"/>
  <c r="AT56" i="5"/>
  <c r="AS56" i="5"/>
  <c r="AR56" i="5"/>
  <c r="AQ56" i="5"/>
  <c r="AP56" i="5"/>
  <c r="AO56" i="5"/>
  <c r="AN56" i="5"/>
  <c r="AM56" i="5"/>
  <c r="AL56" i="5"/>
  <c r="AK56" i="5"/>
  <c r="AJ56" i="5"/>
  <c r="AI56" i="5"/>
  <c r="AH56" i="5"/>
  <c r="AG56" i="5"/>
  <c r="AF56" i="5"/>
  <c r="AE56" i="5"/>
  <c r="AD56" i="5"/>
  <c r="AC56" i="5"/>
  <c r="AB56" i="5"/>
  <c r="AA56" i="5"/>
  <c r="Z56" i="5"/>
  <c r="Y56" i="5"/>
  <c r="X56" i="5"/>
  <c r="W56" i="5"/>
  <c r="V56" i="5"/>
  <c r="U56" i="5"/>
  <c r="T56" i="5"/>
  <c r="S56" i="5"/>
  <c r="R56" i="5"/>
  <c r="Q56" i="5"/>
  <c r="P56" i="5"/>
  <c r="O56" i="5"/>
  <c r="N56" i="5"/>
  <c r="M56" i="5"/>
  <c r="L56" i="5"/>
  <c r="K56" i="5"/>
  <c r="J56" i="5"/>
  <c r="I56" i="5"/>
  <c r="H56" i="5"/>
  <c r="G56" i="5"/>
  <c r="F56" i="5"/>
  <c r="E56" i="5"/>
  <c r="D56" i="5"/>
  <c r="C56" i="5"/>
  <c r="B56" i="5"/>
  <c r="A56" i="5"/>
  <c r="BJ55" i="5"/>
  <c r="BI55" i="5"/>
  <c r="BH55" i="5"/>
  <c r="BG55" i="5"/>
  <c r="BF55" i="5"/>
  <c r="BE55" i="5"/>
  <c r="BD55" i="5"/>
  <c r="BC55" i="5"/>
  <c r="BB55" i="5"/>
  <c r="BA55" i="5"/>
  <c r="AZ55" i="5"/>
  <c r="AY55" i="5"/>
  <c r="AX55" i="5"/>
  <c r="AW55" i="5"/>
  <c r="AV55" i="5"/>
  <c r="AU55" i="5"/>
  <c r="AT55" i="5"/>
  <c r="AS55" i="5"/>
  <c r="AR55" i="5"/>
  <c r="AQ55" i="5"/>
  <c r="AP55" i="5"/>
  <c r="AO55" i="5"/>
  <c r="AN55" i="5"/>
  <c r="AM55" i="5"/>
  <c r="AL55"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B55" i="5"/>
  <c r="A55" i="5"/>
  <c r="BJ54" i="5"/>
  <c r="BI54" i="5"/>
  <c r="BH54" i="5"/>
  <c r="BG54" i="5"/>
  <c r="BF54" i="5"/>
  <c r="BE54" i="5"/>
  <c r="BD54" i="5"/>
  <c r="BC54" i="5"/>
  <c r="BB54" i="5"/>
  <c r="BA54" i="5"/>
  <c r="AZ54" i="5"/>
  <c r="AY54" i="5"/>
  <c r="AX54" i="5"/>
  <c r="AW54" i="5"/>
  <c r="AV54" i="5"/>
  <c r="AU54" i="5"/>
  <c r="AT54" i="5"/>
  <c r="AS54" i="5"/>
  <c r="AR54" i="5"/>
  <c r="AQ54" i="5"/>
  <c r="AP54" i="5"/>
  <c r="AO54" i="5"/>
  <c r="AN54" i="5"/>
  <c r="AM54" i="5"/>
  <c r="AL54" i="5"/>
  <c r="AK54" i="5"/>
  <c r="AJ54" i="5"/>
  <c r="AI54" i="5"/>
  <c r="AH54" i="5"/>
  <c r="AG54" i="5"/>
  <c r="AF54" i="5"/>
  <c r="AE54" i="5"/>
  <c r="AD54" i="5"/>
  <c r="AC54" i="5"/>
  <c r="AB54" i="5"/>
  <c r="AA54" i="5"/>
  <c r="Z54" i="5"/>
  <c r="Y54" i="5"/>
  <c r="X54" i="5"/>
  <c r="W54" i="5"/>
  <c r="V54" i="5"/>
  <c r="U54" i="5"/>
  <c r="T54" i="5"/>
  <c r="S54" i="5"/>
  <c r="R54" i="5"/>
  <c r="Q54" i="5"/>
  <c r="P54" i="5"/>
  <c r="O54" i="5"/>
  <c r="N54" i="5"/>
  <c r="M54" i="5"/>
  <c r="L54" i="5"/>
  <c r="K54" i="5"/>
  <c r="J54" i="5"/>
  <c r="I54" i="5"/>
  <c r="H54" i="5"/>
  <c r="G54" i="5"/>
  <c r="F54" i="5"/>
  <c r="E54" i="5"/>
  <c r="D54" i="5"/>
  <c r="C54" i="5"/>
  <c r="B54" i="5"/>
  <c r="A54" i="5"/>
  <c r="BJ53" i="5"/>
  <c r="BI53" i="5"/>
  <c r="BH53" i="5"/>
  <c r="BG53" i="5"/>
  <c r="BF53" i="5"/>
  <c r="BE53" i="5"/>
  <c r="BD53" i="5"/>
  <c r="BC53" i="5"/>
  <c r="BB53" i="5"/>
  <c r="BA53" i="5"/>
  <c r="AZ53" i="5"/>
  <c r="AY53" i="5"/>
  <c r="AX53" i="5"/>
  <c r="AW53" i="5"/>
  <c r="AV53" i="5"/>
  <c r="AU53" i="5"/>
  <c r="AT53" i="5"/>
  <c r="AS53" i="5"/>
  <c r="AR53" i="5"/>
  <c r="AQ53" i="5"/>
  <c r="AP53" i="5"/>
  <c r="AO53" i="5"/>
  <c r="AN53" i="5"/>
  <c r="AM53" i="5"/>
  <c r="AL53" i="5"/>
  <c r="AK53" i="5"/>
  <c r="AJ53" i="5"/>
  <c r="AI53" i="5"/>
  <c r="AH53" i="5"/>
  <c r="AG53" i="5"/>
  <c r="AF53" i="5"/>
  <c r="AE53" i="5"/>
  <c r="AD53" i="5"/>
  <c r="AC53" i="5"/>
  <c r="AB53" i="5"/>
  <c r="AA53" i="5"/>
  <c r="Z53" i="5"/>
  <c r="Y53" i="5"/>
  <c r="X53" i="5"/>
  <c r="W53" i="5"/>
  <c r="V53" i="5"/>
  <c r="U53" i="5"/>
  <c r="T53" i="5"/>
  <c r="S53" i="5"/>
  <c r="R53" i="5"/>
  <c r="Q53" i="5"/>
  <c r="P53" i="5"/>
  <c r="O53" i="5"/>
  <c r="N53" i="5"/>
  <c r="M53" i="5"/>
  <c r="L53" i="5"/>
  <c r="K53" i="5"/>
  <c r="J53" i="5"/>
  <c r="I53" i="5"/>
  <c r="H53" i="5"/>
  <c r="G53" i="5"/>
  <c r="F53" i="5"/>
  <c r="E53" i="5"/>
  <c r="D53" i="5"/>
  <c r="C53" i="5"/>
  <c r="B53" i="5"/>
  <c r="A53" i="5"/>
  <c r="BJ52" i="5"/>
  <c r="BI52" i="5"/>
  <c r="BH52" i="5"/>
  <c r="BG52" i="5"/>
  <c r="BF52" i="5"/>
  <c r="BE52" i="5"/>
  <c r="BD52" i="5"/>
  <c r="BC52" i="5"/>
  <c r="BB52" i="5"/>
  <c r="BA52" i="5"/>
  <c r="AZ52" i="5"/>
  <c r="AY52" i="5"/>
  <c r="AX52" i="5"/>
  <c r="AW52" i="5"/>
  <c r="AV52" i="5"/>
  <c r="AU52" i="5"/>
  <c r="AT52" i="5"/>
  <c r="AS52" i="5"/>
  <c r="AR52" i="5"/>
  <c r="AQ52" i="5"/>
  <c r="AP52" i="5"/>
  <c r="AO52" i="5"/>
  <c r="AN52" i="5"/>
  <c r="AM52" i="5"/>
  <c r="AL52" i="5"/>
  <c r="AK52" i="5"/>
  <c r="AJ52" i="5"/>
  <c r="AI52" i="5"/>
  <c r="AH52" i="5"/>
  <c r="AG52" i="5"/>
  <c r="AF52" i="5"/>
  <c r="AE52" i="5"/>
  <c r="AD52" i="5"/>
  <c r="AC52" i="5"/>
  <c r="AB52" i="5"/>
  <c r="AA52" i="5"/>
  <c r="Z52" i="5"/>
  <c r="Y52" i="5"/>
  <c r="X52" i="5"/>
  <c r="W52" i="5"/>
  <c r="V52" i="5"/>
  <c r="U52" i="5"/>
  <c r="T52" i="5"/>
  <c r="S52" i="5"/>
  <c r="R52" i="5"/>
  <c r="Q52" i="5"/>
  <c r="P52" i="5"/>
  <c r="O52" i="5"/>
  <c r="N52" i="5"/>
  <c r="M52" i="5"/>
  <c r="L52" i="5"/>
  <c r="K52" i="5"/>
  <c r="J52" i="5"/>
  <c r="I52" i="5"/>
  <c r="H52" i="5"/>
  <c r="G52" i="5"/>
  <c r="F52" i="5"/>
  <c r="E52" i="5"/>
  <c r="D52" i="5"/>
  <c r="C52" i="5"/>
  <c r="B52" i="5"/>
  <c r="A52" i="5"/>
  <c r="BJ51" i="5"/>
  <c r="BI51" i="5"/>
  <c r="BH51" i="5"/>
  <c r="BG51" i="5"/>
  <c r="BF51" i="5"/>
  <c r="BE51" i="5"/>
  <c r="BD51" i="5"/>
  <c r="BC51" i="5"/>
  <c r="BB51" i="5"/>
  <c r="BA51" i="5"/>
  <c r="AZ51" i="5"/>
  <c r="AY51" i="5"/>
  <c r="AX51"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R51" i="5"/>
  <c r="Q51" i="5"/>
  <c r="P51" i="5"/>
  <c r="O51" i="5"/>
  <c r="N51" i="5"/>
  <c r="M51" i="5"/>
  <c r="L51" i="5"/>
  <c r="K51" i="5"/>
  <c r="J51" i="5"/>
  <c r="I51" i="5"/>
  <c r="H51" i="5"/>
  <c r="G51" i="5"/>
  <c r="F51" i="5"/>
  <c r="E51" i="5"/>
  <c r="D51" i="5"/>
  <c r="C51" i="5"/>
  <c r="B51" i="5"/>
  <c r="A51" i="5"/>
  <c r="BJ50" i="5"/>
  <c r="BI50" i="5"/>
  <c r="BH50" i="5"/>
  <c r="BG50" i="5"/>
  <c r="BF50" i="5"/>
  <c r="BE50" i="5"/>
  <c r="BD50" i="5"/>
  <c r="BC50" i="5"/>
  <c r="BB50" i="5"/>
  <c r="BA50" i="5"/>
  <c r="AZ50" i="5"/>
  <c r="AY50" i="5"/>
  <c r="AX50" i="5"/>
  <c r="AW50" i="5"/>
  <c r="AV50" i="5"/>
  <c r="AU50" i="5"/>
  <c r="AT50" i="5"/>
  <c r="AS50" i="5"/>
  <c r="AR50" i="5"/>
  <c r="AQ50" i="5"/>
  <c r="AP50" i="5"/>
  <c r="AO50" i="5"/>
  <c r="AN50" i="5"/>
  <c r="AM50" i="5"/>
  <c r="AL50" i="5"/>
  <c r="AK50" i="5"/>
  <c r="AJ50" i="5"/>
  <c r="AI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G50" i="5"/>
  <c r="F50" i="5"/>
  <c r="E50" i="5"/>
  <c r="D50" i="5"/>
  <c r="C50" i="5"/>
  <c r="B50" i="5"/>
  <c r="A50" i="5"/>
  <c r="BJ49" i="5"/>
  <c r="BI49" i="5"/>
  <c r="BH49" i="5"/>
  <c r="BG49" i="5"/>
  <c r="BF49" i="5"/>
  <c r="BE49" i="5"/>
  <c r="BD49" i="5"/>
  <c r="BC49" i="5"/>
  <c r="BB49" i="5"/>
  <c r="BA49" i="5"/>
  <c r="AZ49" i="5"/>
  <c r="AY49" i="5"/>
  <c r="AX49" i="5"/>
  <c r="AW49" i="5"/>
  <c r="AV49" i="5"/>
  <c r="AU49" i="5"/>
  <c r="AT49" i="5"/>
  <c r="AS49" i="5"/>
  <c r="AR49" i="5"/>
  <c r="AQ49" i="5"/>
  <c r="AP49" i="5"/>
  <c r="AO49" i="5"/>
  <c r="AN49" i="5"/>
  <c r="AM49" i="5"/>
  <c r="AL49" i="5"/>
  <c r="AK49" i="5"/>
  <c r="AJ49" i="5"/>
  <c r="AI49" i="5"/>
  <c r="AH49" i="5"/>
  <c r="AG49" i="5"/>
  <c r="AF49" i="5"/>
  <c r="AE49" i="5"/>
  <c r="AD49" i="5"/>
  <c r="AC49" i="5"/>
  <c r="AB49" i="5"/>
  <c r="AA49" i="5"/>
  <c r="Z49" i="5"/>
  <c r="Y49" i="5"/>
  <c r="X49" i="5"/>
  <c r="W49" i="5"/>
  <c r="V49" i="5"/>
  <c r="U49" i="5"/>
  <c r="T49" i="5"/>
  <c r="S49" i="5"/>
  <c r="R49" i="5"/>
  <c r="Q49" i="5"/>
  <c r="P49" i="5"/>
  <c r="O49" i="5"/>
  <c r="N49" i="5"/>
  <c r="M49" i="5"/>
  <c r="L49" i="5"/>
  <c r="K49" i="5"/>
  <c r="J49" i="5"/>
  <c r="I49" i="5"/>
  <c r="H49" i="5"/>
  <c r="G49" i="5"/>
  <c r="F49" i="5"/>
  <c r="E49" i="5"/>
  <c r="D49" i="5"/>
  <c r="C49" i="5"/>
  <c r="B49" i="5"/>
  <c r="A49" i="5"/>
  <c r="BJ48" i="5"/>
  <c r="BI48" i="5"/>
  <c r="BH48" i="5"/>
  <c r="BG48" i="5"/>
  <c r="BF48" i="5"/>
  <c r="BE48" i="5"/>
  <c r="BD48" i="5"/>
  <c r="BC48" i="5"/>
  <c r="BB48" i="5"/>
  <c r="BA48" i="5"/>
  <c r="AZ48" i="5"/>
  <c r="AY48" i="5"/>
  <c r="AX48" i="5"/>
  <c r="AW48" i="5"/>
  <c r="AV48" i="5"/>
  <c r="AU48" i="5"/>
  <c r="AT48" i="5"/>
  <c r="AS48" i="5"/>
  <c r="AR48" i="5"/>
  <c r="AQ48" i="5"/>
  <c r="AP48" i="5"/>
  <c r="AO48" i="5"/>
  <c r="AN48" i="5"/>
  <c r="AM48" i="5"/>
  <c r="AL48" i="5"/>
  <c r="AK48" i="5"/>
  <c r="AJ48" i="5"/>
  <c r="AI48" i="5"/>
  <c r="AH48" i="5"/>
  <c r="AG48" i="5"/>
  <c r="AF48" i="5"/>
  <c r="AE48" i="5"/>
  <c r="AD48" i="5"/>
  <c r="AC48" i="5"/>
  <c r="AB48" i="5"/>
  <c r="AA48" i="5"/>
  <c r="Z48" i="5"/>
  <c r="Y48" i="5"/>
  <c r="X48" i="5"/>
  <c r="W48" i="5"/>
  <c r="V48" i="5"/>
  <c r="U48" i="5"/>
  <c r="T48" i="5"/>
  <c r="S48" i="5"/>
  <c r="R48" i="5"/>
  <c r="Q48" i="5"/>
  <c r="P48" i="5"/>
  <c r="O48" i="5"/>
  <c r="N48" i="5"/>
  <c r="M48" i="5"/>
  <c r="L48" i="5"/>
  <c r="K48" i="5"/>
  <c r="J48" i="5"/>
  <c r="I48" i="5"/>
  <c r="H48" i="5"/>
  <c r="G48" i="5"/>
  <c r="F48" i="5"/>
  <c r="E48" i="5"/>
  <c r="D48" i="5"/>
  <c r="C48" i="5"/>
  <c r="B48" i="5"/>
  <c r="A48" i="5"/>
  <c r="BJ47" i="5"/>
  <c r="BI47" i="5"/>
  <c r="BH47" i="5"/>
  <c r="BG47" i="5"/>
  <c r="BF47" i="5"/>
  <c r="BE47" i="5"/>
  <c r="BD47" i="5"/>
  <c r="BC47" i="5"/>
  <c r="BB47" i="5"/>
  <c r="BA47" i="5"/>
  <c r="AZ47" i="5"/>
  <c r="AY47" i="5"/>
  <c r="AX47"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R47" i="5"/>
  <c r="Q47" i="5"/>
  <c r="P47" i="5"/>
  <c r="O47" i="5"/>
  <c r="N47" i="5"/>
  <c r="M47" i="5"/>
  <c r="L47" i="5"/>
  <c r="K47" i="5"/>
  <c r="J47" i="5"/>
  <c r="I47" i="5"/>
  <c r="H47" i="5"/>
  <c r="G47" i="5"/>
  <c r="F47" i="5"/>
  <c r="E47" i="5"/>
  <c r="D47" i="5"/>
  <c r="C47" i="5"/>
  <c r="B47" i="5"/>
  <c r="A47" i="5"/>
  <c r="BJ46" i="5"/>
  <c r="BI46" i="5"/>
  <c r="BH46" i="5"/>
  <c r="BG46" i="5"/>
  <c r="BF46" i="5"/>
  <c r="BE46" i="5"/>
  <c r="BD46" i="5"/>
  <c r="BC46" i="5"/>
  <c r="BB46" i="5"/>
  <c r="BA46" i="5"/>
  <c r="AZ46" i="5"/>
  <c r="AY46" i="5"/>
  <c r="AX46" i="5"/>
  <c r="AW46" i="5"/>
  <c r="AV46" i="5"/>
  <c r="AU46" i="5"/>
  <c r="AT46" i="5"/>
  <c r="AS46" i="5"/>
  <c r="AR46" i="5"/>
  <c r="AQ46" i="5"/>
  <c r="AP46" i="5"/>
  <c r="AO46" i="5"/>
  <c r="AN46" i="5"/>
  <c r="AM46" i="5"/>
  <c r="AL46" i="5"/>
  <c r="AK46" i="5"/>
  <c r="AJ46" i="5"/>
  <c r="AI46" i="5"/>
  <c r="AH46" i="5"/>
  <c r="AG46" i="5"/>
  <c r="AF46" i="5"/>
  <c r="AE46" i="5"/>
  <c r="AD46" i="5"/>
  <c r="AC46" i="5"/>
  <c r="AB46" i="5"/>
  <c r="AA46" i="5"/>
  <c r="Z46" i="5"/>
  <c r="Y46" i="5"/>
  <c r="X46" i="5"/>
  <c r="W46" i="5"/>
  <c r="V46" i="5"/>
  <c r="U46" i="5"/>
  <c r="T46" i="5"/>
  <c r="S46" i="5"/>
  <c r="R46" i="5"/>
  <c r="Q46" i="5"/>
  <c r="P46" i="5"/>
  <c r="O46" i="5"/>
  <c r="N46" i="5"/>
  <c r="M46" i="5"/>
  <c r="L46" i="5"/>
  <c r="K46" i="5"/>
  <c r="J46" i="5"/>
  <c r="I46" i="5"/>
  <c r="H46" i="5"/>
  <c r="G46" i="5"/>
  <c r="F46" i="5"/>
  <c r="E46" i="5"/>
  <c r="D46" i="5"/>
  <c r="C46" i="5"/>
  <c r="B46" i="5"/>
  <c r="A46" i="5"/>
  <c r="BJ45" i="5"/>
  <c r="BI45" i="5"/>
  <c r="BH45" i="5"/>
  <c r="BG45" i="5"/>
  <c r="BF45" i="5"/>
  <c r="BE45" i="5"/>
  <c r="BD45" i="5"/>
  <c r="BC45" i="5"/>
  <c r="BB45" i="5"/>
  <c r="BA45" i="5"/>
  <c r="AZ45" i="5"/>
  <c r="AY45" i="5"/>
  <c r="AX45"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B45" i="5"/>
  <c r="A45" i="5"/>
  <c r="BJ44" i="5"/>
  <c r="BI44" i="5"/>
  <c r="BH44" i="5"/>
  <c r="BG44" i="5"/>
  <c r="BF44" i="5"/>
  <c r="BE44" i="5"/>
  <c r="BD44" i="5"/>
  <c r="BC44" i="5"/>
  <c r="BB44" i="5"/>
  <c r="BA44" i="5"/>
  <c r="AZ44" i="5"/>
  <c r="AY44" i="5"/>
  <c r="AX44"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R44" i="5"/>
  <c r="Q44" i="5"/>
  <c r="P44" i="5"/>
  <c r="O44" i="5"/>
  <c r="N44" i="5"/>
  <c r="M44" i="5"/>
  <c r="L44" i="5"/>
  <c r="K44" i="5"/>
  <c r="J44" i="5"/>
  <c r="I44" i="5"/>
  <c r="H44" i="5"/>
  <c r="G44" i="5"/>
  <c r="F44" i="5"/>
  <c r="E44" i="5"/>
  <c r="D44" i="5"/>
  <c r="C44" i="5"/>
  <c r="B44" i="5"/>
  <c r="A44" i="5"/>
  <c r="BJ43" i="5"/>
  <c r="BI43" i="5"/>
  <c r="BH43" i="5"/>
  <c r="BG43" i="5"/>
  <c r="BF43" i="5"/>
  <c r="BE43" i="5"/>
  <c r="BD43" i="5"/>
  <c r="BC43" i="5"/>
  <c r="BB43" i="5"/>
  <c r="BA43" i="5"/>
  <c r="AZ43" i="5"/>
  <c r="AY43" i="5"/>
  <c r="AX43" i="5"/>
  <c r="AW43" i="5"/>
  <c r="AV43" i="5"/>
  <c r="AU43" i="5"/>
  <c r="AT43" i="5"/>
  <c r="AS43" i="5"/>
  <c r="AR43" i="5"/>
  <c r="AQ43" i="5"/>
  <c r="AP43" i="5"/>
  <c r="AO43" i="5"/>
  <c r="AN43" i="5"/>
  <c r="AM43" i="5"/>
  <c r="AL43" i="5"/>
  <c r="AK43" i="5"/>
  <c r="AJ43" i="5"/>
  <c r="AI43" i="5"/>
  <c r="AH43" i="5"/>
  <c r="AG43" i="5"/>
  <c r="AF43" i="5"/>
  <c r="AE43" i="5"/>
  <c r="AD43" i="5"/>
  <c r="AC43" i="5"/>
  <c r="AB43" i="5"/>
  <c r="AA43" i="5"/>
  <c r="Z43" i="5"/>
  <c r="Y43" i="5"/>
  <c r="X43" i="5"/>
  <c r="W43" i="5"/>
  <c r="V43" i="5"/>
  <c r="U43" i="5"/>
  <c r="T43" i="5"/>
  <c r="S43" i="5"/>
  <c r="R43" i="5"/>
  <c r="Q43" i="5"/>
  <c r="P43" i="5"/>
  <c r="O43" i="5"/>
  <c r="N43" i="5"/>
  <c r="M43" i="5"/>
  <c r="L43" i="5"/>
  <c r="K43" i="5"/>
  <c r="J43" i="5"/>
  <c r="I43" i="5"/>
  <c r="H43" i="5"/>
  <c r="G43" i="5"/>
  <c r="F43" i="5"/>
  <c r="E43" i="5"/>
  <c r="D43" i="5"/>
  <c r="C43" i="5"/>
  <c r="B43" i="5"/>
  <c r="A43" i="5"/>
  <c r="BJ42" i="5"/>
  <c r="BI42" i="5"/>
  <c r="BH42" i="5"/>
  <c r="BG42" i="5"/>
  <c r="BF42" i="5"/>
  <c r="BE42" i="5"/>
  <c r="BD42" i="5"/>
  <c r="BC42" i="5"/>
  <c r="BB42" i="5"/>
  <c r="BA42" i="5"/>
  <c r="AZ42" i="5"/>
  <c r="AY42" i="5"/>
  <c r="AX42"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R42" i="5"/>
  <c r="Q42" i="5"/>
  <c r="P42" i="5"/>
  <c r="O42" i="5"/>
  <c r="N42" i="5"/>
  <c r="M42" i="5"/>
  <c r="L42" i="5"/>
  <c r="K42" i="5"/>
  <c r="J42" i="5"/>
  <c r="I42" i="5"/>
  <c r="H42" i="5"/>
  <c r="G42" i="5"/>
  <c r="F42" i="5"/>
  <c r="E42" i="5"/>
  <c r="D42" i="5"/>
  <c r="C42" i="5"/>
  <c r="B42" i="5"/>
  <c r="A42" i="5"/>
  <c r="BJ41" i="5"/>
  <c r="BI41" i="5"/>
  <c r="BH41" i="5"/>
  <c r="BG41" i="5"/>
  <c r="BF41" i="5"/>
  <c r="BE41" i="5"/>
  <c r="BD41" i="5"/>
  <c r="BC41" i="5"/>
  <c r="BB41" i="5"/>
  <c r="BA41" i="5"/>
  <c r="AZ41" i="5"/>
  <c r="AY41" i="5"/>
  <c r="AX41"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I41" i="5"/>
  <c r="H41" i="5"/>
  <c r="G41" i="5"/>
  <c r="F41" i="5"/>
  <c r="E41" i="5"/>
  <c r="D41" i="5"/>
  <c r="C41" i="5"/>
  <c r="B41" i="5"/>
  <c r="A41" i="5"/>
  <c r="BJ40" i="5"/>
  <c r="BI40" i="5"/>
  <c r="BH40" i="5"/>
  <c r="BG40" i="5"/>
  <c r="BF40" i="5"/>
  <c r="BE40" i="5"/>
  <c r="BD40" i="5"/>
  <c r="BC40" i="5"/>
  <c r="BB40" i="5"/>
  <c r="BA40" i="5"/>
  <c r="AZ40" i="5"/>
  <c r="AY40" i="5"/>
  <c r="AX40" i="5"/>
  <c r="AW40" i="5"/>
  <c r="AV40" i="5"/>
  <c r="AU40" i="5"/>
  <c r="AT40" i="5"/>
  <c r="AS40" i="5"/>
  <c r="AR40" i="5"/>
  <c r="AQ40" i="5"/>
  <c r="AP40" i="5"/>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F40" i="5"/>
  <c r="E40" i="5"/>
  <c r="D40" i="5"/>
  <c r="C40" i="5"/>
  <c r="B40" i="5"/>
  <c r="A40" i="5"/>
  <c r="BJ39" i="5"/>
  <c r="BI39" i="5"/>
  <c r="BH39" i="5"/>
  <c r="BG39" i="5"/>
  <c r="BF39" i="5"/>
  <c r="BE39" i="5"/>
  <c r="BD39" i="5"/>
  <c r="BC39" i="5"/>
  <c r="BB39" i="5"/>
  <c r="BA39" i="5"/>
  <c r="AZ39" i="5"/>
  <c r="AY39" i="5"/>
  <c r="AX39" i="5"/>
  <c r="AW39" i="5"/>
  <c r="AV39"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B39" i="5"/>
  <c r="A39" i="5"/>
  <c r="BJ38" i="5"/>
  <c r="BI38" i="5"/>
  <c r="BH38" i="5"/>
  <c r="BG38" i="5"/>
  <c r="BF38" i="5"/>
  <c r="BE38" i="5"/>
  <c r="BD38" i="5"/>
  <c r="BC38" i="5"/>
  <c r="BB38" i="5"/>
  <c r="BA38" i="5"/>
  <c r="AZ38" i="5"/>
  <c r="AY38" i="5"/>
  <c r="AX38" i="5"/>
  <c r="AW38" i="5"/>
  <c r="AV38"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C38" i="5"/>
  <c r="B38" i="5"/>
  <c r="A38" i="5"/>
  <c r="BJ37" i="5"/>
  <c r="BI37" i="5"/>
  <c r="BH37" i="5"/>
  <c r="BG37" i="5"/>
  <c r="BF37" i="5"/>
  <c r="BE37" i="5"/>
  <c r="BD37" i="5"/>
  <c r="BC37" i="5"/>
  <c r="BB37" i="5"/>
  <c r="BA37" i="5"/>
  <c r="AZ37" i="5"/>
  <c r="AY37" i="5"/>
  <c r="AX37" i="5"/>
  <c r="AW37" i="5"/>
  <c r="AV37"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C37" i="5"/>
  <c r="B37" i="5"/>
  <c r="A37" i="5"/>
  <c r="BJ36" i="5"/>
  <c r="BI36" i="5"/>
  <c r="BH36" i="5"/>
  <c r="BG36" i="5"/>
  <c r="BF36" i="5"/>
  <c r="BE36" i="5"/>
  <c r="BD36" i="5"/>
  <c r="BC36" i="5"/>
  <c r="BB36" i="5"/>
  <c r="BA36" i="5"/>
  <c r="AZ36" i="5"/>
  <c r="AY36" i="5"/>
  <c r="AX36"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C36" i="5"/>
  <c r="B36" i="5"/>
  <c r="A36" i="5"/>
  <c r="BJ35" i="5"/>
  <c r="BI35" i="5"/>
  <c r="BH35" i="5"/>
  <c r="BG35" i="5"/>
  <c r="BF35" i="5"/>
  <c r="BE35" i="5"/>
  <c r="BD35" i="5"/>
  <c r="BC35" i="5"/>
  <c r="BB35" i="5"/>
  <c r="BA35" i="5"/>
  <c r="AZ35" i="5"/>
  <c r="AY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C35" i="5"/>
  <c r="B35" i="5"/>
  <c r="A35" i="5"/>
  <c r="BJ34" i="5"/>
  <c r="BI34" i="5"/>
  <c r="BH34" i="5"/>
  <c r="BG34" i="5"/>
  <c r="BF34" i="5"/>
  <c r="BE34" i="5"/>
  <c r="BD34" i="5"/>
  <c r="BC34" i="5"/>
  <c r="BB34" i="5"/>
  <c r="BA34" i="5"/>
  <c r="AZ34" i="5"/>
  <c r="AY34" i="5"/>
  <c r="AX34" i="5"/>
  <c r="AW34" i="5"/>
  <c r="AV34" i="5"/>
  <c r="AU34" i="5"/>
  <c r="AT34" i="5"/>
  <c r="AS34" i="5"/>
  <c r="AR34" i="5"/>
  <c r="AQ34" i="5"/>
  <c r="AP34" i="5"/>
  <c r="AO34" i="5"/>
  <c r="AN34"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C34" i="5"/>
  <c r="B34" i="5"/>
  <c r="A34" i="5"/>
  <c r="BJ33" i="5"/>
  <c r="BI33" i="5"/>
  <c r="BH33" i="5"/>
  <c r="BG33" i="5"/>
  <c r="BF33" i="5"/>
  <c r="BE33" i="5"/>
  <c r="BD33" i="5"/>
  <c r="BC33" i="5"/>
  <c r="BB33" i="5"/>
  <c r="BA33" i="5"/>
  <c r="AZ33" i="5"/>
  <c r="AY33" i="5"/>
  <c r="AX33"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C33" i="5"/>
  <c r="B33" i="5"/>
  <c r="A33" i="5"/>
  <c r="BJ32" i="5"/>
  <c r="BI32" i="5"/>
  <c r="BH32" i="5"/>
  <c r="BG32" i="5"/>
  <c r="BF32" i="5"/>
  <c r="BE32" i="5"/>
  <c r="BD32" i="5"/>
  <c r="BC32" i="5"/>
  <c r="BB32" i="5"/>
  <c r="BA32" i="5"/>
  <c r="AZ32" i="5"/>
  <c r="AY32" i="5"/>
  <c r="AX32"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B32" i="5"/>
  <c r="A32" i="5"/>
  <c r="BJ31" i="5"/>
  <c r="BI31" i="5"/>
  <c r="BH31" i="5"/>
  <c r="BG31" i="5"/>
  <c r="BF31"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C31" i="5"/>
  <c r="B31" i="5"/>
  <c r="A31" i="5"/>
  <c r="BJ30" i="5"/>
  <c r="BI30" i="5"/>
  <c r="BH30" i="5"/>
  <c r="BG30" i="5"/>
  <c r="BF30" i="5"/>
  <c r="BE30" i="5"/>
  <c r="BD30" i="5"/>
  <c r="BC30" i="5"/>
  <c r="BB30" i="5"/>
  <c r="BA30" i="5"/>
  <c r="AZ30" i="5"/>
  <c r="AY30" i="5"/>
  <c r="AX30" i="5"/>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C30" i="5"/>
  <c r="B30" i="5"/>
  <c r="A30" i="5"/>
  <c r="BJ29" i="5"/>
  <c r="BI29" i="5"/>
  <c r="BH29" i="5"/>
  <c r="BG29" i="5"/>
  <c r="BF29" i="5"/>
  <c r="BE29" i="5"/>
  <c r="BD29" i="5"/>
  <c r="BC29" i="5"/>
  <c r="BB29" i="5"/>
  <c r="BA29" i="5"/>
  <c r="AZ29" i="5"/>
  <c r="AY29" i="5"/>
  <c r="AX29"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C29" i="5"/>
  <c r="B29" i="5"/>
  <c r="A29" i="5"/>
  <c r="BJ28" i="5"/>
  <c r="BI28" i="5"/>
  <c r="BH28" i="5"/>
  <c r="BG28" i="5"/>
  <c r="BF28" i="5"/>
  <c r="BE28" i="5"/>
  <c r="BD28" i="5"/>
  <c r="BC28" i="5"/>
  <c r="BB28" i="5"/>
  <c r="BA28" i="5"/>
  <c r="AZ28"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28" i="5"/>
  <c r="B28" i="5"/>
  <c r="A28" i="5"/>
  <c r="BJ27" i="5"/>
  <c r="BI27" i="5"/>
  <c r="BH27" i="5"/>
  <c r="BG27" i="5"/>
  <c r="BF27" i="5"/>
  <c r="BE27" i="5"/>
  <c r="BD27" i="5"/>
  <c r="BC27" i="5"/>
  <c r="BB27" i="5"/>
  <c r="BA27" i="5"/>
  <c r="AZ27" i="5"/>
  <c r="AY27" i="5"/>
  <c r="AX27"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R27" i="5"/>
  <c r="Q27" i="5"/>
  <c r="P27" i="5"/>
  <c r="O27" i="5"/>
  <c r="N27" i="5"/>
  <c r="M27" i="5"/>
  <c r="L27" i="5"/>
  <c r="K27" i="5"/>
  <c r="J27" i="5"/>
  <c r="I27" i="5"/>
  <c r="H27" i="5"/>
  <c r="G27" i="5"/>
  <c r="F27" i="5"/>
  <c r="E27" i="5"/>
  <c r="D27" i="5"/>
  <c r="C27" i="5"/>
  <c r="B27" i="5"/>
  <c r="A27" i="5"/>
  <c r="BJ26" i="5"/>
  <c r="BI26" i="5"/>
  <c r="BH26" i="5"/>
  <c r="BG26" i="5"/>
  <c r="BF26" i="5"/>
  <c r="BE26" i="5"/>
  <c r="BD26" i="5"/>
  <c r="BC26" i="5"/>
  <c r="BB26" i="5"/>
  <c r="BA26" i="5"/>
  <c r="AZ26" i="5"/>
  <c r="AY26" i="5"/>
  <c r="AX26"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C26" i="5"/>
  <c r="B26" i="5"/>
  <c r="A26" i="5"/>
  <c r="BJ25" i="5"/>
  <c r="BI25" i="5"/>
  <c r="BH25" i="5"/>
  <c r="BG25" i="5"/>
  <c r="BF25" i="5"/>
  <c r="BE25" i="5"/>
  <c r="BD25" i="5"/>
  <c r="BC25" i="5"/>
  <c r="BB25" i="5"/>
  <c r="BA25" i="5"/>
  <c r="AZ25" i="5"/>
  <c r="AY25" i="5"/>
  <c r="AX25" i="5"/>
  <c r="AW25" i="5"/>
  <c r="AV25" i="5"/>
  <c r="AU25" i="5"/>
  <c r="AT25" i="5"/>
  <c r="AS25" i="5"/>
  <c r="AR25" i="5"/>
  <c r="AQ25" i="5"/>
  <c r="AP25" i="5"/>
  <c r="AO25" i="5"/>
  <c r="AN25" i="5"/>
  <c r="AM25" i="5"/>
  <c r="AL25" i="5"/>
  <c r="AK25" i="5"/>
  <c r="AJ25" i="5"/>
  <c r="AI25" i="5"/>
  <c r="AH25" i="5"/>
  <c r="AG25" i="5"/>
  <c r="AF25" i="5"/>
  <c r="AE25"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C25" i="5"/>
  <c r="B25" i="5"/>
  <c r="A25" i="5"/>
  <c r="BJ24" i="5"/>
  <c r="BI24" i="5"/>
  <c r="BH24" i="5"/>
  <c r="BG24" i="5"/>
  <c r="BF24" i="5"/>
  <c r="BE24" i="5"/>
  <c r="BD24" i="5"/>
  <c r="BC24" i="5"/>
  <c r="BB24"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B24" i="5"/>
  <c r="A24" i="5"/>
  <c r="BJ23" i="5"/>
  <c r="BI23" i="5"/>
  <c r="BH23" i="5"/>
  <c r="BG23" i="5"/>
  <c r="BF23" i="5"/>
  <c r="BE23" i="5"/>
  <c r="BD23" i="5"/>
  <c r="BC23" i="5"/>
  <c r="BB23" i="5"/>
  <c r="BA23" i="5"/>
  <c r="AZ23" i="5"/>
  <c r="AY23" i="5"/>
  <c r="AX23"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C23" i="5"/>
  <c r="B23" i="5"/>
  <c r="A23" i="5"/>
  <c r="BJ22" i="5"/>
  <c r="BI22" i="5"/>
  <c r="BH22" i="5"/>
  <c r="BG22" i="5"/>
  <c r="BF22" i="5"/>
  <c r="BE22" i="5"/>
  <c r="BD22" i="5"/>
  <c r="BC22" i="5"/>
  <c r="BB22" i="5"/>
  <c r="BA22" i="5"/>
  <c r="AZ22" i="5"/>
  <c r="AY22" i="5"/>
  <c r="AX22" i="5"/>
  <c r="AW22" i="5"/>
  <c r="AV22" i="5"/>
  <c r="AU22" i="5"/>
  <c r="AT22" i="5"/>
  <c r="AS22" i="5"/>
  <c r="AR22" i="5"/>
  <c r="AQ22" i="5"/>
  <c r="AP22" i="5"/>
  <c r="AO22" i="5"/>
  <c r="AN22" i="5"/>
  <c r="AM22" i="5"/>
  <c r="AL22" i="5"/>
  <c r="AK22" i="5"/>
  <c r="AJ22" i="5"/>
  <c r="AI22" i="5"/>
  <c r="AH22" i="5"/>
  <c r="AG22" i="5"/>
  <c r="AF22" i="5"/>
  <c r="AE22" i="5"/>
  <c r="AD22" i="5"/>
  <c r="AC22" i="5"/>
  <c r="AB22" i="5"/>
  <c r="AA22" i="5"/>
  <c r="Z22" i="5"/>
  <c r="Y22" i="5"/>
  <c r="X22" i="5"/>
  <c r="W22" i="5"/>
  <c r="V22" i="5"/>
  <c r="U22" i="5"/>
  <c r="T22" i="5"/>
  <c r="S22" i="5"/>
  <c r="R22" i="5"/>
  <c r="Q22" i="5"/>
  <c r="P22" i="5"/>
  <c r="O22" i="5"/>
  <c r="N22" i="5"/>
  <c r="M22" i="5"/>
  <c r="L22" i="5"/>
  <c r="K22" i="5"/>
  <c r="J22" i="5"/>
  <c r="I22" i="5"/>
  <c r="H22" i="5"/>
  <c r="G22" i="5"/>
  <c r="F22" i="5"/>
  <c r="E22" i="5"/>
  <c r="D22" i="5"/>
  <c r="C22" i="5"/>
  <c r="B22" i="5"/>
  <c r="A22" i="5"/>
  <c r="BJ21" i="5"/>
  <c r="BI21" i="5"/>
  <c r="BH21" i="5"/>
  <c r="BG21" i="5"/>
  <c r="BF21" i="5"/>
  <c r="BE21" i="5"/>
  <c r="BD21" i="5"/>
  <c r="BC21" i="5"/>
  <c r="BB21" i="5"/>
  <c r="BA21" i="5"/>
  <c r="AZ21" i="5"/>
  <c r="AY21" i="5"/>
  <c r="AX21" i="5"/>
  <c r="AW21" i="5"/>
  <c r="AV21" i="5"/>
  <c r="AU21" i="5"/>
  <c r="AT21" i="5"/>
  <c r="AS21" i="5"/>
  <c r="AR21" i="5"/>
  <c r="AQ21" i="5"/>
  <c r="AP21" i="5"/>
  <c r="AO21" i="5"/>
  <c r="AN21" i="5"/>
  <c r="AM21" i="5"/>
  <c r="AL21" i="5"/>
  <c r="AK21" i="5"/>
  <c r="AJ21" i="5"/>
  <c r="AI21" i="5"/>
  <c r="AH21" i="5"/>
  <c r="AG21" i="5"/>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D21" i="5"/>
  <c r="C21" i="5"/>
  <c r="B21" i="5"/>
  <c r="A21" i="5"/>
  <c r="BJ20" i="5"/>
  <c r="BI20" i="5"/>
  <c r="BH20" i="5"/>
  <c r="BG20" i="5"/>
  <c r="BF20" i="5"/>
  <c r="BE20" i="5"/>
  <c r="BD20" i="5"/>
  <c r="BC20" i="5"/>
  <c r="BB20" i="5"/>
  <c r="BA20" i="5"/>
  <c r="AZ20"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C20" i="5"/>
  <c r="B20" i="5"/>
  <c r="A20" i="5"/>
  <c r="BJ19" i="5"/>
  <c r="BI19" i="5"/>
  <c r="BH19" i="5"/>
  <c r="BG19" i="5"/>
  <c r="BF19" i="5"/>
  <c r="BE19" i="5"/>
  <c r="BD19" i="5"/>
  <c r="BC19" i="5"/>
  <c r="BB19" i="5"/>
  <c r="BA19" i="5"/>
  <c r="AZ19" i="5"/>
  <c r="AY19" i="5"/>
  <c r="AX19" i="5"/>
  <c r="AW19" i="5"/>
  <c r="AV19" i="5"/>
  <c r="AU19" i="5"/>
  <c r="AT19" i="5"/>
  <c r="AS19" i="5"/>
  <c r="AR19" i="5"/>
  <c r="AQ19" i="5"/>
  <c r="AP19" i="5"/>
  <c r="AO19" i="5"/>
  <c r="AN19" i="5"/>
  <c r="AM19" i="5"/>
  <c r="AL19" i="5"/>
  <c r="AK19" i="5"/>
  <c r="AJ19" i="5"/>
  <c r="AI19" i="5"/>
  <c r="AH19" i="5"/>
  <c r="AG19" i="5"/>
  <c r="AF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C19" i="5"/>
  <c r="B19" i="5"/>
  <c r="A19" i="5"/>
  <c r="BJ18" i="5"/>
  <c r="BI18" i="5"/>
  <c r="BH18" i="5"/>
  <c r="BG18" i="5"/>
  <c r="BF18"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C18" i="5"/>
  <c r="B18" i="5"/>
  <c r="A18" i="5"/>
  <c r="BJ17" i="5"/>
  <c r="BI17" i="5"/>
  <c r="BH17" i="5"/>
  <c r="BG17" i="5"/>
  <c r="BF17" i="5"/>
  <c r="BE17" i="5"/>
  <c r="BD17" i="5"/>
  <c r="BC17" i="5"/>
  <c r="BB17" i="5"/>
  <c r="BA17" i="5"/>
  <c r="AZ17" i="5"/>
  <c r="AY17" i="5"/>
  <c r="AX17" i="5"/>
  <c r="AW17" i="5"/>
  <c r="AV17" i="5"/>
  <c r="AU17" i="5"/>
  <c r="AT17" i="5"/>
  <c r="AS17"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C17" i="5"/>
  <c r="B17" i="5"/>
  <c r="A17" i="5"/>
  <c r="BJ16" i="5"/>
  <c r="BI16" i="5"/>
  <c r="BH16" i="5"/>
  <c r="BG16" i="5"/>
  <c r="BF16" i="5"/>
  <c r="BE16" i="5"/>
  <c r="BD16" i="5"/>
  <c r="BC16" i="5"/>
  <c r="BB16" i="5"/>
  <c r="BA16" i="5"/>
  <c r="AZ16" i="5"/>
  <c r="AY16" i="5"/>
  <c r="AX16" i="5"/>
  <c r="AW16" i="5"/>
  <c r="AV16" i="5"/>
  <c r="AU16" i="5"/>
  <c r="AT16" i="5"/>
  <c r="AS16" i="5"/>
  <c r="AR16" i="5"/>
  <c r="AQ16" i="5"/>
  <c r="AP16" i="5"/>
  <c r="AO16" i="5"/>
  <c r="AN16" i="5"/>
  <c r="AM16" i="5"/>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A16" i="5"/>
  <c r="BJ15" i="5"/>
  <c r="BI15" i="5"/>
  <c r="BH15" i="5"/>
  <c r="BG15" i="5"/>
  <c r="BF15" i="5"/>
  <c r="BE15" i="5"/>
  <c r="BD15" i="5"/>
  <c r="BC15" i="5"/>
  <c r="BB15" i="5"/>
  <c r="BA15" i="5"/>
  <c r="AZ15" i="5"/>
  <c r="AY15" i="5"/>
  <c r="AX15" i="5"/>
  <c r="AW15" i="5"/>
  <c r="AV15" i="5"/>
  <c r="AU15" i="5"/>
  <c r="AT15" i="5"/>
  <c r="AS15" i="5"/>
  <c r="AR15" i="5"/>
  <c r="AQ15" i="5"/>
  <c r="AP15" i="5"/>
  <c r="AO15" i="5"/>
  <c r="AN15" i="5"/>
  <c r="AM15" i="5"/>
  <c r="AL15" i="5"/>
  <c r="AK15" i="5"/>
  <c r="AJ15" i="5"/>
  <c r="AI15" i="5"/>
  <c r="AH15" i="5"/>
  <c r="AG15" i="5"/>
  <c r="AF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C15" i="5"/>
  <c r="B15" i="5"/>
  <c r="A15" i="5"/>
  <c r="BJ14" i="5"/>
  <c r="BI14" i="5"/>
  <c r="BH14" i="5"/>
  <c r="BG14" i="5"/>
  <c r="BF14" i="5"/>
  <c r="BE14" i="5"/>
  <c r="BD14" i="5"/>
  <c r="BC14" i="5"/>
  <c r="BB14" i="5"/>
  <c r="BA14" i="5"/>
  <c r="AZ14" i="5"/>
  <c r="AY14" i="5"/>
  <c r="AX14" i="5"/>
  <c r="AW14" i="5"/>
  <c r="AV14" i="5"/>
  <c r="AU14" i="5"/>
  <c r="AT14" i="5"/>
  <c r="AS14" i="5"/>
  <c r="AR14" i="5"/>
  <c r="AQ14" i="5"/>
  <c r="AP14" i="5"/>
  <c r="AO14" i="5"/>
  <c r="AN14" i="5"/>
  <c r="AM14" i="5"/>
  <c r="AL14" i="5"/>
  <c r="AK14" i="5"/>
  <c r="AJ14" i="5"/>
  <c r="AI14" i="5"/>
  <c r="AH14" i="5"/>
  <c r="AG14" i="5"/>
  <c r="AF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B14" i="5"/>
  <c r="A14" i="5"/>
  <c r="BJ13" i="5"/>
  <c r="BI13" i="5"/>
  <c r="BH13" i="5"/>
  <c r="BG13"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C13" i="5"/>
  <c r="B13" i="5"/>
  <c r="A13" i="5"/>
  <c r="BJ12" i="5"/>
  <c r="BI12" i="5"/>
  <c r="BH12" i="5"/>
  <c r="BG12" i="5"/>
  <c r="BF12" i="5"/>
  <c r="BE12" i="5"/>
  <c r="BD12" i="5"/>
  <c r="BC12" i="5"/>
  <c r="BB12" i="5"/>
  <c r="BA12" i="5"/>
  <c r="AZ12" i="5"/>
  <c r="AY12" i="5"/>
  <c r="AX12" i="5"/>
  <c r="AW12" i="5"/>
  <c r="AV12" i="5"/>
  <c r="AU12" i="5"/>
  <c r="AT12" i="5"/>
  <c r="AS12" i="5"/>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B12" i="5"/>
  <c r="A12" i="5"/>
  <c r="BJ11" i="5"/>
  <c r="BI11" i="5"/>
  <c r="BH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C11" i="5"/>
  <c r="B11" i="5"/>
  <c r="A11" i="5"/>
  <c r="BJ10" i="5"/>
  <c r="BI10" i="5"/>
  <c r="BH10" i="5"/>
  <c r="BG10" i="5"/>
  <c r="BF10" i="5"/>
  <c r="BE10" i="5"/>
  <c r="BD10" i="5"/>
  <c r="BC10" i="5"/>
  <c r="BB10" i="5"/>
  <c r="BA10" i="5"/>
  <c r="AZ10"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B10" i="5"/>
  <c r="A10" i="5"/>
  <c r="BJ9" i="5"/>
  <c r="BI9" i="5"/>
  <c r="BH9" i="5"/>
  <c r="BG9" i="5"/>
  <c r="BF9" i="5"/>
  <c r="BE9" i="5"/>
  <c r="BD9" i="5"/>
  <c r="BC9" i="5"/>
  <c r="BB9" i="5"/>
  <c r="BA9" i="5"/>
  <c r="AZ9" i="5"/>
  <c r="AY9" i="5"/>
  <c r="AX9" i="5"/>
  <c r="AW9" i="5"/>
  <c r="AV9" i="5"/>
  <c r="AU9" i="5"/>
  <c r="AT9" i="5"/>
  <c r="AS9" i="5"/>
  <c r="AR9" i="5"/>
  <c r="AQ9" i="5"/>
  <c r="AP9" i="5"/>
  <c r="AO9" i="5"/>
  <c r="AN9" i="5"/>
  <c r="AM9" i="5"/>
  <c r="AL9" i="5"/>
  <c r="AK9" i="5"/>
  <c r="AJ9" i="5"/>
  <c r="AI9" i="5"/>
  <c r="AH9" i="5"/>
  <c r="AG9" i="5"/>
  <c r="AF9" i="5"/>
  <c r="AE9" i="5"/>
  <c r="AD9" i="5"/>
  <c r="AC9" i="5"/>
  <c r="AB9" i="5"/>
  <c r="AA9" i="5"/>
  <c r="Z9" i="5"/>
  <c r="Y9" i="5"/>
  <c r="X9" i="5"/>
  <c r="W9" i="5"/>
  <c r="V9" i="5"/>
  <c r="U9" i="5"/>
  <c r="T9" i="5"/>
  <c r="S9" i="5"/>
  <c r="R9" i="5"/>
  <c r="Q9" i="5"/>
  <c r="P9" i="5"/>
  <c r="O9" i="5"/>
  <c r="N9" i="5"/>
  <c r="M9" i="5"/>
  <c r="L9" i="5"/>
  <c r="K9" i="5"/>
  <c r="J9" i="5"/>
  <c r="I9" i="5"/>
  <c r="H9" i="5"/>
  <c r="G9" i="5"/>
  <c r="F9" i="5"/>
  <c r="E9" i="5"/>
  <c r="D9" i="5"/>
  <c r="C9" i="5"/>
  <c r="B9" i="5"/>
  <c r="A9" i="5"/>
  <c r="BJ8" i="5"/>
  <c r="BI8" i="5"/>
  <c r="BH8" i="5"/>
  <c r="BG8" i="5"/>
  <c r="BF8" i="5"/>
  <c r="BE8" i="5"/>
  <c r="BD8" i="5"/>
  <c r="BC8" i="5"/>
  <c r="BB8" i="5"/>
  <c r="BA8" i="5"/>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8"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7"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A6"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A5"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4"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N3" i="5"/>
  <c r="M3" i="5"/>
  <c r="L3" i="5"/>
  <c r="K3" i="5"/>
  <c r="J3" i="5"/>
  <c r="I3" i="5"/>
  <c r="H3" i="5"/>
  <c r="G3" i="5"/>
  <c r="F3" i="5"/>
  <c r="E3" i="5"/>
  <c r="D3" i="5"/>
  <c r="C3" i="5"/>
  <c r="B3" i="5"/>
  <c r="A3"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2"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G1" i="5"/>
  <c r="AF1" i="5"/>
  <c r="AE1" i="5"/>
  <c r="AD1" i="5"/>
  <c r="AC1" i="5"/>
  <c r="AB1" i="5"/>
  <c r="AA1" i="5"/>
  <c r="Z1" i="5"/>
  <c r="Y1" i="5"/>
  <c r="X1" i="5"/>
  <c r="W1" i="5"/>
  <c r="V1" i="5"/>
  <c r="U1" i="5"/>
  <c r="T1" i="5"/>
  <c r="S1" i="5"/>
  <c r="R1" i="5"/>
  <c r="Q1" i="5"/>
  <c r="P1" i="5"/>
  <c r="O1" i="5"/>
  <c r="N1" i="5"/>
  <c r="M1" i="5"/>
  <c r="L1" i="5"/>
  <c r="K1" i="5"/>
  <c r="J1" i="5"/>
  <c r="I1" i="5"/>
  <c r="H1" i="5"/>
  <c r="G1" i="5"/>
  <c r="F1" i="5"/>
  <c r="E1" i="5"/>
  <c r="D1" i="5"/>
  <c r="C1" i="5"/>
  <c r="B1" i="5"/>
  <c r="A1" i="5"/>
  <c r="BK355" i="2"/>
  <c r="BJ355" i="2"/>
  <c r="BI355" i="2"/>
  <c r="BH355" i="2"/>
  <c r="BG355" i="2"/>
  <c r="BF355" i="2"/>
  <c r="BE355" i="2"/>
  <c r="BD355" i="2"/>
  <c r="BC355" i="2"/>
  <c r="BB355" i="2"/>
  <c r="BA355" i="2"/>
  <c r="AZ355" i="2"/>
  <c r="AY355" i="2"/>
  <c r="AX355" i="2"/>
  <c r="AW355" i="2"/>
  <c r="AV355" i="2"/>
  <c r="AU355" i="2"/>
  <c r="AT355" i="2"/>
  <c r="AS355" i="2"/>
  <c r="AR355" i="2"/>
  <c r="AQ355" i="2"/>
  <c r="AP355" i="2"/>
  <c r="AO355" i="2"/>
  <c r="AN355" i="2"/>
  <c r="AM355" i="2"/>
  <c r="AL355" i="2"/>
  <c r="AK355" i="2"/>
  <c r="AJ355" i="2"/>
  <c r="AI355" i="2"/>
  <c r="AH355" i="2"/>
  <c r="AG355" i="2"/>
  <c r="AF355" i="2"/>
  <c r="AE355" i="2"/>
  <c r="AD355" i="2"/>
  <c r="AC355" i="2"/>
  <c r="AB355" i="2"/>
  <c r="AA355" i="2"/>
  <c r="Z355" i="2"/>
  <c r="Y355" i="2"/>
  <c r="X355" i="2"/>
  <c r="W355" i="2"/>
  <c r="V355" i="2"/>
  <c r="U355" i="2"/>
  <c r="T355" i="2"/>
  <c r="S355" i="2"/>
  <c r="R355" i="2"/>
  <c r="Q355" i="2"/>
  <c r="P355" i="2"/>
  <c r="O355" i="2"/>
  <c r="N355" i="2"/>
  <c r="M355" i="2"/>
  <c r="L355" i="2"/>
  <c r="K355" i="2"/>
  <c r="J355" i="2"/>
  <c r="I355" i="2"/>
  <c r="H355" i="2"/>
  <c r="G355" i="2"/>
  <c r="F355" i="2"/>
  <c r="E355" i="2"/>
  <c r="D355" i="2"/>
  <c r="C355" i="2"/>
  <c r="B355" i="2"/>
  <c r="A355" i="2"/>
  <c r="BK354" i="2"/>
  <c r="BJ354" i="2"/>
  <c r="BI354" i="2"/>
  <c r="BH354" i="2"/>
  <c r="BG354" i="2"/>
  <c r="BF354" i="2"/>
  <c r="BE354" i="2"/>
  <c r="BD354" i="2"/>
  <c r="BC354" i="2"/>
  <c r="BB354" i="2"/>
  <c r="BA354" i="2"/>
  <c r="AZ354" i="2"/>
  <c r="AY354" i="2"/>
  <c r="AX354" i="2"/>
  <c r="AW354" i="2"/>
  <c r="AV354" i="2"/>
  <c r="AU354" i="2"/>
  <c r="AT354" i="2"/>
  <c r="AS354" i="2"/>
  <c r="AR354" i="2"/>
  <c r="AQ354" i="2"/>
  <c r="AP354" i="2"/>
  <c r="AO354" i="2"/>
  <c r="AN354" i="2"/>
  <c r="AM354" i="2"/>
  <c r="AL354" i="2"/>
  <c r="AK354" i="2"/>
  <c r="AJ354" i="2"/>
  <c r="AI354" i="2"/>
  <c r="AH354" i="2"/>
  <c r="AG354" i="2"/>
  <c r="AF354" i="2"/>
  <c r="AE354" i="2"/>
  <c r="AD354" i="2"/>
  <c r="AC354" i="2"/>
  <c r="AB354" i="2"/>
  <c r="AA354" i="2"/>
  <c r="Z354" i="2"/>
  <c r="Y354" i="2"/>
  <c r="X354" i="2"/>
  <c r="W354" i="2"/>
  <c r="V354" i="2"/>
  <c r="U354" i="2"/>
  <c r="T354" i="2"/>
  <c r="S354" i="2"/>
  <c r="R354" i="2"/>
  <c r="Q354" i="2"/>
  <c r="P354" i="2"/>
  <c r="O354" i="2"/>
  <c r="N354" i="2"/>
  <c r="M354" i="2"/>
  <c r="L354" i="2"/>
  <c r="K354" i="2"/>
  <c r="J354" i="2"/>
  <c r="I354" i="2"/>
  <c r="H354" i="2"/>
  <c r="G354" i="2"/>
  <c r="F354" i="2"/>
  <c r="E354" i="2"/>
  <c r="D354" i="2"/>
  <c r="C354" i="2"/>
  <c r="B354" i="2"/>
  <c r="A354" i="2"/>
  <c r="BK353" i="2"/>
  <c r="BJ353" i="2"/>
  <c r="BI353" i="2"/>
  <c r="BH353" i="2"/>
  <c r="BG353" i="2"/>
  <c r="BF353" i="2"/>
  <c r="BE353" i="2"/>
  <c r="BD353" i="2"/>
  <c r="BC353" i="2"/>
  <c r="BB353" i="2"/>
  <c r="BA353" i="2"/>
  <c r="AZ353" i="2"/>
  <c r="AY353" i="2"/>
  <c r="AX353" i="2"/>
  <c r="AW353" i="2"/>
  <c r="AV353" i="2"/>
  <c r="AU353" i="2"/>
  <c r="AT353" i="2"/>
  <c r="AS353" i="2"/>
  <c r="AR353" i="2"/>
  <c r="AQ353" i="2"/>
  <c r="AP353" i="2"/>
  <c r="AO353" i="2"/>
  <c r="AN353" i="2"/>
  <c r="AM353" i="2"/>
  <c r="AL353" i="2"/>
  <c r="AK353" i="2"/>
  <c r="AJ353" i="2"/>
  <c r="AI353" i="2"/>
  <c r="AH353" i="2"/>
  <c r="AG353" i="2"/>
  <c r="AF353" i="2"/>
  <c r="AE353" i="2"/>
  <c r="AD353" i="2"/>
  <c r="AC353" i="2"/>
  <c r="AB353" i="2"/>
  <c r="AA353" i="2"/>
  <c r="Z353" i="2"/>
  <c r="Y353" i="2"/>
  <c r="X353" i="2"/>
  <c r="W353" i="2"/>
  <c r="V353" i="2"/>
  <c r="U353" i="2"/>
  <c r="T353" i="2"/>
  <c r="S353" i="2"/>
  <c r="R353" i="2"/>
  <c r="Q353" i="2"/>
  <c r="P353" i="2"/>
  <c r="O353" i="2"/>
  <c r="N353" i="2"/>
  <c r="M353" i="2"/>
  <c r="L353" i="2"/>
  <c r="K353" i="2"/>
  <c r="J353" i="2"/>
  <c r="I353" i="2"/>
  <c r="H353" i="2"/>
  <c r="G353" i="2"/>
  <c r="F353" i="2"/>
  <c r="E353" i="2"/>
  <c r="D353" i="2"/>
  <c r="C353" i="2"/>
  <c r="B353" i="2"/>
  <c r="A353" i="2"/>
  <c r="BK352" i="2"/>
  <c r="BJ352" i="2"/>
  <c r="BI352" i="2"/>
  <c r="BH352" i="2"/>
  <c r="BG352" i="2"/>
  <c r="BF352" i="2"/>
  <c r="BE352" i="2"/>
  <c r="BD352" i="2"/>
  <c r="BC352" i="2"/>
  <c r="BB352" i="2"/>
  <c r="BA352" i="2"/>
  <c r="AZ352" i="2"/>
  <c r="AY352" i="2"/>
  <c r="AX352" i="2"/>
  <c r="AW352" i="2"/>
  <c r="AV352" i="2"/>
  <c r="AU352" i="2"/>
  <c r="AT352" i="2"/>
  <c r="AS352" i="2"/>
  <c r="AR352" i="2"/>
  <c r="AQ352" i="2"/>
  <c r="AP352" i="2"/>
  <c r="AO352" i="2"/>
  <c r="AN352" i="2"/>
  <c r="AM352" i="2"/>
  <c r="AL352" i="2"/>
  <c r="AK352" i="2"/>
  <c r="AJ352" i="2"/>
  <c r="AI352" i="2"/>
  <c r="AH352" i="2"/>
  <c r="AG352" i="2"/>
  <c r="AF352" i="2"/>
  <c r="AE352" i="2"/>
  <c r="AD352" i="2"/>
  <c r="AC352" i="2"/>
  <c r="AB352" i="2"/>
  <c r="AA352" i="2"/>
  <c r="Z352" i="2"/>
  <c r="Y352" i="2"/>
  <c r="X352" i="2"/>
  <c r="W352" i="2"/>
  <c r="V352" i="2"/>
  <c r="U352" i="2"/>
  <c r="T352" i="2"/>
  <c r="S352" i="2"/>
  <c r="R352" i="2"/>
  <c r="Q352" i="2"/>
  <c r="P352" i="2"/>
  <c r="O352" i="2"/>
  <c r="N352" i="2"/>
  <c r="M352" i="2"/>
  <c r="L352" i="2"/>
  <c r="K352" i="2"/>
  <c r="J352" i="2"/>
  <c r="I352" i="2"/>
  <c r="H352" i="2"/>
  <c r="G352" i="2"/>
  <c r="F352" i="2"/>
  <c r="E352" i="2"/>
  <c r="D352" i="2"/>
  <c r="C352" i="2"/>
  <c r="B352" i="2"/>
  <c r="A352" i="2"/>
  <c r="BK351" i="2"/>
  <c r="BJ351" i="2"/>
  <c r="BI351" i="2"/>
  <c r="BH351" i="2"/>
  <c r="BG351" i="2"/>
  <c r="BF351" i="2"/>
  <c r="BE351" i="2"/>
  <c r="BD351" i="2"/>
  <c r="BC351" i="2"/>
  <c r="BB351" i="2"/>
  <c r="BA351" i="2"/>
  <c r="AZ351" i="2"/>
  <c r="AY351" i="2"/>
  <c r="AX351" i="2"/>
  <c r="AW351" i="2"/>
  <c r="AV351" i="2"/>
  <c r="AU351" i="2"/>
  <c r="AT351" i="2"/>
  <c r="AS351" i="2"/>
  <c r="AR351" i="2"/>
  <c r="AQ351" i="2"/>
  <c r="AP351" i="2"/>
  <c r="AO351" i="2"/>
  <c r="AN351" i="2"/>
  <c r="AM351" i="2"/>
  <c r="AL351" i="2"/>
  <c r="AK351" i="2"/>
  <c r="AJ351" i="2"/>
  <c r="AI351" i="2"/>
  <c r="AH351" i="2"/>
  <c r="AG351" i="2"/>
  <c r="AF351" i="2"/>
  <c r="AE351" i="2"/>
  <c r="AD351" i="2"/>
  <c r="AC351" i="2"/>
  <c r="AB351" i="2"/>
  <c r="AA351" i="2"/>
  <c r="Z351" i="2"/>
  <c r="Y351" i="2"/>
  <c r="X351" i="2"/>
  <c r="W351" i="2"/>
  <c r="V351" i="2"/>
  <c r="U351" i="2"/>
  <c r="T351" i="2"/>
  <c r="S351" i="2"/>
  <c r="R351" i="2"/>
  <c r="Q351" i="2"/>
  <c r="P351" i="2"/>
  <c r="O351" i="2"/>
  <c r="N351" i="2"/>
  <c r="M351" i="2"/>
  <c r="L351" i="2"/>
  <c r="K351" i="2"/>
  <c r="J351" i="2"/>
  <c r="I351" i="2"/>
  <c r="H351" i="2"/>
  <c r="G351" i="2"/>
  <c r="F351" i="2"/>
  <c r="E351" i="2"/>
  <c r="D351" i="2"/>
  <c r="C351" i="2"/>
  <c r="B351" i="2"/>
  <c r="A351" i="2"/>
  <c r="BK350" i="2"/>
  <c r="BJ350" i="2"/>
  <c r="BI350" i="2"/>
  <c r="BH350" i="2"/>
  <c r="BG350" i="2"/>
  <c r="BF350" i="2"/>
  <c r="BE350" i="2"/>
  <c r="BD350" i="2"/>
  <c r="BC350" i="2"/>
  <c r="BB350" i="2"/>
  <c r="BA350" i="2"/>
  <c r="AZ350" i="2"/>
  <c r="AY350" i="2"/>
  <c r="AX350" i="2"/>
  <c r="AW350" i="2"/>
  <c r="AV350" i="2"/>
  <c r="AU350" i="2"/>
  <c r="AT350" i="2"/>
  <c r="AS350" i="2"/>
  <c r="AR350" i="2"/>
  <c r="AQ350" i="2"/>
  <c r="AP350" i="2"/>
  <c r="AO350" i="2"/>
  <c r="AN350" i="2"/>
  <c r="AM350" i="2"/>
  <c r="AL350" i="2"/>
  <c r="AK350" i="2"/>
  <c r="AJ350" i="2"/>
  <c r="AI350" i="2"/>
  <c r="AH350" i="2"/>
  <c r="AG350" i="2"/>
  <c r="AF350" i="2"/>
  <c r="AE350" i="2"/>
  <c r="AD350" i="2"/>
  <c r="AC350" i="2"/>
  <c r="AB350" i="2"/>
  <c r="AA350" i="2"/>
  <c r="Z350" i="2"/>
  <c r="Y350" i="2"/>
  <c r="X350" i="2"/>
  <c r="W350" i="2"/>
  <c r="V350" i="2"/>
  <c r="U350" i="2"/>
  <c r="T350" i="2"/>
  <c r="S350" i="2"/>
  <c r="R350" i="2"/>
  <c r="Q350" i="2"/>
  <c r="P350" i="2"/>
  <c r="O350" i="2"/>
  <c r="N350" i="2"/>
  <c r="M350" i="2"/>
  <c r="L350" i="2"/>
  <c r="K350" i="2"/>
  <c r="J350" i="2"/>
  <c r="I350" i="2"/>
  <c r="H350" i="2"/>
  <c r="G350" i="2"/>
  <c r="F350" i="2"/>
  <c r="E350" i="2"/>
  <c r="D350" i="2"/>
  <c r="C350" i="2"/>
  <c r="B350" i="2"/>
  <c r="A350" i="2"/>
  <c r="BK349" i="2"/>
  <c r="BJ349" i="2"/>
  <c r="BI349" i="2"/>
  <c r="BH349" i="2"/>
  <c r="BG349" i="2"/>
  <c r="BF349" i="2"/>
  <c r="BE349" i="2"/>
  <c r="BD349" i="2"/>
  <c r="BC349" i="2"/>
  <c r="BB349" i="2"/>
  <c r="BA349" i="2"/>
  <c r="AZ349" i="2"/>
  <c r="AY349" i="2"/>
  <c r="AX349" i="2"/>
  <c r="AW349" i="2"/>
  <c r="AV349" i="2"/>
  <c r="AU349" i="2"/>
  <c r="AT349" i="2"/>
  <c r="AS349" i="2"/>
  <c r="AR349" i="2"/>
  <c r="AQ349" i="2"/>
  <c r="AP349" i="2"/>
  <c r="AO349" i="2"/>
  <c r="AN349" i="2"/>
  <c r="AM349" i="2"/>
  <c r="AL349" i="2"/>
  <c r="AK349" i="2"/>
  <c r="AJ349" i="2"/>
  <c r="AI349" i="2"/>
  <c r="AH349" i="2"/>
  <c r="AG349" i="2"/>
  <c r="AF349" i="2"/>
  <c r="AE349" i="2"/>
  <c r="AD349" i="2"/>
  <c r="AC349" i="2"/>
  <c r="AB349" i="2"/>
  <c r="AA349" i="2"/>
  <c r="Z349" i="2"/>
  <c r="Y349" i="2"/>
  <c r="X349" i="2"/>
  <c r="W349" i="2"/>
  <c r="V349" i="2"/>
  <c r="U349" i="2"/>
  <c r="T349" i="2"/>
  <c r="S349" i="2"/>
  <c r="R349" i="2"/>
  <c r="Q349" i="2"/>
  <c r="P349" i="2"/>
  <c r="O349" i="2"/>
  <c r="N349" i="2"/>
  <c r="M349" i="2"/>
  <c r="L349" i="2"/>
  <c r="K349" i="2"/>
  <c r="J349" i="2"/>
  <c r="I349" i="2"/>
  <c r="H349" i="2"/>
  <c r="G349" i="2"/>
  <c r="F349" i="2"/>
  <c r="E349" i="2"/>
  <c r="D349" i="2"/>
  <c r="C349" i="2"/>
  <c r="B349" i="2"/>
  <c r="A349" i="2"/>
  <c r="BK348" i="2"/>
  <c r="BJ348" i="2"/>
  <c r="BI348" i="2"/>
  <c r="BH348" i="2"/>
  <c r="BG348" i="2"/>
  <c r="BF348" i="2"/>
  <c r="BE348" i="2"/>
  <c r="BD348" i="2"/>
  <c r="BC348" i="2"/>
  <c r="BB348" i="2"/>
  <c r="BA348" i="2"/>
  <c r="AZ348" i="2"/>
  <c r="AY348" i="2"/>
  <c r="AX348" i="2"/>
  <c r="AW348" i="2"/>
  <c r="AV348" i="2"/>
  <c r="AU348" i="2"/>
  <c r="AT348" i="2"/>
  <c r="AS348" i="2"/>
  <c r="AR348" i="2"/>
  <c r="AQ348" i="2"/>
  <c r="AP348" i="2"/>
  <c r="AO348" i="2"/>
  <c r="AN348" i="2"/>
  <c r="AM348" i="2"/>
  <c r="AL348" i="2"/>
  <c r="AK348" i="2"/>
  <c r="AJ348" i="2"/>
  <c r="AI348" i="2"/>
  <c r="AH348" i="2"/>
  <c r="AG348" i="2"/>
  <c r="AF348" i="2"/>
  <c r="AE348" i="2"/>
  <c r="AD348" i="2"/>
  <c r="AC348" i="2"/>
  <c r="AB348" i="2"/>
  <c r="AA348" i="2"/>
  <c r="Z348" i="2"/>
  <c r="Y348" i="2"/>
  <c r="X348" i="2"/>
  <c r="W348" i="2"/>
  <c r="V348" i="2"/>
  <c r="U348" i="2"/>
  <c r="T348" i="2"/>
  <c r="S348" i="2"/>
  <c r="R348" i="2"/>
  <c r="Q348" i="2"/>
  <c r="P348" i="2"/>
  <c r="O348" i="2"/>
  <c r="N348" i="2"/>
  <c r="M348" i="2"/>
  <c r="L348" i="2"/>
  <c r="K348" i="2"/>
  <c r="J348" i="2"/>
  <c r="I348" i="2"/>
  <c r="H348" i="2"/>
  <c r="G348" i="2"/>
  <c r="F348" i="2"/>
  <c r="E348" i="2"/>
  <c r="D348" i="2"/>
  <c r="C348" i="2"/>
  <c r="B348" i="2"/>
  <c r="A348" i="2"/>
  <c r="BK347" i="2"/>
  <c r="BJ347" i="2"/>
  <c r="BI347" i="2"/>
  <c r="BH347" i="2"/>
  <c r="BG347" i="2"/>
  <c r="BF347" i="2"/>
  <c r="BE347" i="2"/>
  <c r="BD347" i="2"/>
  <c r="BC347" i="2"/>
  <c r="BB347" i="2"/>
  <c r="BA347" i="2"/>
  <c r="AZ347" i="2"/>
  <c r="AY347" i="2"/>
  <c r="AX347" i="2"/>
  <c r="AW347" i="2"/>
  <c r="AV347" i="2"/>
  <c r="AU347" i="2"/>
  <c r="AT347" i="2"/>
  <c r="AS347" i="2"/>
  <c r="AR347" i="2"/>
  <c r="AQ347" i="2"/>
  <c r="AP347" i="2"/>
  <c r="AO347" i="2"/>
  <c r="AN347" i="2"/>
  <c r="AM347" i="2"/>
  <c r="AL347" i="2"/>
  <c r="AK347" i="2"/>
  <c r="AJ347" i="2"/>
  <c r="AI347" i="2"/>
  <c r="AH347" i="2"/>
  <c r="AG347" i="2"/>
  <c r="AF347" i="2"/>
  <c r="AE347" i="2"/>
  <c r="AD347" i="2"/>
  <c r="AC347" i="2"/>
  <c r="AB347" i="2"/>
  <c r="AA347" i="2"/>
  <c r="Z347" i="2"/>
  <c r="Y347" i="2"/>
  <c r="X347" i="2"/>
  <c r="W347" i="2"/>
  <c r="V347" i="2"/>
  <c r="U347" i="2"/>
  <c r="T347" i="2"/>
  <c r="S347" i="2"/>
  <c r="R347" i="2"/>
  <c r="Q347" i="2"/>
  <c r="P347" i="2"/>
  <c r="O347" i="2"/>
  <c r="N347" i="2"/>
  <c r="M347" i="2"/>
  <c r="L347" i="2"/>
  <c r="K347" i="2"/>
  <c r="J347" i="2"/>
  <c r="I347" i="2"/>
  <c r="H347" i="2"/>
  <c r="G347" i="2"/>
  <c r="F347" i="2"/>
  <c r="E347" i="2"/>
  <c r="D347" i="2"/>
  <c r="C347" i="2"/>
  <c r="B347" i="2"/>
  <c r="A347" i="2"/>
  <c r="BK346" i="2"/>
  <c r="BJ346" i="2"/>
  <c r="BI346" i="2"/>
  <c r="BH346" i="2"/>
  <c r="BG346" i="2"/>
  <c r="BF346" i="2"/>
  <c r="BE346" i="2"/>
  <c r="BD346" i="2"/>
  <c r="BC346" i="2"/>
  <c r="BB346" i="2"/>
  <c r="BA346" i="2"/>
  <c r="AZ346" i="2"/>
  <c r="AY346" i="2"/>
  <c r="AX346" i="2"/>
  <c r="AW346" i="2"/>
  <c r="AV346" i="2"/>
  <c r="AU346" i="2"/>
  <c r="AT346" i="2"/>
  <c r="AS346" i="2"/>
  <c r="AR346" i="2"/>
  <c r="AQ346" i="2"/>
  <c r="AP346" i="2"/>
  <c r="AO346" i="2"/>
  <c r="AN346" i="2"/>
  <c r="AM346" i="2"/>
  <c r="AL346" i="2"/>
  <c r="AK346" i="2"/>
  <c r="AJ346" i="2"/>
  <c r="AI346" i="2"/>
  <c r="AH346" i="2"/>
  <c r="AG346" i="2"/>
  <c r="AF346" i="2"/>
  <c r="AE346" i="2"/>
  <c r="AD346" i="2"/>
  <c r="AC346" i="2"/>
  <c r="AB346" i="2"/>
  <c r="AA346" i="2"/>
  <c r="Z346" i="2"/>
  <c r="Y346" i="2"/>
  <c r="X346" i="2"/>
  <c r="W346" i="2"/>
  <c r="V346" i="2"/>
  <c r="U346" i="2"/>
  <c r="T346" i="2"/>
  <c r="S346" i="2"/>
  <c r="R346" i="2"/>
  <c r="Q346" i="2"/>
  <c r="P346" i="2"/>
  <c r="O346" i="2"/>
  <c r="N346" i="2"/>
  <c r="M346" i="2"/>
  <c r="L346" i="2"/>
  <c r="K346" i="2"/>
  <c r="J346" i="2"/>
  <c r="I346" i="2"/>
  <c r="H346" i="2"/>
  <c r="G346" i="2"/>
  <c r="F346" i="2"/>
  <c r="E346" i="2"/>
  <c r="D346" i="2"/>
  <c r="C346" i="2"/>
  <c r="B346" i="2"/>
  <c r="A346" i="2"/>
  <c r="BK345" i="2"/>
  <c r="BJ345" i="2"/>
  <c r="BI345" i="2"/>
  <c r="BH345" i="2"/>
  <c r="BG345" i="2"/>
  <c r="BF345" i="2"/>
  <c r="BE345" i="2"/>
  <c r="BD345" i="2"/>
  <c r="BC345" i="2"/>
  <c r="BB345" i="2"/>
  <c r="BA345" i="2"/>
  <c r="AZ345" i="2"/>
  <c r="AY345" i="2"/>
  <c r="AX345" i="2"/>
  <c r="AW345" i="2"/>
  <c r="AV345" i="2"/>
  <c r="AU345" i="2"/>
  <c r="AT345" i="2"/>
  <c r="AS345" i="2"/>
  <c r="AR345" i="2"/>
  <c r="AQ345" i="2"/>
  <c r="AP345" i="2"/>
  <c r="AO345" i="2"/>
  <c r="AN345" i="2"/>
  <c r="AM345" i="2"/>
  <c r="AL345" i="2"/>
  <c r="AK345" i="2"/>
  <c r="AJ345" i="2"/>
  <c r="AI345" i="2"/>
  <c r="AH345" i="2"/>
  <c r="AG345" i="2"/>
  <c r="AF345" i="2"/>
  <c r="AE345" i="2"/>
  <c r="AD345" i="2"/>
  <c r="AC345" i="2"/>
  <c r="AB345" i="2"/>
  <c r="AA345" i="2"/>
  <c r="Z345" i="2"/>
  <c r="Y345" i="2"/>
  <c r="X345" i="2"/>
  <c r="W345" i="2"/>
  <c r="V345" i="2"/>
  <c r="U345" i="2"/>
  <c r="T345" i="2"/>
  <c r="S345" i="2"/>
  <c r="R345" i="2"/>
  <c r="Q345" i="2"/>
  <c r="P345" i="2"/>
  <c r="O345" i="2"/>
  <c r="N345" i="2"/>
  <c r="M345" i="2"/>
  <c r="L345" i="2"/>
  <c r="K345" i="2"/>
  <c r="J345" i="2"/>
  <c r="I345" i="2"/>
  <c r="H345" i="2"/>
  <c r="G345" i="2"/>
  <c r="F345" i="2"/>
  <c r="E345" i="2"/>
  <c r="D345" i="2"/>
  <c r="C345" i="2"/>
  <c r="B345" i="2"/>
  <c r="A345" i="2"/>
  <c r="BK344" i="2"/>
  <c r="BJ344" i="2"/>
  <c r="BI344" i="2"/>
  <c r="BH344" i="2"/>
  <c r="BG344" i="2"/>
  <c r="BF344" i="2"/>
  <c r="BE344" i="2"/>
  <c r="BD344" i="2"/>
  <c r="BC344" i="2"/>
  <c r="BB344" i="2"/>
  <c r="BA344" i="2"/>
  <c r="AZ344" i="2"/>
  <c r="AY344" i="2"/>
  <c r="AX344" i="2"/>
  <c r="AW344" i="2"/>
  <c r="AV344" i="2"/>
  <c r="AU344" i="2"/>
  <c r="AT344" i="2"/>
  <c r="AS344" i="2"/>
  <c r="AR344" i="2"/>
  <c r="AQ344" i="2"/>
  <c r="AP344" i="2"/>
  <c r="AO344" i="2"/>
  <c r="AN344" i="2"/>
  <c r="AM344" i="2"/>
  <c r="AL344" i="2"/>
  <c r="AK344" i="2"/>
  <c r="AJ344" i="2"/>
  <c r="AI344" i="2"/>
  <c r="AH344" i="2"/>
  <c r="AG344" i="2"/>
  <c r="AF344" i="2"/>
  <c r="AE344" i="2"/>
  <c r="AD344" i="2"/>
  <c r="AC344" i="2"/>
  <c r="AB344" i="2"/>
  <c r="AA344" i="2"/>
  <c r="Z344" i="2"/>
  <c r="Y344" i="2"/>
  <c r="X344" i="2"/>
  <c r="W344" i="2"/>
  <c r="V344" i="2"/>
  <c r="U344" i="2"/>
  <c r="T344" i="2"/>
  <c r="S344" i="2"/>
  <c r="R344" i="2"/>
  <c r="Q344" i="2"/>
  <c r="P344" i="2"/>
  <c r="O344" i="2"/>
  <c r="N344" i="2"/>
  <c r="M344" i="2"/>
  <c r="L344" i="2"/>
  <c r="K344" i="2"/>
  <c r="J344" i="2"/>
  <c r="I344" i="2"/>
  <c r="H344" i="2"/>
  <c r="G344" i="2"/>
  <c r="F344" i="2"/>
  <c r="E344" i="2"/>
  <c r="D344" i="2"/>
  <c r="C344" i="2"/>
  <c r="B344" i="2"/>
  <c r="A344" i="2"/>
  <c r="BK343" i="2"/>
  <c r="BJ343" i="2"/>
  <c r="BI343" i="2"/>
  <c r="BH343" i="2"/>
  <c r="BG343" i="2"/>
  <c r="BF343" i="2"/>
  <c r="BE343" i="2"/>
  <c r="BD343" i="2"/>
  <c r="BC343" i="2"/>
  <c r="BB343" i="2"/>
  <c r="BA343" i="2"/>
  <c r="AZ343" i="2"/>
  <c r="AY343" i="2"/>
  <c r="AX343" i="2"/>
  <c r="AW343" i="2"/>
  <c r="AV343" i="2"/>
  <c r="AU343" i="2"/>
  <c r="AT343" i="2"/>
  <c r="AS343" i="2"/>
  <c r="AR343" i="2"/>
  <c r="AQ343" i="2"/>
  <c r="AP343" i="2"/>
  <c r="AO343" i="2"/>
  <c r="AN343" i="2"/>
  <c r="AM343" i="2"/>
  <c r="AL343" i="2"/>
  <c r="AK343" i="2"/>
  <c r="AJ343" i="2"/>
  <c r="AI343" i="2"/>
  <c r="AH343" i="2"/>
  <c r="AG343" i="2"/>
  <c r="AF343" i="2"/>
  <c r="AE343" i="2"/>
  <c r="AD343" i="2"/>
  <c r="AC343" i="2"/>
  <c r="AB343" i="2"/>
  <c r="AA343" i="2"/>
  <c r="Z343" i="2"/>
  <c r="Y343" i="2"/>
  <c r="X343" i="2"/>
  <c r="W343" i="2"/>
  <c r="V343" i="2"/>
  <c r="U343" i="2"/>
  <c r="T343" i="2"/>
  <c r="S343" i="2"/>
  <c r="R343" i="2"/>
  <c r="Q343" i="2"/>
  <c r="P343" i="2"/>
  <c r="O343" i="2"/>
  <c r="N343" i="2"/>
  <c r="M343" i="2"/>
  <c r="L343" i="2"/>
  <c r="K343" i="2"/>
  <c r="J343" i="2"/>
  <c r="I343" i="2"/>
  <c r="H343" i="2"/>
  <c r="G343" i="2"/>
  <c r="F343" i="2"/>
  <c r="E343" i="2"/>
  <c r="D343" i="2"/>
  <c r="C343" i="2"/>
  <c r="B343" i="2"/>
  <c r="A343" i="2"/>
  <c r="BK342" i="2"/>
  <c r="BJ342" i="2"/>
  <c r="BI342" i="2"/>
  <c r="BH342" i="2"/>
  <c r="BG342" i="2"/>
  <c r="BF342" i="2"/>
  <c r="BE342" i="2"/>
  <c r="BD342" i="2"/>
  <c r="BC342" i="2"/>
  <c r="BB342" i="2"/>
  <c r="BA342" i="2"/>
  <c r="AZ342" i="2"/>
  <c r="AY342" i="2"/>
  <c r="AX342" i="2"/>
  <c r="AW342" i="2"/>
  <c r="AV342" i="2"/>
  <c r="AU342" i="2"/>
  <c r="AT342" i="2"/>
  <c r="AS342" i="2"/>
  <c r="AR342" i="2"/>
  <c r="AQ342" i="2"/>
  <c r="AP342" i="2"/>
  <c r="AO342" i="2"/>
  <c r="AN342" i="2"/>
  <c r="AM342" i="2"/>
  <c r="AL342" i="2"/>
  <c r="AK342" i="2"/>
  <c r="AJ342" i="2"/>
  <c r="AI342" i="2"/>
  <c r="AH342" i="2"/>
  <c r="AG342" i="2"/>
  <c r="AF342" i="2"/>
  <c r="AE342" i="2"/>
  <c r="AD342" i="2"/>
  <c r="AC342" i="2"/>
  <c r="AB342" i="2"/>
  <c r="AA342" i="2"/>
  <c r="Z342" i="2"/>
  <c r="Y342" i="2"/>
  <c r="X342" i="2"/>
  <c r="W342" i="2"/>
  <c r="V342" i="2"/>
  <c r="U342" i="2"/>
  <c r="T342" i="2"/>
  <c r="S342" i="2"/>
  <c r="R342" i="2"/>
  <c r="Q342" i="2"/>
  <c r="P342" i="2"/>
  <c r="O342" i="2"/>
  <c r="N342" i="2"/>
  <c r="M342" i="2"/>
  <c r="L342" i="2"/>
  <c r="K342" i="2"/>
  <c r="J342" i="2"/>
  <c r="I342" i="2"/>
  <c r="H342" i="2"/>
  <c r="G342" i="2"/>
  <c r="F342" i="2"/>
  <c r="E342" i="2"/>
  <c r="D342" i="2"/>
  <c r="C342" i="2"/>
  <c r="B342" i="2"/>
  <c r="A342" i="2"/>
  <c r="BK341" i="2"/>
  <c r="BJ341" i="2"/>
  <c r="BI341" i="2"/>
  <c r="BH341" i="2"/>
  <c r="BG341" i="2"/>
  <c r="BF341" i="2"/>
  <c r="BE341" i="2"/>
  <c r="BD341" i="2"/>
  <c r="BC341" i="2"/>
  <c r="BB341" i="2"/>
  <c r="BA341" i="2"/>
  <c r="AZ341" i="2"/>
  <c r="AY341" i="2"/>
  <c r="AX341" i="2"/>
  <c r="AW341" i="2"/>
  <c r="AV341" i="2"/>
  <c r="AU341" i="2"/>
  <c r="AT341" i="2"/>
  <c r="AS341" i="2"/>
  <c r="AR341" i="2"/>
  <c r="AQ341" i="2"/>
  <c r="AP341" i="2"/>
  <c r="AO341" i="2"/>
  <c r="AN341" i="2"/>
  <c r="AM341" i="2"/>
  <c r="AL341" i="2"/>
  <c r="AK341" i="2"/>
  <c r="AJ341" i="2"/>
  <c r="AI341" i="2"/>
  <c r="AH341" i="2"/>
  <c r="AG341" i="2"/>
  <c r="AF341" i="2"/>
  <c r="AE341" i="2"/>
  <c r="AD341" i="2"/>
  <c r="AC341" i="2"/>
  <c r="AB341" i="2"/>
  <c r="AA341" i="2"/>
  <c r="Z341" i="2"/>
  <c r="Y341" i="2"/>
  <c r="X341" i="2"/>
  <c r="W341" i="2"/>
  <c r="V341" i="2"/>
  <c r="U341" i="2"/>
  <c r="T341" i="2"/>
  <c r="S341" i="2"/>
  <c r="R341" i="2"/>
  <c r="Q341" i="2"/>
  <c r="P341" i="2"/>
  <c r="O341" i="2"/>
  <c r="N341" i="2"/>
  <c r="M341" i="2"/>
  <c r="L341" i="2"/>
  <c r="K341" i="2"/>
  <c r="J341" i="2"/>
  <c r="I341" i="2"/>
  <c r="H341" i="2"/>
  <c r="G341" i="2"/>
  <c r="F341" i="2"/>
  <c r="E341" i="2"/>
  <c r="D341" i="2"/>
  <c r="C341" i="2"/>
  <c r="B341" i="2"/>
  <c r="A341" i="2"/>
  <c r="BK340" i="2"/>
  <c r="BJ340" i="2"/>
  <c r="BI340" i="2"/>
  <c r="BH340" i="2"/>
  <c r="BG340" i="2"/>
  <c r="BF340" i="2"/>
  <c r="BE340" i="2"/>
  <c r="BD340" i="2"/>
  <c r="BC340" i="2"/>
  <c r="BB340" i="2"/>
  <c r="BA340" i="2"/>
  <c r="AZ340" i="2"/>
  <c r="AY340" i="2"/>
  <c r="AX340" i="2"/>
  <c r="AW340" i="2"/>
  <c r="AV340" i="2"/>
  <c r="AU340" i="2"/>
  <c r="AT340" i="2"/>
  <c r="AS340" i="2"/>
  <c r="AR340" i="2"/>
  <c r="AQ340" i="2"/>
  <c r="AP340" i="2"/>
  <c r="AO340" i="2"/>
  <c r="AN340" i="2"/>
  <c r="AM340" i="2"/>
  <c r="AL340" i="2"/>
  <c r="AK340" i="2"/>
  <c r="AJ340" i="2"/>
  <c r="AI340" i="2"/>
  <c r="AH340" i="2"/>
  <c r="AG340" i="2"/>
  <c r="AF340" i="2"/>
  <c r="AE340" i="2"/>
  <c r="AD340" i="2"/>
  <c r="AC340" i="2"/>
  <c r="AB340" i="2"/>
  <c r="AA340" i="2"/>
  <c r="Z340" i="2"/>
  <c r="Y340" i="2"/>
  <c r="X340" i="2"/>
  <c r="W340" i="2"/>
  <c r="V340" i="2"/>
  <c r="U340" i="2"/>
  <c r="T340" i="2"/>
  <c r="S340" i="2"/>
  <c r="R340" i="2"/>
  <c r="Q340" i="2"/>
  <c r="P340" i="2"/>
  <c r="O340" i="2"/>
  <c r="N340" i="2"/>
  <c r="M340" i="2"/>
  <c r="L340" i="2"/>
  <c r="K340" i="2"/>
  <c r="J340" i="2"/>
  <c r="I340" i="2"/>
  <c r="H340" i="2"/>
  <c r="G340" i="2"/>
  <c r="F340" i="2"/>
  <c r="E340" i="2"/>
  <c r="D340" i="2"/>
  <c r="C340" i="2"/>
  <c r="B340" i="2"/>
  <c r="A340" i="2"/>
  <c r="BK339" i="2"/>
  <c r="BJ339" i="2"/>
  <c r="BI339" i="2"/>
  <c r="BH339" i="2"/>
  <c r="BG339" i="2"/>
  <c r="BF339" i="2"/>
  <c r="BE339" i="2"/>
  <c r="BD339" i="2"/>
  <c r="BC339" i="2"/>
  <c r="BB339" i="2"/>
  <c r="BA339" i="2"/>
  <c r="AZ339" i="2"/>
  <c r="AY339" i="2"/>
  <c r="AX339" i="2"/>
  <c r="AW339" i="2"/>
  <c r="AV339" i="2"/>
  <c r="AU339" i="2"/>
  <c r="AT339" i="2"/>
  <c r="AS339" i="2"/>
  <c r="AR339" i="2"/>
  <c r="AQ339" i="2"/>
  <c r="AP339" i="2"/>
  <c r="AO339" i="2"/>
  <c r="AN339" i="2"/>
  <c r="AM339" i="2"/>
  <c r="AL339" i="2"/>
  <c r="AK339" i="2"/>
  <c r="AJ339" i="2"/>
  <c r="AI339" i="2"/>
  <c r="AH339" i="2"/>
  <c r="AG339" i="2"/>
  <c r="AF339" i="2"/>
  <c r="AE339" i="2"/>
  <c r="AD339" i="2"/>
  <c r="AC339" i="2"/>
  <c r="AB339" i="2"/>
  <c r="AA339" i="2"/>
  <c r="Z339" i="2"/>
  <c r="Y339" i="2"/>
  <c r="X339" i="2"/>
  <c r="W339" i="2"/>
  <c r="V339" i="2"/>
  <c r="U339" i="2"/>
  <c r="T339" i="2"/>
  <c r="S339" i="2"/>
  <c r="R339" i="2"/>
  <c r="Q339" i="2"/>
  <c r="P339" i="2"/>
  <c r="O339" i="2"/>
  <c r="N339" i="2"/>
  <c r="M339" i="2"/>
  <c r="L339" i="2"/>
  <c r="K339" i="2"/>
  <c r="J339" i="2"/>
  <c r="I339" i="2"/>
  <c r="H339" i="2"/>
  <c r="G339" i="2"/>
  <c r="F339" i="2"/>
  <c r="E339" i="2"/>
  <c r="D339" i="2"/>
  <c r="C339" i="2"/>
  <c r="B339" i="2"/>
  <c r="A339" i="2"/>
  <c r="BK338" i="2"/>
  <c r="BJ338" i="2"/>
  <c r="BI338" i="2"/>
  <c r="BH338" i="2"/>
  <c r="BG338" i="2"/>
  <c r="BF338" i="2"/>
  <c r="BE338" i="2"/>
  <c r="BD338" i="2"/>
  <c r="BC338" i="2"/>
  <c r="BB338" i="2"/>
  <c r="BA338" i="2"/>
  <c r="AZ338" i="2"/>
  <c r="AY338" i="2"/>
  <c r="AX338" i="2"/>
  <c r="AW338" i="2"/>
  <c r="AV338" i="2"/>
  <c r="AU338" i="2"/>
  <c r="AT338" i="2"/>
  <c r="AS338" i="2"/>
  <c r="AR338" i="2"/>
  <c r="AQ338" i="2"/>
  <c r="AP338" i="2"/>
  <c r="AO338" i="2"/>
  <c r="AN338" i="2"/>
  <c r="AM338" i="2"/>
  <c r="AL338" i="2"/>
  <c r="AK338" i="2"/>
  <c r="AJ338" i="2"/>
  <c r="AI338" i="2"/>
  <c r="AH338" i="2"/>
  <c r="AG338" i="2"/>
  <c r="AF338" i="2"/>
  <c r="AE338" i="2"/>
  <c r="AD338" i="2"/>
  <c r="AC338" i="2"/>
  <c r="AB338" i="2"/>
  <c r="AA338" i="2"/>
  <c r="Z338" i="2"/>
  <c r="Y338" i="2"/>
  <c r="X338" i="2"/>
  <c r="W338" i="2"/>
  <c r="V338" i="2"/>
  <c r="U338" i="2"/>
  <c r="T338" i="2"/>
  <c r="S338" i="2"/>
  <c r="R338" i="2"/>
  <c r="Q338" i="2"/>
  <c r="P338" i="2"/>
  <c r="O338" i="2"/>
  <c r="N338" i="2"/>
  <c r="M338" i="2"/>
  <c r="L338" i="2"/>
  <c r="K338" i="2"/>
  <c r="J338" i="2"/>
  <c r="I338" i="2"/>
  <c r="H338" i="2"/>
  <c r="G338" i="2"/>
  <c r="F338" i="2"/>
  <c r="E338" i="2"/>
  <c r="D338" i="2"/>
  <c r="C338" i="2"/>
  <c r="B338" i="2"/>
  <c r="A338" i="2"/>
  <c r="BK337" i="2"/>
  <c r="BJ337" i="2"/>
  <c r="BI337" i="2"/>
  <c r="BH337" i="2"/>
  <c r="BG337" i="2"/>
  <c r="BF337" i="2"/>
  <c r="BE337" i="2"/>
  <c r="BD337" i="2"/>
  <c r="BC337" i="2"/>
  <c r="BB337" i="2"/>
  <c r="BA337" i="2"/>
  <c r="AZ337" i="2"/>
  <c r="AY337" i="2"/>
  <c r="AX337" i="2"/>
  <c r="AW337" i="2"/>
  <c r="AV337" i="2"/>
  <c r="AU337" i="2"/>
  <c r="AT337" i="2"/>
  <c r="AS337" i="2"/>
  <c r="AR337" i="2"/>
  <c r="AQ337" i="2"/>
  <c r="AP337" i="2"/>
  <c r="AO337" i="2"/>
  <c r="AN337" i="2"/>
  <c r="AM337" i="2"/>
  <c r="AL337" i="2"/>
  <c r="AK337" i="2"/>
  <c r="AJ337" i="2"/>
  <c r="AI337" i="2"/>
  <c r="AH337" i="2"/>
  <c r="AG337" i="2"/>
  <c r="AF337" i="2"/>
  <c r="AE337" i="2"/>
  <c r="AD337" i="2"/>
  <c r="AC337" i="2"/>
  <c r="AB337" i="2"/>
  <c r="AA337" i="2"/>
  <c r="Z337" i="2"/>
  <c r="Y337" i="2"/>
  <c r="X337" i="2"/>
  <c r="W337" i="2"/>
  <c r="V337" i="2"/>
  <c r="U337" i="2"/>
  <c r="T337" i="2"/>
  <c r="S337" i="2"/>
  <c r="R337" i="2"/>
  <c r="Q337" i="2"/>
  <c r="P337" i="2"/>
  <c r="O337" i="2"/>
  <c r="N337" i="2"/>
  <c r="M337" i="2"/>
  <c r="L337" i="2"/>
  <c r="K337" i="2"/>
  <c r="J337" i="2"/>
  <c r="I337" i="2"/>
  <c r="H337" i="2"/>
  <c r="G337" i="2"/>
  <c r="F337" i="2"/>
  <c r="E337" i="2"/>
  <c r="D337" i="2"/>
  <c r="C337" i="2"/>
  <c r="B337" i="2"/>
  <c r="A337" i="2"/>
  <c r="BK336" i="2"/>
  <c r="BJ336" i="2"/>
  <c r="BI336" i="2"/>
  <c r="BH336" i="2"/>
  <c r="BG336" i="2"/>
  <c r="BF336" i="2"/>
  <c r="BE336" i="2"/>
  <c r="BD336" i="2"/>
  <c r="BC336" i="2"/>
  <c r="BB336" i="2"/>
  <c r="BA336" i="2"/>
  <c r="AZ336" i="2"/>
  <c r="AY336" i="2"/>
  <c r="AX336" i="2"/>
  <c r="AW336" i="2"/>
  <c r="AV336" i="2"/>
  <c r="AU336" i="2"/>
  <c r="AT336" i="2"/>
  <c r="AS336" i="2"/>
  <c r="AR336" i="2"/>
  <c r="AQ336" i="2"/>
  <c r="AP336" i="2"/>
  <c r="AO336" i="2"/>
  <c r="AN336" i="2"/>
  <c r="AM336" i="2"/>
  <c r="AL336" i="2"/>
  <c r="AK336" i="2"/>
  <c r="AJ336" i="2"/>
  <c r="AI336" i="2"/>
  <c r="AH336" i="2"/>
  <c r="AG336" i="2"/>
  <c r="AF336" i="2"/>
  <c r="AE336" i="2"/>
  <c r="AD336" i="2"/>
  <c r="AC336" i="2"/>
  <c r="AB336" i="2"/>
  <c r="AA336" i="2"/>
  <c r="Z336" i="2"/>
  <c r="Y336" i="2"/>
  <c r="X336" i="2"/>
  <c r="W336" i="2"/>
  <c r="V336" i="2"/>
  <c r="U336" i="2"/>
  <c r="T336" i="2"/>
  <c r="S336" i="2"/>
  <c r="R336" i="2"/>
  <c r="Q336" i="2"/>
  <c r="P336" i="2"/>
  <c r="O336" i="2"/>
  <c r="N336" i="2"/>
  <c r="M336" i="2"/>
  <c r="L336" i="2"/>
  <c r="K336" i="2"/>
  <c r="J336" i="2"/>
  <c r="I336" i="2"/>
  <c r="H336" i="2"/>
  <c r="G336" i="2"/>
  <c r="F336" i="2"/>
  <c r="E336" i="2"/>
  <c r="D336" i="2"/>
  <c r="C336" i="2"/>
  <c r="B336" i="2"/>
  <c r="A336" i="2"/>
  <c r="BK335" i="2"/>
  <c r="BJ335" i="2"/>
  <c r="BI335" i="2"/>
  <c r="BH335" i="2"/>
  <c r="BG335" i="2"/>
  <c r="BF335" i="2"/>
  <c r="BE335" i="2"/>
  <c r="BD335" i="2"/>
  <c r="BC335" i="2"/>
  <c r="BB335" i="2"/>
  <c r="BA335" i="2"/>
  <c r="AZ335" i="2"/>
  <c r="AY335" i="2"/>
  <c r="AX335" i="2"/>
  <c r="AW335" i="2"/>
  <c r="AV335" i="2"/>
  <c r="AU335" i="2"/>
  <c r="AT335" i="2"/>
  <c r="AS335" i="2"/>
  <c r="AR335" i="2"/>
  <c r="AQ335" i="2"/>
  <c r="AP335" i="2"/>
  <c r="AO335" i="2"/>
  <c r="AN335" i="2"/>
  <c r="AM335" i="2"/>
  <c r="AL335" i="2"/>
  <c r="AK335" i="2"/>
  <c r="AJ335" i="2"/>
  <c r="AI335" i="2"/>
  <c r="AH335" i="2"/>
  <c r="AG335" i="2"/>
  <c r="AF335" i="2"/>
  <c r="AE335" i="2"/>
  <c r="AD335" i="2"/>
  <c r="AC335" i="2"/>
  <c r="AB335" i="2"/>
  <c r="AA335" i="2"/>
  <c r="Z335" i="2"/>
  <c r="Y335" i="2"/>
  <c r="X335" i="2"/>
  <c r="W335" i="2"/>
  <c r="V335" i="2"/>
  <c r="U335" i="2"/>
  <c r="T335" i="2"/>
  <c r="S335" i="2"/>
  <c r="R335" i="2"/>
  <c r="Q335" i="2"/>
  <c r="P335" i="2"/>
  <c r="O335" i="2"/>
  <c r="N335" i="2"/>
  <c r="M335" i="2"/>
  <c r="L335" i="2"/>
  <c r="K335" i="2"/>
  <c r="J335" i="2"/>
  <c r="I335" i="2"/>
  <c r="H335" i="2"/>
  <c r="G335" i="2"/>
  <c r="F335" i="2"/>
  <c r="E335" i="2"/>
  <c r="D335" i="2"/>
  <c r="C335" i="2"/>
  <c r="B335" i="2"/>
  <c r="A335" i="2"/>
  <c r="BK334" i="2"/>
  <c r="BJ334" i="2"/>
  <c r="BI334" i="2"/>
  <c r="BH334" i="2"/>
  <c r="BG334" i="2"/>
  <c r="BF334" i="2"/>
  <c r="BE334" i="2"/>
  <c r="BD334" i="2"/>
  <c r="BC334" i="2"/>
  <c r="BB334" i="2"/>
  <c r="BA334" i="2"/>
  <c r="AZ334" i="2"/>
  <c r="AY334" i="2"/>
  <c r="AX334" i="2"/>
  <c r="AW334" i="2"/>
  <c r="AV334" i="2"/>
  <c r="AU334" i="2"/>
  <c r="AT334" i="2"/>
  <c r="AS334" i="2"/>
  <c r="AR334" i="2"/>
  <c r="AQ334" i="2"/>
  <c r="AP334" i="2"/>
  <c r="AO334" i="2"/>
  <c r="AN334" i="2"/>
  <c r="AM334" i="2"/>
  <c r="AL334" i="2"/>
  <c r="AK334" i="2"/>
  <c r="AJ334" i="2"/>
  <c r="AI334" i="2"/>
  <c r="AH334" i="2"/>
  <c r="AG334" i="2"/>
  <c r="AF334" i="2"/>
  <c r="AE334" i="2"/>
  <c r="AD334" i="2"/>
  <c r="AC334" i="2"/>
  <c r="AB334" i="2"/>
  <c r="AA334" i="2"/>
  <c r="Z334" i="2"/>
  <c r="Y334" i="2"/>
  <c r="X334" i="2"/>
  <c r="W334" i="2"/>
  <c r="V334" i="2"/>
  <c r="U334" i="2"/>
  <c r="T334" i="2"/>
  <c r="S334" i="2"/>
  <c r="R334" i="2"/>
  <c r="Q334" i="2"/>
  <c r="P334" i="2"/>
  <c r="O334" i="2"/>
  <c r="N334" i="2"/>
  <c r="M334" i="2"/>
  <c r="L334" i="2"/>
  <c r="K334" i="2"/>
  <c r="J334" i="2"/>
  <c r="I334" i="2"/>
  <c r="H334" i="2"/>
  <c r="G334" i="2"/>
  <c r="F334" i="2"/>
  <c r="E334" i="2"/>
  <c r="D334" i="2"/>
  <c r="C334" i="2"/>
  <c r="B334" i="2"/>
  <c r="A334" i="2"/>
  <c r="BK333" i="2"/>
  <c r="BJ333" i="2"/>
  <c r="BI333" i="2"/>
  <c r="BH333" i="2"/>
  <c r="BG333" i="2"/>
  <c r="BF333" i="2"/>
  <c r="BE333" i="2"/>
  <c r="BD333" i="2"/>
  <c r="BC333" i="2"/>
  <c r="BB333" i="2"/>
  <c r="BA333" i="2"/>
  <c r="AZ333" i="2"/>
  <c r="AY333" i="2"/>
  <c r="AX333" i="2"/>
  <c r="AW333" i="2"/>
  <c r="AV333" i="2"/>
  <c r="AU333" i="2"/>
  <c r="AT333" i="2"/>
  <c r="AS333" i="2"/>
  <c r="AR333" i="2"/>
  <c r="AQ333" i="2"/>
  <c r="AP333" i="2"/>
  <c r="AO333" i="2"/>
  <c r="AN333" i="2"/>
  <c r="AM333" i="2"/>
  <c r="AL333" i="2"/>
  <c r="AK333" i="2"/>
  <c r="AJ333" i="2"/>
  <c r="AI333" i="2"/>
  <c r="AH333" i="2"/>
  <c r="AG333" i="2"/>
  <c r="AF333" i="2"/>
  <c r="AE333" i="2"/>
  <c r="AD333" i="2"/>
  <c r="AC333" i="2"/>
  <c r="AB333" i="2"/>
  <c r="AA333" i="2"/>
  <c r="Z333" i="2"/>
  <c r="Y333" i="2"/>
  <c r="X333" i="2"/>
  <c r="W333" i="2"/>
  <c r="V333" i="2"/>
  <c r="U333" i="2"/>
  <c r="T333" i="2"/>
  <c r="S333" i="2"/>
  <c r="R333" i="2"/>
  <c r="Q333" i="2"/>
  <c r="P333" i="2"/>
  <c r="O333" i="2"/>
  <c r="N333" i="2"/>
  <c r="M333" i="2"/>
  <c r="L333" i="2"/>
  <c r="K333" i="2"/>
  <c r="J333" i="2"/>
  <c r="I333" i="2"/>
  <c r="H333" i="2"/>
  <c r="G333" i="2"/>
  <c r="F333" i="2"/>
  <c r="E333" i="2"/>
  <c r="D333" i="2"/>
  <c r="C333" i="2"/>
  <c r="B333" i="2"/>
  <c r="A333" i="2"/>
  <c r="BK332" i="2"/>
  <c r="BJ332" i="2"/>
  <c r="BI332" i="2"/>
  <c r="BH332" i="2"/>
  <c r="BG332" i="2"/>
  <c r="BF332" i="2"/>
  <c r="BE332" i="2"/>
  <c r="BD332" i="2"/>
  <c r="BC332" i="2"/>
  <c r="BB332" i="2"/>
  <c r="BA332" i="2"/>
  <c r="AZ332" i="2"/>
  <c r="AY332" i="2"/>
  <c r="AX332" i="2"/>
  <c r="AW332" i="2"/>
  <c r="AV332" i="2"/>
  <c r="AU332" i="2"/>
  <c r="AT332" i="2"/>
  <c r="AS332" i="2"/>
  <c r="AR332" i="2"/>
  <c r="AQ332" i="2"/>
  <c r="AP332" i="2"/>
  <c r="AO332" i="2"/>
  <c r="AN332" i="2"/>
  <c r="AM332" i="2"/>
  <c r="AL332" i="2"/>
  <c r="AK332" i="2"/>
  <c r="AJ332" i="2"/>
  <c r="AI332" i="2"/>
  <c r="AH332" i="2"/>
  <c r="AG332" i="2"/>
  <c r="AF332" i="2"/>
  <c r="AE332" i="2"/>
  <c r="AD332" i="2"/>
  <c r="AC332" i="2"/>
  <c r="AB332" i="2"/>
  <c r="AA332" i="2"/>
  <c r="Z332" i="2"/>
  <c r="Y332" i="2"/>
  <c r="X332" i="2"/>
  <c r="W332" i="2"/>
  <c r="V332" i="2"/>
  <c r="U332" i="2"/>
  <c r="T332" i="2"/>
  <c r="S332" i="2"/>
  <c r="R332" i="2"/>
  <c r="Q332" i="2"/>
  <c r="P332" i="2"/>
  <c r="O332" i="2"/>
  <c r="N332" i="2"/>
  <c r="M332" i="2"/>
  <c r="L332" i="2"/>
  <c r="K332" i="2"/>
  <c r="J332" i="2"/>
  <c r="I332" i="2"/>
  <c r="H332" i="2"/>
  <c r="G332" i="2"/>
  <c r="F332" i="2"/>
  <c r="E332" i="2"/>
  <c r="D332" i="2"/>
  <c r="C332" i="2"/>
  <c r="B332" i="2"/>
  <c r="A332" i="2"/>
  <c r="BK331" i="2"/>
  <c r="BJ331" i="2"/>
  <c r="BI331" i="2"/>
  <c r="BH331" i="2"/>
  <c r="BG331" i="2"/>
  <c r="BF331" i="2"/>
  <c r="BE331" i="2"/>
  <c r="BD331" i="2"/>
  <c r="BC331" i="2"/>
  <c r="BB331" i="2"/>
  <c r="BA331" i="2"/>
  <c r="AZ331" i="2"/>
  <c r="AY331" i="2"/>
  <c r="AX331" i="2"/>
  <c r="AW331" i="2"/>
  <c r="AV331" i="2"/>
  <c r="AU331" i="2"/>
  <c r="AT331" i="2"/>
  <c r="AS331" i="2"/>
  <c r="AR331" i="2"/>
  <c r="AQ331" i="2"/>
  <c r="AP331" i="2"/>
  <c r="AO331" i="2"/>
  <c r="AN331" i="2"/>
  <c r="AM331" i="2"/>
  <c r="AL331" i="2"/>
  <c r="AK331" i="2"/>
  <c r="AJ331" i="2"/>
  <c r="AI331" i="2"/>
  <c r="AH331" i="2"/>
  <c r="AG331" i="2"/>
  <c r="AF331" i="2"/>
  <c r="AE331" i="2"/>
  <c r="AD331" i="2"/>
  <c r="AC331" i="2"/>
  <c r="AB331" i="2"/>
  <c r="AA331" i="2"/>
  <c r="Z331" i="2"/>
  <c r="Y331" i="2"/>
  <c r="X331" i="2"/>
  <c r="W331" i="2"/>
  <c r="V331" i="2"/>
  <c r="U331" i="2"/>
  <c r="T331" i="2"/>
  <c r="S331" i="2"/>
  <c r="R331" i="2"/>
  <c r="Q331" i="2"/>
  <c r="P331" i="2"/>
  <c r="O331" i="2"/>
  <c r="N331" i="2"/>
  <c r="M331" i="2"/>
  <c r="L331" i="2"/>
  <c r="K331" i="2"/>
  <c r="J331" i="2"/>
  <c r="I331" i="2"/>
  <c r="H331" i="2"/>
  <c r="G331" i="2"/>
  <c r="F331" i="2"/>
  <c r="E331" i="2"/>
  <c r="D331" i="2"/>
  <c r="C331" i="2"/>
  <c r="B331" i="2"/>
  <c r="A331" i="2"/>
  <c r="BK330" i="2"/>
  <c r="BJ330" i="2"/>
  <c r="BI330" i="2"/>
  <c r="BH330" i="2"/>
  <c r="BG330" i="2"/>
  <c r="BF330" i="2"/>
  <c r="BE330" i="2"/>
  <c r="BD330" i="2"/>
  <c r="BC330" i="2"/>
  <c r="BB330" i="2"/>
  <c r="BA330" i="2"/>
  <c r="AZ330" i="2"/>
  <c r="AY330" i="2"/>
  <c r="AX330" i="2"/>
  <c r="AW330" i="2"/>
  <c r="AV330" i="2"/>
  <c r="AU330" i="2"/>
  <c r="AT330" i="2"/>
  <c r="AS330" i="2"/>
  <c r="AR330" i="2"/>
  <c r="AQ330" i="2"/>
  <c r="AP330" i="2"/>
  <c r="AO330" i="2"/>
  <c r="AN330" i="2"/>
  <c r="AM330" i="2"/>
  <c r="AL330" i="2"/>
  <c r="AK330" i="2"/>
  <c r="AJ330" i="2"/>
  <c r="AI330" i="2"/>
  <c r="AH330" i="2"/>
  <c r="AG330" i="2"/>
  <c r="AF330" i="2"/>
  <c r="AE330" i="2"/>
  <c r="AD330" i="2"/>
  <c r="AC330" i="2"/>
  <c r="AB330" i="2"/>
  <c r="AA330" i="2"/>
  <c r="Z330" i="2"/>
  <c r="Y330" i="2"/>
  <c r="X330" i="2"/>
  <c r="W330" i="2"/>
  <c r="V330" i="2"/>
  <c r="U330" i="2"/>
  <c r="T330" i="2"/>
  <c r="S330" i="2"/>
  <c r="R330" i="2"/>
  <c r="Q330" i="2"/>
  <c r="P330" i="2"/>
  <c r="O330" i="2"/>
  <c r="N330" i="2"/>
  <c r="M330" i="2"/>
  <c r="L330" i="2"/>
  <c r="K330" i="2"/>
  <c r="J330" i="2"/>
  <c r="I330" i="2"/>
  <c r="H330" i="2"/>
  <c r="G330" i="2"/>
  <c r="F330" i="2"/>
  <c r="E330" i="2"/>
  <c r="D330" i="2"/>
  <c r="C330" i="2"/>
  <c r="B330" i="2"/>
  <c r="A330" i="2"/>
  <c r="BK329" i="2"/>
  <c r="BJ329" i="2"/>
  <c r="BI329" i="2"/>
  <c r="BH329" i="2"/>
  <c r="BG329" i="2"/>
  <c r="BF329" i="2"/>
  <c r="BE329" i="2"/>
  <c r="BD329" i="2"/>
  <c r="BC329" i="2"/>
  <c r="BB329" i="2"/>
  <c r="BA329" i="2"/>
  <c r="AZ329" i="2"/>
  <c r="AY329" i="2"/>
  <c r="AX329" i="2"/>
  <c r="AW329" i="2"/>
  <c r="AV329" i="2"/>
  <c r="AU329" i="2"/>
  <c r="AT329" i="2"/>
  <c r="AS329" i="2"/>
  <c r="AR329" i="2"/>
  <c r="AQ329" i="2"/>
  <c r="AP329" i="2"/>
  <c r="AO329" i="2"/>
  <c r="AN329" i="2"/>
  <c r="AM329" i="2"/>
  <c r="AL329" i="2"/>
  <c r="AK329" i="2"/>
  <c r="AJ329" i="2"/>
  <c r="AI329" i="2"/>
  <c r="AH329" i="2"/>
  <c r="AG329" i="2"/>
  <c r="AF329" i="2"/>
  <c r="AE329" i="2"/>
  <c r="AD329" i="2"/>
  <c r="AC329" i="2"/>
  <c r="AB329" i="2"/>
  <c r="AA329" i="2"/>
  <c r="Z329" i="2"/>
  <c r="Y329" i="2"/>
  <c r="X329" i="2"/>
  <c r="W329" i="2"/>
  <c r="V329" i="2"/>
  <c r="U329" i="2"/>
  <c r="T329" i="2"/>
  <c r="S329" i="2"/>
  <c r="R329" i="2"/>
  <c r="Q329" i="2"/>
  <c r="P329" i="2"/>
  <c r="O329" i="2"/>
  <c r="N329" i="2"/>
  <c r="M329" i="2"/>
  <c r="L329" i="2"/>
  <c r="K329" i="2"/>
  <c r="J329" i="2"/>
  <c r="I329" i="2"/>
  <c r="H329" i="2"/>
  <c r="G329" i="2"/>
  <c r="F329" i="2"/>
  <c r="E329" i="2"/>
  <c r="D329" i="2"/>
  <c r="C329" i="2"/>
  <c r="B329" i="2"/>
  <c r="A329" i="2"/>
  <c r="BK328" i="2"/>
  <c r="BJ328" i="2"/>
  <c r="BI328" i="2"/>
  <c r="BH328" i="2"/>
  <c r="BG328" i="2"/>
  <c r="BF328" i="2"/>
  <c r="BE328" i="2"/>
  <c r="BD328" i="2"/>
  <c r="BC328" i="2"/>
  <c r="BB328" i="2"/>
  <c r="BA328" i="2"/>
  <c r="AZ328" i="2"/>
  <c r="AY328" i="2"/>
  <c r="AX328" i="2"/>
  <c r="AW328" i="2"/>
  <c r="AV328" i="2"/>
  <c r="AU328" i="2"/>
  <c r="AT328" i="2"/>
  <c r="AS328" i="2"/>
  <c r="AR328" i="2"/>
  <c r="AQ328" i="2"/>
  <c r="AP328" i="2"/>
  <c r="AO328" i="2"/>
  <c r="AN328" i="2"/>
  <c r="AM328" i="2"/>
  <c r="AL328" i="2"/>
  <c r="AK328" i="2"/>
  <c r="AJ328" i="2"/>
  <c r="AI328" i="2"/>
  <c r="AH328" i="2"/>
  <c r="AG328" i="2"/>
  <c r="AF328" i="2"/>
  <c r="AE328" i="2"/>
  <c r="AD328" i="2"/>
  <c r="AC328" i="2"/>
  <c r="AB328" i="2"/>
  <c r="AA328" i="2"/>
  <c r="Z328" i="2"/>
  <c r="Y328" i="2"/>
  <c r="X328" i="2"/>
  <c r="W328" i="2"/>
  <c r="V328" i="2"/>
  <c r="U328" i="2"/>
  <c r="T328" i="2"/>
  <c r="S328" i="2"/>
  <c r="R328" i="2"/>
  <c r="Q328" i="2"/>
  <c r="P328" i="2"/>
  <c r="O328" i="2"/>
  <c r="N328" i="2"/>
  <c r="M328" i="2"/>
  <c r="L328" i="2"/>
  <c r="K328" i="2"/>
  <c r="J328" i="2"/>
  <c r="I328" i="2"/>
  <c r="H328" i="2"/>
  <c r="G328" i="2"/>
  <c r="F328" i="2"/>
  <c r="E328" i="2"/>
  <c r="D328" i="2"/>
  <c r="C328" i="2"/>
  <c r="B328" i="2"/>
  <c r="A328" i="2"/>
  <c r="BK327" i="2"/>
  <c r="BJ327" i="2"/>
  <c r="BI327" i="2"/>
  <c r="BH327" i="2"/>
  <c r="BG327" i="2"/>
  <c r="BF327" i="2"/>
  <c r="BE327" i="2"/>
  <c r="BD327" i="2"/>
  <c r="BC327" i="2"/>
  <c r="BB327" i="2"/>
  <c r="BA327" i="2"/>
  <c r="AZ327" i="2"/>
  <c r="AY327" i="2"/>
  <c r="AX327" i="2"/>
  <c r="AW327" i="2"/>
  <c r="AV327" i="2"/>
  <c r="AU327" i="2"/>
  <c r="AT327" i="2"/>
  <c r="AS327" i="2"/>
  <c r="AR327" i="2"/>
  <c r="AQ327" i="2"/>
  <c r="AP327" i="2"/>
  <c r="AO327" i="2"/>
  <c r="AN327" i="2"/>
  <c r="AM327" i="2"/>
  <c r="AL327" i="2"/>
  <c r="AK327" i="2"/>
  <c r="AJ327" i="2"/>
  <c r="AI327" i="2"/>
  <c r="AH327" i="2"/>
  <c r="AG327" i="2"/>
  <c r="AF327" i="2"/>
  <c r="AE327" i="2"/>
  <c r="AD327" i="2"/>
  <c r="AC327" i="2"/>
  <c r="AB327" i="2"/>
  <c r="AA327" i="2"/>
  <c r="Z327" i="2"/>
  <c r="Y327" i="2"/>
  <c r="X327" i="2"/>
  <c r="W327" i="2"/>
  <c r="V327" i="2"/>
  <c r="U327" i="2"/>
  <c r="T327" i="2"/>
  <c r="S327" i="2"/>
  <c r="R327" i="2"/>
  <c r="Q327" i="2"/>
  <c r="P327" i="2"/>
  <c r="O327" i="2"/>
  <c r="N327" i="2"/>
  <c r="M327" i="2"/>
  <c r="L327" i="2"/>
  <c r="K327" i="2"/>
  <c r="J327" i="2"/>
  <c r="I327" i="2"/>
  <c r="H327" i="2"/>
  <c r="G327" i="2"/>
  <c r="F327" i="2"/>
  <c r="E327" i="2"/>
  <c r="D327" i="2"/>
  <c r="C327" i="2"/>
  <c r="B327" i="2"/>
  <c r="A327" i="2"/>
  <c r="BK326" i="2"/>
  <c r="BJ326" i="2"/>
  <c r="BI326" i="2"/>
  <c r="BH326" i="2"/>
  <c r="BG326" i="2"/>
  <c r="BF326" i="2"/>
  <c r="BE326" i="2"/>
  <c r="BD326" i="2"/>
  <c r="BC326" i="2"/>
  <c r="BB326" i="2"/>
  <c r="BA326" i="2"/>
  <c r="AZ326" i="2"/>
  <c r="AY326" i="2"/>
  <c r="AX326" i="2"/>
  <c r="AW326" i="2"/>
  <c r="AV326" i="2"/>
  <c r="AU326" i="2"/>
  <c r="AT326" i="2"/>
  <c r="AS326" i="2"/>
  <c r="AR326" i="2"/>
  <c r="AQ326" i="2"/>
  <c r="AP326" i="2"/>
  <c r="AO326" i="2"/>
  <c r="AN326" i="2"/>
  <c r="AM326" i="2"/>
  <c r="AL326" i="2"/>
  <c r="AK326" i="2"/>
  <c r="AJ326" i="2"/>
  <c r="AI326" i="2"/>
  <c r="AH326" i="2"/>
  <c r="AG326" i="2"/>
  <c r="AF326" i="2"/>
  <c r="AE326" i="2"/>
  <c r="AD326" i="2"/>
  <c r="AC326" i="2"/>
  <c r="AB326" i="2"/>
  <c r="AA326" i="2"/>
  <c r="Z326" i="2"/>
  <c r="Y326" i="2"/>
  <c r="X326" i="2"/>
  <c r="W326" i="2"/>
  <c r="V326" i="2"/>
  <c r="U326" i="2"/>
  <c r="T326" i="2"/>
  <c r="S326" i="2"/>
  <c r="R326" i="2"/>
  <c r="Q326" i="2"/>
  <c r="P326" i="2"/>
  <c r="O326" i="2"/>
  <c r="N326" i="2"/>
  <c r="M326" i="2"/>
  <c r="L326" i="2"/>
  <c r="K326" i="2"/>
  <c r="J326" i="2"/>
  <c r="I326" i="2"/>
  <c r="H326" i="2"/>
  <c r="G326" i="2"/>
  <c r="F326" i="2"/>
  <c r="E326" i="2"/>
  <c r="D326" i="2"/>
  <c r="C326" i="2"/>
  <c r="B326" i="2"/>
  <c r="A326" i="2"/>
  <c r="BK325" i="2"/>
  <c r="BJ325" i="2"/>
  <c r="BI325" i="2"/>
  <c r="BH325" i="2"/>
  <c r="BG325" i="2"/>
  <c r="BF325" i="2"/>
  <c r="BE325" i="2"/>
  <c r="BD325" i="2"/>
  <c r="BC325" i="2"/>
  <c r="BB325" i="2"/>
  <c r="BA325" i="2"/>
  <c r="AZ325" i="2"/>
  <c r="AY325" i="2"/>
  <c r="AX325" i="2"/>
  <c r="AW325" i="2"/>
  <c r="AV325" i="2"/>
  <c r="AU325" i="2"/>
  <c r="AT325" i="2"/>
  <c r="AS325" i="2"/>
  <c r="AR325" i="2"/>
  <c r="AQ325" i="2"/>
  <c r="AP325" i="2"/>
  <c r="AO325" i="2"/>
  <c r="AN325" i="2"/>
  <c r="AM325" i="2"/>
  <c r="AL325" i="2"/>
  <c r="AK325" i="2"/>
  <c r="AJ325" i="2"/>
  <c r="AI325" i="2"/>
  <c r="AH325" i="2"/>
  <c r="AG325" i="2"/>
  <c r="AF325" i="2"/>
  <c r="AE325" i="2"/>
  <c r="AD325" i="2"/>
  <c r="AC325" i="2"/>
  <c r="AB325" i="2"/>
  <c r="AA325" i="2"/>
  <c r="Z325" i="2"/>
  <c r="Y325" i="2"/>
  <c r="X325" i="2"/>
  <c r="W325" i="2"/>
  <c r="V325" i="2"/>
  <c r="U325" i="2"/>
  <c r="T325" i="2"/>
  <c r="S325" i="2"/>
  <c r="R325" i="2"/>
  <c r="Q325" i="2"/>
  <c r="P325" i="2"/>
  <c r="O325" i="2"/>
  <c r="N325" i="2"/>
  <c r="M325" i="2"/>
  <c r="L325" i="2"/>
  <c r="K325" i="2"/>
  <c r="J325" i="2"/>
  <c r="I325" i="2"/>
  <c r="H325" i="2"/>
  <c r="G325" i="2"/>
  <c r="F325" i="2"/>
  <c r="E325" i="2"/>
  <c r="D325" i="2"/>
  <c r="C325" i="2"/>
  <c r="B325" i="2"/>
  <c r="A325" i="2"/>
  <c r="BK324" i="2"/>
  <c r="BJ324" i="2"/>
  <c r="BI324" i="2"/>
  <c r="BH324" i="2"/>
  <c r="BG324" i="2"/>
  <c r="BF324" i="2"/>
  <c r="BE324" i="2"/>
  <c r="BD324" i="2"/>
  <c r="BC324" i="2"/>
  <c r="BB324" i="2"/>
  <c r="BA324" i="2"/>
  <c r="AZ324" i="2"/>
  <c r="AY324" i="2"/>
  <c r="AX324" i="2"/>
  <c r="AW324" i="2"/>
  <c r="AV324" i="2"/>
  <c r="AU324" i="2"/>
  <c r="AT324" i="2"/>
  <c r="AS324" i="2"/>
  <c r="AR324" i="2"/>
  <c r="AQ324" i="2"/>
  <c r="AP324" i="2"/>
  <c r="AO324" i="2"/>
  <c r="AN324" i="2"/>
  <c r="AM324" i="2"/>
  <c r="AL324" i="2"/>
  <c r="AK324" i="2"/>
  <c r="AJ324" i="2"/>
  <c r="AI324" i="2"/>
  <c r="AH324" i="2"/>
  <c r="AG324" i="2"/>
  <c r="AF324" i="2"/>
  <c r="AE324" i="2"/>
  <c r="AD324" i="2"/>
  <c r="AC324" i="2"/>
  <c r="AB324" i="2"/>
  <c r="AA324" i="2"/>
  <c r="Z324" i="2"/>
  <c r="Y324" i="2"/>
  <c r="X324" i="2"/>
  <c r="W324" i="2"/>
  <c r="V324" i="2"/>
  <c r="U324" i="2"/>
  <c r="T324" i="2"/>
  <c r="S324" i="2"/>
  <c r="R324" i="2"/>
  <c r="Q324" i="2"/>
  <c r="P324" i="2"/>
  <c r="O324" i="2"/>
  <c r="N324" i="2"/>
  <c r="M324" i="2"/>
  <c r="L324" i="2"/>
  <c r="K324" i="2"/>
  <c r="J324" i="2"/>
  <c r="I324" i="2"/>
  <c r="H324" i="2"/>
  <c r="G324" i="2"/>
  <c r="F324" i="2"/>
  <c r="E324" i="2"/>
  <c r="D324" i="2"/>
  <c r="C324" i="2"/>
  <c r="B324" i="2"/>
  <c r="A324" i="2"/>
  <c r="BK323" i="2"/>
  <c r="BJ323" i="2"/>
  <c r="BI323" i="2"/>
  <c r="BH323" i="2"/>
  <c r="BG323" i="2"/>
  <c r="BF323" i="2"/>
  <c r="BE323" i="2"/>
  <c r="BD323" i="2"/>
  <c r="BC323" i="2"/>
  <c r="BB323" i="2"/>
  <c r="BA323" i="2"/>
  <c r="AZ323" i="2"/>
  <c r="AY323" i="2"/>
  <c r="AX323" i="2"/>
  <c r="AW323" i="2"/>
  <c r="AV323" i="2"/>
  <c r="AU323" i="2"/>
  <c r="AT323" i="2"/>
  <c r="AS323" i="2"/>
  <c r="AR323" i="2"/>
  <c r="AQ323" i="2"/>
  <c r="AP323" i="2"/>
  <c r="AO323" i="2"/>
  <c r="AN323" i="2"/>
  <c r="AM323" i="2"/>
  <c r="AL323" i="2"/>
  <c r="AK323" i="2"/>
  <c r="AJ323" i="2"/>
  <c r="AI323" i="2"/>
  <c r="AH323" i="2"/>
  <c r="AG323" i="2"/>
  <c r="AF323" i="2"/>
  <c r="AE323" i="2"/>
  <c r="AD323" i="2"/>
  <c r="AC323" i="2"/>
  <c r="AB323" i="2"/>
  <c r="AA323" i="2"/>
  <c r="Z323" i="2"/>
  <c r="Y323" i="2"/>
  <c r="X323" i="2"/>
  <c r="W323" i="2"/>
  <c r="V323" i="2"/>
  <c r="U323" i="2"/>
  <c r="T323" i="2"/>
  <c r="S323" i="2"/>
  <c r="R323" i="2"/>
  <c r="Q323" i="2"/>
  <c r="P323" i="2"/>
  <c r="O323" i="2"/>
  <c r="N323" i="2"/>
  <c r="M323" i="2"/>
  <c r="L323" i="2"/>
  <c r="K323" i="2"/>
  <c r="J323" i="2"/>
  <c r="I323" i="2"/>
  <c r="H323" i="2"/>
  <c r="G323" i="2"/>
  <c r="F323" i="2"/>
  <c r="E323" i="2"/>
  <c r="D323" i="2"/>
  <c r="C323" i="2"/>
  <c r="B323" i="2"/>
  <c r="A323" i="2"/>
  <c r="BK322" i="2"/>
  <c r="BJ322" i="2"/>
  <c r="BI322" i="2"/>
  <c r="BH322" i="2"/>
  <c r="BG322" i="2"/>
  <c r="BF322" i="2"/>
  <c r="BE322" i="2"/>
  <c r="BD322" i="2"/>
  <c r="BC322" i="2"/>
  <c r="BB322" i="2"/>
  <c r="BA322" i="2"/>
  <c r="AZ322" i="2"/>
  <c r="AY322" i="2"/>
  <c r="AX322" i="2"/>
  <c r="AW322" i="2"/>
  <c r="AV322" i="2"/>
  <c r="AU322" i="2"/>
  <c r="AT322" i="2"/>
  <c r="AS322" i="2"/>
  <c r="AR322" i="2"/>
  <c r="AQ322" i="2"/>
  <c r="AP322" i="2"/>
  <c r="AO322" i="2"/>
  <c r="AN322" i="2"/>
  <c r="AM322" i="2"/>
  <c r="AL322" i="2"/>
  <c r="AK322" i="2"/>
  <c r="AJ322" i="2"/>
  <c r="AI322" i="2"/>
  <c r="AH322" i="2"/>
  <c r="AG322" i="2"/>
  <c r="AF322" i="2"/>
  <c r="AE322" i="2"/>
  <c r="AD322" i="2"/>
  <c r="AC322" i="2"/>
  <c r="AB322" i="2"/>
  <c r="AA322" i="2"/>
  <c r="Z322" i="2"/>
  <c r="Y322" i="2"/>
  <c r="X322" i="2"/>
  <c r="W322" i="2"/>
  <c r="V322" i="2"/>
  <c r="U322" i="2"/>
  <c r="T322" i="2"/>
  <c r="S322" i="2"/>
  <c r="R322" i="2"/>
  <c r="Q322" i="2"/>
  <c r="P322" i="2"/>
  <c r="O322" i="2"/>
  <c r="N322" i="2"/>
  <c r="M322" i="2"/>
  <c r="L322" i="2"/>
  <c r="K322" i="2"/>
  <c r="J322" i="2"/>
  <c r="I322" i="2"/>
  <c r="H322" i="2"/>
  <c r="G322" i="2"/>
  <c r="F322" i="2"/>
  <c r="E322" i="2"/>
  <c r="D322" i="2"/>
  <c r="C322" i="2"/>
  <c r="B322" i="2"/>
  <c r="A322" i="2"/>
  <c r="BK321" i="2"/>
  <c r="BJ321" i="2"/>
  <c r="BI321" i="2"/>
  <c r="BH321" i="2"/>
  <c r="BG321" i="2"/>
  <c r="BF321" i="2"/>
  <c r="BE321" i="2"/>
  <c r="BD321" i="2"/>
  <c r="BC321" i="2"/>
  <c r="BB321" i="2"/>
  <c r="BA321" i="2"/>
  <c r="AZ321" i="2"/>
  <c r="AY321" i="2"/>
  <c r="AX321" i="2"/>
  <c r="AW321" i="2"/>
  <c r="AV321" i="2"/>
  <c r="AU321" i="2"/>
  <c r="AT321" i="2"/>
  <c r="AS321" i="2"/>
  <c r="AR321" i="2"/>
  <c r="AQ321" i="2"/>
  <c r="AP321" i="2"/>
  <c r="AO321" i="2"/>
  <c r="AN321" i="2"/>
  <c r="AM321" i="2"/>
  <c r="AL321" i="2"/>
  <c r="AK321" i="2"/>
  <c r="AJ321" i="2"/>
  <c r="AI321" i="2"/>
  <c r="AH321" i="2"/>
  <c r="AG321" i="2"/>
  <c r="AF321" i="2"/>
  <c r="AE321" i="2"/>
  <c r="AD321" i="2"/>
  <c r="AC321" i="2"/>
  <c r="AB321" i="2"/>
  <c r="AA321" i="2"/>
  <c r="Z321" i="2"/>
  <c r="Y321" i="2"/>
  <c r="X321" i="2"/>
  <c r="W321" i="2"/>
  <c r="V321" i="2"/>
  <c r="U321" i="2"/>
  <c r="T321" i="2"/>
  <c r="S321" i="2"/>
  <c r="R321" i="2"/>
  <c r="Q321" i="2"/>
  <c r="P321" i="2"/>
  <c r="O321" i="2"/>
  <c r="N321" i="2"/>
  <c r="M321" i="2"/>
  <c r="L321" i="2"/>
  <c r="K321" i="2"/>
  <c r="J321" i="2"/>
  <c r="I321" i="2"/>
  <c r="H321" i="2"/>
  <c r="G321" i="2"/>
  <c r="F321" i="2"/>
  <c r="E321" i="2"/>
  <c r="D321" i="2"/>
  <c r="C321" i="2"/>
  <c r="B321" i="2"/>
  <c r="A321" i="2"/>
  <c r="BK320" i="2"/>
  <c r="BJ320" i="2"/>
  <c r="BI320" i="2"/>
  <c r="BH320" i="2"/>
  <c r="BG320" i="2"/>
  <c r="BF320" i="2"/>
  <c r="BE320" i="2"/>
  <c r="BD320" i="2"/>
  <c r="BC320" i="2"/>
  <c r="BB320" i="2"/>
  <c r="BA320" i="2"/>
  <c r="AZ320" i="2"/>
  <c r="AY320" i="2"/>
  <c r="AX320" i="2"/>
  <c r="AW320" i="2"/>
  <c r="AV320" i="2"/>
  <c r="AU320" i="2"/>
  <c r="AT320" i="2"/>
  <c r="AS320" i="2"/>
  <c r="AR320" i="2"/>
  <c r="AQ320" i="2"/>
  <c r="AP320" i="2"/>
  <c r="AO320" i="2"/>
  <c r="AN320" i="2"/>
  <c r="AM320" i="2"/>
  <c r="AL320" i="2"/>
  <c r="AK320" i="2"/>
  <c r="AJ320" i="2"/>
  <c r="AI320" i="2"/>
  <c r="AH320" i="2"/>
  <c r="AG320" i="2"/>
  <c r="AF320" i="2"/>
  <c r="AE320" i="2"/>
  <c r="AD320" i="2"/>
  <c r="AC320" i="2"/>
  <c r="AB320" i="2"/>
  <c r="AA320" i="2"/>
  <c r="Z320" i="2"/>
  <c r="Y320" i="2"/>
  <c r="X320" i="2"/>
  <c r="W320" i="2"/>
  <c r="V320" i="2"/>
  <c r="U320" i="2"/>
  <c r="T320" i="2"/>
  <c r="S320" i="2"/>
  <c r="R320" i="2"/>
  <c r="Q320" i="2"/>
  <c r="P320" i="2"/>
  <c r="O320" i="2"/>
  <c r="N320" i="2"/>
  <c r="M320" i="2"/>
  <c r="L320" i="2"/>
  <c r="K320" i="2"/>
  <c r="J320" i="2"/>
  <c r="I320" i="2"/>
  <c r="H320" i="2"/>
  <c r="G320" i="2"/>
  <c r="F320" i="2"/>
  <c r="E320" i="2"/>
  <c r="D320" i="2"/>
  <c r="C320" i="2"/>
  <c r="B320" i="2"/>
  <c r="A320" i="2"/>
  <c r="BK319" i="2"/>
  <c r="BJ319" i="2"/>
  <c r="BI319" i="2"/>
  <c r="BH319" i="2"/>
  <c r="BG319" i="2"/>
  <c r="BF319" i="2"/>
  <c r="BE319" i="2"/>
  <c r="BD319" i="2"/>
  <c r="BC319" i="2"/>
  <c r="BB319" i="2"/>
  <c r="BA319" i="2"/>
  <c r="AZ319" i="2"/>
  <c r="AY319" i="2"/>
  <c r="AX319" i="2"/>
  <c r="AW319" i="2"/>
  <c r="AV319" i="2"/>
  <c r="AU319" i="2"/>
  <c r="AT319" i="2"/>
  <c r="AS319" i="2"/>
  <c r="AR319" i="2"/>
  <c r="AQ319" i="2"/>
  <c r="AP319" i="2"/>
  <c r="AO319" i="2"/>
  <c r="AN319" i="2"/>
  <c r="AM319" i="2"/>
  <c r="AL319" i="2"/>
  <c r="AK319" i="2"/>
  <c r="AJ319" i="2"/>
  <c r="AI319" i="2"/>
  <c r="AH319" i="2"/>
  <c r="AG319" i="2"/>
  <c r="AF319" i="2"/>
  <c r="AE319" i="2"/>
  <c r="AD319" i="2"/>
  <c r="AC319" i="2"/>
  <c r="AB319" i="2"/>
  <c r="AA319" i="2"/>
  <c r="Z319" i="2"/>
  <c r="Y319" i="2"/>
  <c r="X319" i="2"/>
  <c r="W319" i="2"/>
  <c r="V319" i="2"/>
  <c r="U319" i="2"/>
  <c r="T319" i="2"/>
  <c r="S319" i="2"/>
  <c r="R319" i="2"/>
  <c r="Q319" i="2"/>
  <c r="P319" i="2"/>
  <c r="O319" i="2"/>
  <c r="N319" i="2"/>
  <c r="M319" i="2"/>
  <c r="L319" i="2"/>
  <c r="K319" i="2"/>
  <c r="J319" i="2"/>
  <c r="I319" i="2"/>
  <c r="H319" i="2"/>
  <c r="G319" i="2"/>
  <c r="F319" i="2"/>
  <c r="E319" i="2"/>
  <c r="D319" i="2"/>
  <c r="C319" i="2"/>
  <c r="B319" i="2"/>
  <c r="A319" i="2"/>
  <c r="BK318" i="2"/>
  <c r="BJ318" i="2"/>
  <c r="BI318" i="2"/>
  <c r="BH318" i="2"/>
  <c r="BG318" i="2"/>
  <c r="BF318" i="2"/>
  <c r="BE318" i="2"/>
  <c r="BD318" i="2"/>
  <c r="BC318" i="2"/>
  <c r="BB318" i="2"/>
  <c r="BA318" i="2"/>
  <c r="AZ318" i="2"/>
  <c r="AY318" i="2"/>
  <c r="AX318" i="2"/>
  <c r="AW318" i="2"/>
  <c r="AV318" i="2"/>
  <c r="AU318" i="2"/>
  <c r="AT318" i="2"/>
  <c r="AS318" i="2"/>
  <c r="AR318" i="2"/>
  <c r="AQ318" i="2"/>
  <c r="AP318" i="2"/>
  <c r="AO318" i="2"/>
  <c r="AN318" i="2"/>
  <c r="AM318" i="2"/>
  <c r="AL318" i="2"/>
  <c r="AK318" i="2"/>
  <c r="AJ318" i="2"/>
  <c r="AI318" i="2"/>
  <c r="AH318" i="2"/>
  <c r="AG318" i="2"/>
  <c r="AF318" i="2"/>
  <c r="AE318" i="2"/>
  <c r="AD318" i="2"/>
  <c r="AC318" i="2"/>
  <c r="AB318" i="2"/>
  <c r="AA318" i="2"/>
  <c r="Z318" i="2"/>
  <c r="Y318" i="2"/>
  <c r="X318" i="2"/>
  <c r="W318" i="2"/>
  <c r="V318" i="2"/>
  <c r="U318" i="2"/>
  <c r="T318" i="2"/>
  <c r="S318" i="2"/>
  <c r="R318" i="2"/>
  <c r="Q318" i="2"/>
  <c r="P318" i="2"/>
  <c r="O318" i="2"/>
  <c r="N318" i="2"/>
  <c r="M318" i="2"/>
  <c r="L318" i="2"/>
  <c r="K318" i="2"/>
  <c r="J318" i="2"/>
  <c r="I318" i="2"/>
  <c r="H318" i="2"/>
  <c r="G318" i="2"/>
  <c r="F318" i="2"/>
  <c r="E318" i="2"/>
  <c r="D318" i="2"/>
  <c r="C318" i="2"/>
  <c r="B318" i="2"/>
  <c r="A318" i="2"/>
  <c r="BK317" i="2"/>
  <c r="BJ317" i="2"/>
  <c r="BI317" i="2"/>
  <c r="BH317" i="2"/>
  <c r="BG317" i="2"/>
  <c r="BF317" i="2"/>
  <c r="BE317" i="2"/>
  <c r="BD317" i="2"/>
  <c r="BC317" i="2"/>
  <c r="BB317" i="2"/>
  <c r="BA317" i="2"/>
  <c r="AZ317" i="2"/>
  <c r="AY317" i="2"/>
  <c r="AX317" i="2"/>
  <c r="AW317" i="2"/>
  <c r="AV317" i="2"/>
  <c r="AU317" i="2"/>
  <c r="AT317" i="2"/>
  <c r="AS317" i="2"/>
  <c r="AR317" i="2"/>
  <c r="AQ317" i="2"/>
  <c r="AP317" i="2"/>
  <c r="AO317" i="2"/>
  <c r="AN317" i="2"/>
  <c r="AM317" i="2"/>
  <c r="AL317" i="2"/>
  <c r="AK317" i="2"/>
  <c r="AJ317" i="2"/>
  <c r="AI317" i="2"/>
  <c r="AH317" i="2"/>
  <c r="AG317" i="2"/>
  <c r="AF317" i="2"/>
  <c r="AE317" i="2"/>
  <c r="AD317" i="2"/>
  <c r="AC317" i="2"/>
  <c r="AB317" i="2"/>
  <c r="AA317" i="2"/>
  <c r="Z317" i="2"/>
  <c r="Y317" i="2"/>
  <c r="X317" i="2"/>
  <c r="W317" i="2"/>
  <c r="V317" i="2"/>
  <c r="U317" i="2"/>
  <c r="T317" i="2"/>
  <c r="S317" i="2"/>
  <c r="R317" i="2"/>
  <c r="Q317" i="2"/>
  <c r="P317" i="2"/>
  <c r="O317" i="2"/>
  <c r="N317" i="2"/>
  <c r="M317" i="2"/>
  <c r="L317" i="2"/>
  <c r="K317" i="2"/>
  <c r="J317" i="2"/>
  <c r="I317" i="2"/>
  <c r="H317" i="2"/>
  <c r="G317" i="2"/>
  <c r="F317" i="2"/>
  <c r="E317" i="2"/>
  <c r="D317" i="2"/>
  <c r="C317" i="2"/>
  <c r="B317" i="2"/>
  <c r="A317" i="2"/>
  <c r="BK316" i="2"/>
  <c r="BJ316" i="2"/>
  <c r="BI316" i="2"/>
  <c r="BH316" i="2"/>
  <c r="BG316" i="2"/>
  <c r="BF316" i="2"/>
  <c r="BE316" i="2"/>
  <c r="BD316" i="2"/>
  <c r="BC316" i="2"/>
  <c r="BB316" i="2"/>
  <c r="BA316" i="2"/>
  <c r="AZ316" i="2"/>
  <c r="AY316" i="2"/>
  <c r="AX316" i="2"/>
  <c r="AW316" i="2"/>
  <c r="AV316" i="2"/>
  <c r="AU316" i="2"/>
  <c r="AT316" i="2"/>
  <c r="AS316" i="2"/>
  <c r="AR316" i="2"/>
  <c r="AQ316" i="2"/>
  <c r="AP316" i="2"/>
  <c r="AO316" i="2"/>
  <c r="AN316" i="2"/>
  <c r="AM316" i="2"/>
  <c r="AL316" i="2"/>
  <c r="AK316" i="2"/>
  <c r="AJ316" i="2"/>
  <c r="AI316" i="2"/>
  <c r="AH316" i="2"/>
  <c r="AG316" i="2"/>
  <c r="AF316" i="2"/>
  <c r="AE316" i="2"/>
  <c r="AD316" i="2"/>
  <c r="AC316" i="2"/>
  <c r="AB316" i="2"/>
  <c r="AA316" i="2"/>
  <c r="Z316" i="2"/>
  <c r="Y316" i="2"/>
  <c r="X316" i="2"/>
  <c r="W316" i="2"/>
  <c r="V316" i="2"/>
  <c r="U316" i="2"/>
  <c r="T316" i="2"/>
  <c r="S316" i="2"/>
  <c r="R316" i="2"/>
  <c r="Q316" i="2"/>
  <c r="P316" i="2"/>
  <c r="O316" i="2"/>
  <c r="N316" i="2"/>
  <c r="M316" i="2"/>
  <c r="L316" i="2"/>
  <c r="K316" i="2"/>
  <c r="J316" i="2"/>
  <c r="I316" i="2"/>
  <c r="H316" i="2"/>
  <c r="G316" i="2"/>
  <c r="F316" i="2"/>
  <c r="E316" i="2"/>
  <c r="D316" i="2"/>
  <c r="C316" i="2"/>
  <c r="B316" i="2"/>
  <c r="A316" i="2"/>
  <c r="BK315" i="2"/>
  <c r="BJ315" i="2"/>
  <c r="BI315" i="2"/>
  <c r="BH315" i="2"/>
  <c r="BG315" i="2"/>
  <c r="BF315" i="2"/>
  <c r="BE315" i="2"/>
  <c r="BD315" i="2"/>
  <c r="BC315" i="2"/>
  <c r="BB315" i="2"/>
  <c r="BA315" i="2"/>
  <c r="AZ315" i="2"/>
  <c r="AY315" i="2"/>
  <c r="AX315" i="2"/>
  <c r="AW315" i="2"/>
  <c r="AV315" i="2"/>
  <c r="AU315" i="2"/>
  <c r="AT315" i="2"/>
  <c r="AS315" i="2"/>
  <c r="AR315" i="2"/>
  <c r="AQ315" i="2"/>
  <c r="AP315" i="2"/>
  <c r="AO315" i="2"/>
  <c r="AN315" i="2"/>
  <c r="AM315" i="2"/>
  <c r="AL315" i="2"/>
  <c r="AK315" i="2"/>
  <c r="AJ315" i="2"/>
  <c r="AI315" i="2"/>
  <c r="AH315" i="2"/>
  <c r="AG315" i="2"/>
  <c r="AF315" i="2"/>
  <c r="AE315" i="2"/>
  <c r="AD315" i="2"/>
  <c r="AC315" i="2"/>
  <c r="AB315" i="2"/>
  <c r="AA315" i="2"/>
  <c r="Z315" i="2"/>
  <c r="Y315" i="2"/>
  <c r="X315" i="2"/>
  <c r="W315" i="2"/>
  <c r="V315" i="2"/>
  <c r="U315" i="2"/>
  <c r="T315" i="2"/>
  <c r="S315" i="2"/>
  <c r="R315" i="2"/>
  <c r="Q315" i="2"/>
  <c r="P315" i="2"/>
  <c r="O315" i="2"/>
  <c r="N315" i="2"/>
  <c r="M315" i="2"/>
  <c r="L315" i="2"/>
  <c r="K315" i="2"/>
  <c r="J315" i="2"/>
  <c r="I315" i="2"/>
  <c r="H315" i="2"/>
  <c r="G315" i="2"/>
  <c r="F315" i="2"/>
  <c r="E315" i="2"/>
  <c r="D315" i="2"/>
  <c r="C315" i="2"/>
  <c r="B315" i="2"/>
  <c r="A315" i="2"/>
  <c r="BK314" i="2"/>
  <c r="BJ314" i="2"/>
  <c r="BI314" i="2"/>
  <c r="BH314" i="2"/>
  <c r="BG314" i="2"/>
  <c r="BF314" i="2"/>
  <c r="BE314" i="2"/>
  <c r="BD314" i="2"/>
  <c r="BC314" i="2"/>
  <c r="BB314" i="2"/>
  <c r="BA314" i="2"/>
  <c r="AZ314" i="2"/>
  <c r="AY314" i="2"/>
  <c r="AX314" i="2"/>
  <c r="AW314" i="2"/>
  <c r="AV314" i="2"/>
  <c r="AU314" i="2"/>
  <c r="AT314" i="2"/>
  <c r="AS314" i="2"/>
  <c r="AR314" i="2"/>
  <c r="AQ314" i="2"/>
  <c r="AP314" i="2"/>
  <c r="AO314" i="2"/>
  <c r="AN314" i="2"/>
  <c r="AM314" i="2"/>
  <c r="AL314" i="2"/>
  <c r="AK314" i="2"/>
  <c r="AJ314" i="2"/>
  <c r="AI314" i="2"/>
  <c r="AH314" i="2"/>
  <c r="AG314" i="2"/>
  <c r="AF314" i="2"/>
  <c r="AE314" i="2"/>
  <c r="AD314" i="2"/>
  <c r="AC314" i="2"/>
  <c r="AB314" i="2"/>
  <c r="AA314" i="2"/>
  <c r="Z314" i="2"/>
  <c r="Y314" i="2"/>
  <c r="X314" i="2"/>
  <c r="W314" i="2"/>
  <c r="V314" i="2"/>
  <c r="U314" i="2"/>
  <c r="T314" i="2"/>
  <c r="S314" i="2"/>
  <c r="R314" i="2"/>
  <c r="Q314" i="2"/>
  <c r="P314" i="2"/>
  <c r="O314" i="2"/>
  <c r="N314" i="2"/>
  <c r="M314" i="2"/>
  <c r="L314" i="2"/>
  <c r="K314" i="2"/>
  <c r="J314" i="2"/>
  <c r="I314" i="2"/>
  <c r="H314" i="2"/>
  <c r="G314" i="2"/>
  <c r="F314" i="2"/>
  <c r="E314" i="2"/>
  <c r="D314" i="2"/>
  <c r="C314" i="2"/>
  <c r="B314" i="2"/>
  <c r="A314" i="2"/>
  <c r="BK313" i="2"/>
  <c r="BJ313" i="2"/>
  <c r="BI313" i="2"/>
  <c r="BH313" i="2"/>
  <c r="BG313" i="2"/>
  <c r="BF313" i="2"/>
  <c r="BE313" i="2"/>
  <c r="BD313" i="2"/>
  <c r="BC313" i="2"/>
  <c r="BB313" i="2"/>
  <c r="BA313" i="2"/>
  <c r="AZ313" i="2"/>
  <c r="AY313" i="2"/>
  <c r="AX313" i="2"/>
  <c r="AW313" i="2"/>
  <c r="AV313" i="2"/>
  <c r="AU313" i="2"/>
  <c r="AT313" i="2"/>
  <c r="AS313" i="2"/>
  <c r="AR313" i="2"/>
  <c r="AQ313" i="2"/>
  <c r="AP313" i="2"/>
  <c r="AO313" i="2"/>
  <c r="AN313" i="2"/>
  <c r="AM313" i="2"/>
  <c r="AL313" i="2"/>
  <c r="AK313" i="2"/>
  <c r="AJ313" i="2"/>
  <c r="AI313" i="2"/>
  <c r="AH313" i="2"/>
  <c r="AG313" i="2"/>
  <c r="AF313" i="2"/>
  <c r="AE313" i="2"/>
  <c r="AD313" i="2"/>
  <c r="AC313" i="2"/>
  <c r="AB313" i="2"/>
  <c r="AA313" i="2"/>
  <c r="Z313" i="2"/>
  <c r="Y313" i="2"/>
  <c r="X313" i="2"/>
  <c r="W313" i="2"/>
  <c r="V313" i="2"/>
  <c r="U313" i="2"/>
  <c r="T313" i="2"/>
  <c r="S313" i="2"/>
  <c r="R313" i="2"/>
  <c r="Q313" i="2"/>
  <c r="P313" i="2"/>
  <c r="O313" i="2"/>
  <c r="N313" i="2"/>
  <c r="M313" i="2"/>
  <c r="L313" i="2"/>
  <c r="K313" i="2"/>
  <c r="J313" i="2"/>
  <c r="I313" i="2"/>
  <c r="H313" i="2"/>
  <c r="G313" i="2"/>
  <c r="F313" i="2"/>
  <c r="E313" i="2"/>
  <c r="D313" i="2"/>
  <c r="C313" i="2"/>
  <c r="B313" i="2"/>
  <c r="A313" i="2"/>
  <c r="BK312" i="2"/>
  <c r="BJ312" i="2"/>
  <c r="BI312" i="2"/>
  <c r="BH312" i="2"/>
  <c r="BG312" i="2"/>
  <c r="BF312" i="2"/>
  <c r="BE312" i="2"/>
  <c r="BD312" i="2"/>
  <c r="BC312" i="2"/>
  <c r="BB312" i="2"/>
  <c r="BA312" i="2"/>
  <c r="AZ312" i="2"/>
  <c r="AY312" i="2"/>
  <c r="AX312" i="2"/>
  <c r="AW312" i="2"/>
  <c r="AV312" i="2"/>
  <c r="AU312" i="2"/>
  <c r="AT312" i="2"/>
  <c r="AS312" i="2"/>
  <c r="AR312" i="2"/>
  <c r="AQ312" i="2"/>
  <c r="AP312" i="2"/>
  <c r="AO312" i="2"/>
  <c r="AN312" i="2"/>
  <c r="AM312" i="2"/>
  <c r="AL312" i="2"/>
  <c r="AK312" i="2"/>
  <c r="AJ312" i="2"/>
  <c r="AI312" i="2"/>
  <c r="AH312" i="2"/>
  <c r="AG312" i="2"/>
  <c r="AF312" i="2"/>
  <c r="AE312" i="2"/>
  <c r="AD312" i="2"/>
  <c r="AC312" i="2"/>
  <c r="AB312" i="2"/>
  <c r="AA312" i="2"/>
  <c r="Z312" i="2"/>
  <c r="Y312" i="2"/>
  <c r="X312" i="2"/>
  <c r="W312" i="2"/>
  <c r="V312" i="2"/>
  <c r="U312" i="2"/>
  <c r="T312" i="2"/>
  <c r="S312" i="2"/>
  <c r="R312" i="2"/>
  <c r="Q312" i="2"/>
  <c r="P312" i="2"/>
  <c r="O312" i="2"/>
  <c r="N312" i="2"/>
  <c r="M312" i="2"/>
  <c r="L312" i="2"/>
  <c r="K312" i="2"/>
  <c r="J312" i="2"/>
  <c r="I312" i="2"/>
  <c r="H312" i="2"/>
  <c r="G312" i="2"/>
  <c r="F312" i="2"/>
  <c r="E312" i="2"/>
  <c r="D312" i="2"/>
  <c r="C312" i="2"/>
  <c r="B312" i="2"/>
  <c r="A312" i="2"/>
  <c r="BK311" i="2"/>
  <c r="BJ311" i="2"/>
  <c r="BI311" i="2"/>
  <c r="BH311" i="2"/>
  <c r="BG311" i="2"/>
  <c r="BF311" i="2"/>
  <c r="BE311" i="2"/>
  <c r="BD311" i="2"/>
  <c r="BC311" i="2"/>
  <c r="BB311" i="2"/>
  <c r="BA311" i="2"/>
  <c r="AZ311" i="2"/>
  <c r="AY311" i="2"/>
  <c r="AX311" i="2"/>
  <c r="AW311" i="2"/>
  <c r="AV311" i="2"/>
  <c r="AU311" i="2"/>
  <c r="AT311" i="2"/>
  <c r="AS311" i="2"/>
  <c r="AR311" i="2"/>
  <c r="AQ311" i="2"/>
  <c r="AP311" i="2"/>
  <c r="AO311" i="2"/>
  <c r="AN311" i="2"/>
  <c r="AM311" i="2"/>
  <c r="AL311" i="2"/>
  <c r="AK311" i="2"/>
  <c r="AJ311" i="2"/>
  <c r="AI311" i="2"/>
  <c r="AH311" i="2"/>
  <c r="AG311" i="2"/>
  <c r="AF311" i="2"/>
  <c r="AE311" i="2"/>
  <c r="AD311" i="2"/>
  <c r="AC311" i="2"/>
  <c r="AB311" i="2"/>
  <c r="AA311" i="2"/>
  <c r="Z311" i="2"/>
  <c r="Y311" i="2"/>
  <c r="X311" i="2"/>
  <c r="W311" i="2"/>
  <c r="V311" i="2"/>
  <c r="U311" i="2"/>
  <c r="T311" i="2"/>
  <c r="S311" i="2"/>
  <c r="R311" i="2"/>
  <c r="Q311" i="2"/>
  <c r="P311" i="2"/>
  <c r="O311" i="2"/>
  <c r="N311" i="2"/>
  <c r="M311" i="2"/>
  <c r="L311" i="2"/>
  <c r="K311" i="2"/>
  <c r="J311" i="2"/>
  <c r="I311" i="2"/>
  <c r="H311" i="2"/>
  <c r="G311" i="2"/>
  <c r="F311" i="2"/>
  <c r="E311" i="2"/>
  <c r="D311" i="2"/>
  <c r="C311" i="2"/>
  <c r="B311" i="2"/>
  <c r="A311" i="2"/>
  <c r="BK310" i="2"/>
  <c r="BJ310" i="2"/>
  <c r="BI310" i="2"/>
  <c r="BH310" i="2"/>
  <c r="BG310" i="2"/>
  <c r="BF310" i="2"/>
  <c r="BE310" i="2"/>
  <c r="BD310" i="2"/>
  <c r="BC310" i="2"/>
  <c r="BB310" i="2"/>
  <c r="BA310" i="2"/>
  <c r="AZ310" i="2"/>
  <c r="AY310" i="2"/>
  <c r="AX310" i="2"/>
  <c r="AW310" i="2"/>
  <c r="AV310" i="2"/>
  <c r="AU310" i="2"/>
  <c r="AT310" i="2"/>
  <c r="AS310" i="2"/>
  <c r="AR310" i="2"/>
  <c r="AQ310" i="2"/>
  <c r="AP310" i="2"/>
  <c r="AO310" i="2"/>
  <c r="AN310" i="2"/>
  <c r="AM310" i="2"/>
  <c r="AL310" i="2"/>
  <c r="AK310" i="2"/>
  <c r="AJ310" i="2"/>
  <c r="AI310" i="2"/>
  <c r="AH310" i="2"/>
  <c r="AG310" i="2"/>
  <c r="AF310" i="2"/>
  <c r="AE310" i="2"/>
  <c r="AD310" i="2"/>
  <c r="AC310" i="2"/>
  <c r="AB310" i="2"/>
  <c r="AA310" i="2"/>
  <c r="Z310" i="2"/>
  <c r="Y310" i="2"/>
  <c r="X310" i="2"/>
  <c r="W310" i="2"/>
  <c r="V310" i="2"/>
  <c r="U310" i="2"/>
  <c r="T310" i="2"/>
  <c r="S310" i="2"/>
  <c r="R310" i="2"/>
  <c r="Q310" i="2"/>
  <c r="P310" i="2"/>
  <c r="O310" i="2"/>
  <c r="N310" i="2"/>
  <c r="M310" i="2"/>
  <c r="L310" i="2"/>
  <c r="K310" i="2"/>
  <c r="J310" i="2"/>
  <c r="I310" i="2"/>
  <c r="H310" i="2"/>
  <c r="G310" i="2"/>
  <c r="F310" i="2"/>
  <c r="E310" i="2"/>
  <c r="D310" i="2"/>
  <c r="C310" i="2"/>
  <c r="B310" i="2"/>
  <c r="A310" i="2"/>
  <c r="BK309" i="2"/>
  <c r="BJ309" i="2"/>
  <c r="BI309" i="2"/>
  <c r="BH309" i="2"/>
  <c r="BG309" i="2"/>
  <c r="BF309" i="2"/>
  <c r="BE309" i="2"/>
  <c r="BD309" i="2"/>
  <c r="BC309" i="2"/>
  <c r="BB309" i="2"/>
  <c r="BA309" i="2"/>
  <c r="AZ309" i="2"/>
  <c r="AY309" i="2"/>
  <c r="AX309" i="2"/>
  <c r="AW309" i="2"/>
  <c r="AV309" i="2"/>
  <c r="AU309" i="2"/>
  <c r="AT309" i="2"/>
  <c r="AS309" i="2"/>
  <c r="AR309" i="2"/>
  <c r="AQ309" i="2"/>
  <c r="AP309" i="2"/>
  <c r="AO309" i="2"/>
  <c r="AN309" i="2"/>
  <c r="AM309" i="2"/>
  <c r="AL309" i="2"/>
  <c r="AK309" i="2"/>
  <c r="AJ309" i="2"/>
  <c r="AI309" i="2"/>
  <c r="AH309" i="2"/>
  <c r="AG309" i="2"/>
  <c r="AF309" i="2"/>
  <c r="AE309" i="2"/>
  <c r="AD309" i="2"/>
  <c r="AC309" i="2"/>
  <c r="AB309" i="2"/>
  <c r="AA309" i="2"/>
  <c r="Z309" i="2"/>
  <c r="Y309" i="2"/>
  <c r="X309" i="2"/>
  <c r="W309" i="2"/>
  <c r="V309" i="2"/>
  <c r="U309" i="2"/>
  <c r="T309" i="2"/>
  <c r="S309" i="2"/>
  <c r="R309" i="2"/>
  <c r="Q309" i="2"/>
  <c r="P309" i="2"/>
  <c r="O309" i="2"/>
  <c r="N309" i="2"/>
  <c r="M309" i="2"/>
  <c r="L309" i="2"/>
  <c r="K309" i="2"/>
  <c r="J309" i="2"/>
  <c r="I309" i="2"/>
  <c r="H309" i="2"/>
  <c r="G309" i="2"/>
  <c r="F309" i="2"/>
  <c r="E309" i="2"/>
  <c r="D309" i="2"/>
  <c r="C309" i="2"/>
  <c r="B309" i="2"/>
  <c r="A309" i="2"/>
  <c r="BK308" i="2"/>
  <c r="BJ308" i="2"/>
  <c r="BI308" i="2"/>
  <c r="BH308" i="2"/>
  <c r="BG308" i="2"/>
  <c r="BF308" i="2"/>
  <c r="BE308" i="2"/>
  <c r="BD308" i="2"/>
  <c r="BC308" i="2"/>
  <c r="BB308" i="2"/>
  <c r="BA308" i="2"/>
  <c r="AZ308" i="2"/>
  <c r="AY308" i="2"/>
  <c r="AX308" i="2"/>
  <c r="AW308" i="2"/>
  <c r="AV308" i="2"/>
  <c r="AU308" i="2"/>
  <c r="AT308" i="2"/>
  <c r="AS308" i="2"/>
  <c r="AR308" i="2"/>
  <c r="AQ308" i="2"/>
  <c r="AP308" i="2"/>
  <c r="AO308" i="2"/>
  <c r="AN308" i="2"/>
  <c r="AM308" i="2"/>
  <c r="AL308" i="2"/>
  <c r="AK308" i="2"/>
  <c r="AJ308" i="2"/>
  <c r="AI308" i="2"/>
  <c r="AH308" i="2"/>
  <c r="AG308" i="2"/>
  <c r="AF308" i="2"/>
  <c r="AE308" i="2"/>
  <c r="AD308" i="2"/>
  <c r="AC308" i="2"/>
  <c r="AB308" i="2"/>
  <c r="AA308" i="2"/>
  <c r="Z308" i="2"/>
  <c r="Y308" i="2"/>
  <c r="X308" i="2"/>
  <c r="W308" i="2"/>
  <c r="V308" i="2"/>
  <c r="U308" i="2"/>
  <c r="T308" i="2"/>
  <c r="S308" i="2"/>
  <c r="R308" i="2"/>
  <c r="Q308" i="2"/>
  <c r="P308" i="2"/>
  <c r="O308" i="2"/>
  <c r="N308" i="2"/>
  <c r="M308" i="2"/>
  <c r="L308" i="2"/>
  <c r="K308" i="2"/>
  <c r="J308" i="2"/>
  <c r="I308" i="2"/>
  <c r="H308" i="2"/>
  <c r="G308" i="2"/>
  <c r="F308" i="2"/>
  <c r="E308" i="2"/>
  <c r="D308" i="2"/>
  <c r="C308" i="2"/>
  <c r="B308" i="2"/>
  <c r="A308" i="2"/>
  <c r="BK307" i="2"/>
  <c r="BJ307" i="2"/>
  <c r="BI307" i="2"/>
  <c r="BH307" i="2"/>
  <c r="BG307" i="2"/>
  <c r="BF307" i="2"/>
  <c r="BE307" i="2"/>
  <c r="BD307" i="2"/>
  <c r="BC307" i="2"/>
  <c r="BB307" i="2"/>
  <c r="BA307" i="2"/>
  <c r="AZ307" i="2"/>
  <c r="AY307" i="2"/>
  <c r="AX307" i="2"/>
  <c r="AW307" i="2"/>
  <c r="AV307" i="2"/>
  <c r="AU307" i="2"/>
  <c r="AT307" i="2"/>
  <c r="AS307" i="2"/>
  <c r="AR307" i="2"/>
  <c r="AQ307" i="2"/>
  <c r="AP307" i="2"/>
  <c r="AO307" i="2"/>
  <c r="AN307" i="2"/>
  <c r="AM307" i="2"/>
  <c r="AL307" i="2"/>
  <c r="AK307" i="2"/>
  <c r="AJ307" i="2"/>
  <c r="AI307" i="2"/>
  <c r="AH307" i="2"/>
  <c r="AG307" i="2"/>
  <c r="AF307" i="2"/>
  <c r="AE307" i="2"/>
  <c r="AD307" i="2"/>
  <c r="AC307" i="2"/>
  <c r="AB307" i="2"/>
  <c r="AA307" i="2"/>
  <c r="Z307" i="2"/>
  <c r="Y307" i="2"/>
  <c r="X307" i="2"/>
  <c r="W307" i="2"/>
  <c r="V307" i="2"/>
  <c r="U307" i="2"/>
  <c r="T307" i="2"/>
  <c r="S307" i="2"/>
  <c r="R307" i="2"/>
  <c r="Q307" i="2"/>
  <c r="P307" i="2"/>
  <c r="O307" i="2"/>
  <c r="N307" i="2"/>
  <c r="M307" i="2"/>
  <c r="L307" i="2"/>
  <c r="K307" i="2"/>
  <c r="J307" i="2"/>
  <c r="I307" i="2"/>
  <c r="H307" i="2"/>
  <c r="G307" i="2"/>
  <c r="F307" i="2"/>
  <c r="E307" i="2"/>
  <c r="D307" i="2"/>
  <c r="C307" i="2"/>
  <c r="B307" i="2"/>
  <c r="A307" i="2"/>
  <c r="BK306" i="2"/>
  <c r="BJ306" i="2"/>
  <c r="BI306" i="2"/>
  <c r="BH306" i="2"/>
  <c r="BG306" i="2"/>
  <c r="BF306" i="2"/>
  <c r="BE306" i="2"/>
  <c r="BD306" i="2"/>
  <c r="BC306" i="2"/>
  <c r="BB306" i="2"/>
  <c r="BA306" i="2"/>
  <c r="AZ306" i="2"/>
  <c r="AY306" i="2"/>
  <c r="AX306" i="2"/>
  <c r="AW306" i="2"/>
  <c r="AV306" i="2"/>
  <c r="AU306" i="2"/>
  <c r="AT306" i="2"/>
  <c r="AS306" i="2"/>
  <c r="AR306" i="2"/>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R306" i="2"/>
  <c r="Q306" i="2"/>
  <c r="P306" i="2"/>
  <c r="O306" i="2"/>
  <c r="N306" i="2"/>
  <c r="M306" i="2"/>
  <c r="L306" i="2"/>
  <c r="K306" i="2"/>
  <c r="J306" i="2"/>
  <c r="I306" i="2"/>
  <c r="H306" i="2"/>
  <c r="G306" i="2"/>
  <c r="F306" i="2"/>
  <c r="E306" i="2"/>
  <c r="D306" i="2"/>
  <c r="C306" i="2"/>
  <c r="B306" i="2"/>
  <c r="A306" i="2"/>
  <c r="BK305" i="2"/>
  <c r="BJ305" i="2"/>
  <c r="BI305" i="2"/>
  <c r="BH305" i="2"/>
  <c r="BG305" i="2"/>
  <c r="BF305" i="2"/>
  <c r="BE305" i="2"/>
  <c r="BD305" i="2"/>
  <c r="BC305" i="2"/>
  <c r="BB305" i="2"/>
  <c r="BA305" i="2"/>
  <c r="AZ305" i="2"/>
  <c r="AY305" i="2"/>
  <c r="AX305" i="2"/>
  <c r="AW305" i="2"/>
  <c r="AV305" i="2"/>
  <c r="AU305" i="2"/>
  <c r="AT305" i="2"/>
  <c r="AS305" i="2"/>
  <c r="AR305"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R305" i="2"/>
  <c r="Q305" i="2"/>
  <c r="P305" i="2"/>
  <c r="O305" i="2"/>
  <c r="N305" i="2"/>
  <c r="M305" i="2"/>
  <c r="L305" i="2"/>
  <c r="K305" i="2"/>
  <c r="J305" i="2"/>
  <c r="I305" i="2"/>
  <c r="H305" i="2"/>
  <c r="G305" i="2"/>
  <c r="F305" i="2"/>
  <c r="E305" i="2"/>
  <c r="D305" i="2"/>
  <c r="C305" i="2"/>
  <c r="B305" i="2"/>
  <c r="A305" i="2"/>
  <c r="BK304" i="2"/>
  <c r="BJ304" i="2"/>
  <c r="BI304" i="2"/>
  <c r="BH304" i="2"/>
  <c r="BG304" i="2"/>
  <c r="BF304" i="2"/>
  <c r="BE304" i="2"/>
  <c r="BD304" i="2"/>
  <c r="BC304" i="2"/>
  <c r="BB304" i="2"/>
  <c r="BA304" i="2"/>
  <c r="AZ304" i="2"/>
  <c r="AY304" i="2"/>
  <c r="AX304" i="2"/>
  <c r="AW304" i="2"/>
  <c r="AV304" i="2"/>
  <c r="AU304" i="2"/>
  <c r="AT304" i="2"/>
  <c r="AS304" i="2"/>
  <c r="AR304" i="2"/>
  <c r="AQ304" i="2"/>
  <c r="AP304" i="2"/>
  <c r="AO304" i="2"/>
  <c r="AN304" i="2"/>
  <c r="AM304" i="2"/>
  <c r="AL304" i="2"/>
  <c r="AK304" i="2"/>
  <c r="AJ304" i="2"/>
  <c r="AI304" i="2"/>
  <c r="AH304" i="2"/>
  <c r="AG304" i="2"/>
  <c r="AF304" i="2"/>
  <c r="AE304" i="2"/>
  <c r="AD304" i="2"/>
  <c r="AC304" i="2"/>
  <c r="AB304" i="2"/>
  <c r="AA304" i="2"/>
  <c r="Z304" i="2"/>
  <c r="Y304" i="2"/>
  <c r="X304" i="2"/>
  <c r="W304" i="2"/>
  <c r="V304" i="2"/>
  <c r="U304" i="2"/>
  <c r="T304" i="2"/>
  <c r="S304" i="2"/>
  <c r="R304" i="2"/>
  <c r="Q304" i="2"/>
  <c r="P304" i="2"/>
  <c r="O304" i="2"/>
  <c r="N304" i="2"/>
  <c r="M304" i="2"/>
  <c r="L304" i="2"/>
  <c r="K304" i="2"/>
  <c r="J304" i="2"/>
  <c r="I304" i="2"/>
  <c r="H304" i="2"/>
  <c r="G304" i="2"/>
  <c r="F304" i="2"/>
  <c r="E304" i="2"/>
  <c r="D304" i="2"/>
  <c r="C304" i="2"/>
  <c r="B304" i="2"/>
  <c r="A304" i="2"/>
  <c r="BK303" i="2"/>
  <c r="BJ303" i="2"/>
  <c r="BI303" i="2"/>
  <c r="BH303" i="2"/>
  <c r="BG303" i="2"/>
  <c r="BF303" i="2"/>
  <c r="BE303" i="2"/>
  <c r="BD303" i="2"/>
  <c r="BC303" i="2"/>
  <c r="BB303" i="2"/>
  <c r="BA303" i="2"/>
  <c r="AZ303" i="2"/>
  <c r="AY303" i="2"/>
  <c r="AX303" i="2"/>
  <c r="AW303" i="2"/>
  <c r="AV303" i="2"/>
  <c r="AU303" i="2"/>
  <c r="AT303" i="2"/>
  <c r="AS303" i="2"/>
  <c r="AR303" i="2"/>
  <c r="AQ303" i="2"/>
  <c r="AP303" i="2"/>
  <c r="AO303" i="2"/>
  <c r="AN303" i="2"/>
  <c r="AM303" i="2"/>
  <c r="AL303" i="2"/>
  <c r="AK303" i="2"/>
  <c r="AJ303" i="2"/>
  <c r="AI303" i="2"/>
  <c r="AH303" i="2"/>
  <c r="AG303" i="2"/>
  <c r="AF303" i="2"/>
  <c r="AE303" i="2"/>
  <c r="AD303" i="2"/>
  <c r="AC303" i="2"/>
  <c r="AB303" i="2"/>
  <c r="AA303" i="2"/>
  <c r="Z303" i="2"/>
  <c r="Y303" i="2"/>
  <c r="X303" i="2"/>
  <c r="W303" i="2"/>
  <c r="V303" i="2"/>
  <c r="U303" i="2"/>
  <c r="T303" i="2"/>
  <c r="S303" i="2"/>
  <c r="R303" i="2"/>
  <c r="Q303" i="2"/>
  <c r="P303" i="2"/>
  <c r="O303" i="2"/>
  <c r="N303" i="2"/>
  <c r="M303" i="2"/>
  <c r="L303" i="2"/>
  <c r="K303" i="2"/>
  <c r="J303" i="2"/>
  <c r="I303" i="2"/>
  <c r="H303" i="2"/>
  <c r="G303" i="2"/>
  <c r="F303" i="2"/>
  <c r="E303" i="2"/>
  <c r="D303" i="2"/>
  <c r="C303" i="2"/>
  <c r="B303" i="2"/>
  <c r="A303" i="2"/>
  <c r="BK302" i="2"/>
  <c r="BJ302" i="2"/>
  <c r="BI302" i="2"/>
  <c r="BH302" i="2"/>
  <c r="BG302" i="2"/>
  <c r="BF302" i="2"/>
  <c r="BE302" i="2"/>
  <c r="BD302" i="2"/>
  <c r="BC302" i="2"/>
  <c r="BB302" i="2"/>
  <c r="BA302" i="2"/>
  <c r="AZ302" i="2"/>
  <c r="AY302" i="2"/>
  <c r="AX302" i="2"/>
  <c r="AW302" i="2"/>
  <c r="AV302" i="2"/>
  <c r="AU302" i="2"/>
  <c r="AT302" i="2"/>
  <c r="AS302" i="2"/>
  <c r="AR302" i="2"/>
  <c r="AQ302" i="2"/>
  <c r="AP302" i="2"/>
  <c r="AO302" i="2"/>
  <c r="AN302" i="2"/>
  <c r="AM302" i="2"/>
  <c r="AL302" i="2"/>
  <c r="AK302" i="2"/>
  <c r="AJ302" i="2"/>
  <c r="AI302" i="2"/>
  <c r="AH302" i="2"/>
  <c r="AG302" i="2"/>
  <c r="AF302" i="2"/>
  <c r="AE302" i="2"/>
  <c r="AD302" i="2"/>
  <c r="AC302" i="2"/>
  <c r="AB302" i="2"/>
  <c r="AA302" i="2"/>
  <c r="Z302" i="2"/>
  <c r="Y302" i="2"/>
  <c r="X302" i="2"/>
  <c r="W302" i="2"/>
  <c r="V302" i="2"/>
  <c r="U302" i="2"/>
  <c r="T302" i="2"/>
  <c r="S302" i="2"/>
  <c r="R302" i="2"/>
  <c r="Q302" i="2"/>
  <c r="P302" i="2"/>
  <c r="O302" i="2"/>
  <c r="N302" i="2"/>
  <c r="M302" i="2"/>
  <c r="L302" i="2"/>
  <c r="K302" i="2"/>
  <c r="J302" i="2"/>
  <c r="I302" i="2"/>
  <c r="H302" i="2"/>
  <c r="G302" i="2"/>
  <c r="F302" i="2"/>
  <c r="E302" i="2"/>
  <c r="D302" i="2"/>
  <c r="C302" i="2"/>
  <c r="B302" i="2"/>
  <c r="A302" i="2"/>
  <c r="BK301" i="2"/>
  <c r="BJ301" i="2"/>
  <c r="BI301" i="2"/>
  <c r="BH301" i="2"/>
  <c r="BG301" i="2"/>
  <c r="BF301" i="2"/>
  <c r="BE301" i="2"/>
  <c r="BD301" i="2"/>
  <c r="BC301" i="2"/>
  <c r="BB301" i="2"/>
  <c r="BA301" i="2"/>
  <c r="AZ301" i="2"/>
  <c r="AY301" i="2"/>
  <c r="AX301" i="2"/>
  <c r="AW301" i="2"/>
  <c r="AV301" i="2"/>
  <c r="AU301" i="2"/>
  <c r="AT301" i="2"/>
  <c r="AS301" i="2"/>
  <c r="AR301" i="2"/>
  <c r="AQ301" i="2"/>
  <c r="AP301" i="2"/>
  <c r="AO301" i="2"/>
  <c r="AN301" i="2"/>
  <c r="AM301" i="2"/>
  <c r="AL301" i="2"/>
  <c r="AK301" i="2"/>
  <c r="AJ301" i="2"/>
  <c r="AI301" i="2"/>
  <c r="AH301" i="2"/>
  <c r="AG301" i="2"/>
  <c r="AF301" i="2"/>
  <c r="AE301" i="2"/>
  <c r="AD301" i="2"/>
  <c r="AC301" i="2"/>
  <c r="AB301" i="2"/>
  <c r="AA301" i="2"/>
  <c r="Z301" i="2"/>
  <c r="Y301" i="2"/>
  <c r="X301" i="2"/>
  <c r="W301" i="2"/>
  <c r="V301" i="2"/>
  <c r="U301" i="2"/>
  <c r="T301" i="2"/>
  <c r="S301" i="2"/>
  <c r="R301" i="2"/>
  <c r="Q301" i="2"/>
  <c r="P301" i="2"/>
  <c r="O301" i="2"/>
  <c r="N301" i="2"/>
  <c r="M301" i="2"/>
  <c r="L301" i="2"/>
  <c r="K301" i="2"/>
  <c r="J301" i="2"/>
  <c r="I301" i="2"/>
  <c r="H301" i="2"/>
  <c r="G301" i="2"/>
  <c r="F301" i="2"/>
  <c r="E301" i="2"/>
  <c r="D301" i="2"/>
  <c r="C301" i="2"/>
  <c r="B301" i="2"/>
  <c r="A301" i="2"/>
  <c r="BK300" i="2"/>
  <c r="BJ300" i="2"/>
  <c r="BI300" i="2"/>
  <c r="BH300" i="2"/>
  <c r="BG300" i="2"/>
  <c r="BF300" i="2"/>
  <c r="BE300" i="2"/>
  <c r="BD300" i="2"/>
  <c r="BC300" i="2"/>
  <c r="BB300" i="2"/>
  <c r="BA300" i="2"/>
  <c r="AZ300" i="2"/>
  <c r="AY300" i="2"/>
  <c r="AX300" i="2"/>
  <c r="AW300" i="2"/>
  <c r="AV300" i="2"/>
  <c r="AU300" i="2"/>
  <c r="AT300" i="2"/>
  <c r="AS300" i="2"/>
  <c r="AR300" i="2"/>
  <c r="AQ300" i="2"/>
  <c r="AP300" i="2"/>
  <c r="AO300" i="2"/>
  <c r="AN300" i="2"/>
  <c r="AM300" i="2"/>
  <c r="AL300" i="2"/>
  <c r="AK300" i="2"/>
  <c r="AJ300" i="2"/>
  <c r="AI300" i="2"/>
  <c r="AH300" i="2"/>
  <c r="AG300" i="2"/>
  <c r="AF300" i="2"/>
  <c r="AE300" i="2"/>
  <c r="AD300" i="2"/>
  <c r="AC300" i="2"/>
  <c r="AB300" i="2"/>
  <c r="AA300" i="2"/>
  <c r="Z300" i="2"/>
  <c r="Y300" i="2"/>
  <c r="X300" i="2"/>
  <c r="W300" i="2"/>
  <c r="V300" i="2"/>
  <c r="U300" i="2"/>
  <c r="T300" i="2"/>
  <c r="S300" i="2"/>
  <c r="R300" i="2"/>
  <c r="Q300" i="2"/>
  <c r="P300" i="2"/>
  <c r="O300" i="2"/>
  <c r="N300" i="2"/>
  <c r="M300" i="2"/>
  <c r="L300" i="2"/>
  <c r="K300" i="2"/>
  <c r="J300" i="2"/>
  <c r="I300" i="2"/>
  <c r="H300" i="2"/>
  <c r="G300" i="2"/>
  <c r="F300" i="2"/>
  <c r="E300" i="2"/>
  <c r="D300" i="2"/>
  <c r="C300" i="2"/>
  <c r="B300" i="2"/>
  <c r="A300" i="2"/>
  <c r="BK299" i="2"/>
  <c r="BJ299" i="2"/>
  <c r="BI299" i="2"/>
  <c r="BH299" i="2"/>
  <c r="BG299" i="2"/>
  <c r="BF299" i="2"/>
  <c r="BE299" i="2"/>
  <c r="BD299" i="2"/>
  <c r="BC299" i="2"/>
  <c r="BB299" i="2"/>
  <c r="BA299" i="2"/>
  <c r="AZ299" i="2"/>
  <c r="AY299" i="2"/>
  <c r="AX299" i="2"/>
  <c r="AW299" i="2"/>
  <c r="AV299" i="2"/>
  <c r="AU299" i="2"/>
  <c r="AT299" i="2"/>
  <c r="AS299" i="2"/>
  <c r="AR299" i="2"/>
  <c r="AQ299" i="2"/>
  <c r="AP299" i="2"/>
  <c r="AO299" i="2"/>
  <c r="AN299" i="2"/>
  <c r="AM299" i="2"/>
  <c r="AL299" i="2"/>
  <c r="AK299" i="2"/>
  <c r="AJ299" i="2"/>
  <c r="AI299" i="2"/>
  <c r="AH299" i="2"/>
  <c r="AG299" i="2"/>
  <c r="AF299" i="2"/>
  <c r="AE299" i="2"/>
  <c r="AD299" i="2"/>
  <c r="AC299" i="2"/>
  <c r="AB299" i="2"/>
  <c r="AA299" i="2"/>
  <c r="Z299" i="2"/>
  <c r="Y299" i="2"/>
  <c r="X299" i="2"/>
  <c r="W299" i="2"/>
  <c r="V299" i="2"/>
  <c r="U299" i="2"/>
  <c r="T299" i="2"/>
  <c r="S299" i="2"/>
  <c r="R299" i="2"/>
  <c r="Q299" i="2"/>
  <c r="P299" i="2"/>
  <c r="O299" i="2"/>
  <c r="N299" i="2"/>
  <c r="M299" i="2"/>
  <c r="L299" i="2"/>
  <c r="K299" i="2"/>
  <c r="J299" i="2"/>
  <c r="I299" i="2"/>
  <c r="H299" i="2"/>
  <c r="G299" i="2"/>
  <c r="F299" i="2"/>
  <c r="E299" i="2"/>
  <c r="D299" i="2"/>
  <c r="C299" i="2"/>
  <c r="B299" i="2"/>
  <c r="A299" i="2"/>
  <c r="BK298" i="2"/>
  <c r="BJ298" i="2"/>
  <c r="BI298" i="2"/>
  <c r="BH298" i="2"/>
  <c r="BG298" i="2"/>
  <c r="BF298" i="2"/>
  <c r="BE298" i="2"/>
  <c r="BD298" i="2"/>
  <c r="BC298" i="2"/>
  <c r="BB298" i="2"/>
  <c r="BA298" i="2"/>
  <c r="AZ298" i="2"/>
  <c r="AY298" i="2"/>
  <c r="AX298" i="2"/>
  <c r="AW298" i="2"/>
  <c r="AV298" i="2"/>
  <c r="AU298" i="2"/>
  <c r="AT298" i="2"/>
  <c r="AS298" i="2"/>
  <c r="AR298" i="2"/>
  <c r="AQ298" i="2"/>
  <c r="AP298" i="2"/>
  <c r="AO298" i="2"/>
  <c r="AN298" i="2"/>
  <c r="AM298" i="2"/>
  <c r="AL298" i="2"/>
  <c r="AK298" i="2"/>
  <c r="AJ298" i="2"/>
  <c r="AI298" i="2"/>
  <c r="AH298" i="2"/>
  <c r="AG298" i="2"/>
  <c r="AF298" i="2"/>
  <c r="AE298" i="2"/>
  <c r="AD298" i="2"/>
  <c r="AC298" i="2"/>
  <c r="AB298" i="2"/>
  <c r="AA298" i="2"/>
  <c r="Z298" i="2"/>
  <c r="Y298" i="2"/>
  <c r="X298" i="2"/>
  <c r="W298" i="2"/>
  <c r="V298" i="2"/>
  <c r="U298" i="2"/>
  <c r="T298" i="2"/>
  <c r="S298" i="2"/>
  <c r="R298" i="2"/>
  <c r="Q298" i="2"/>
  <c r="P298" i="2"/>
  <c r="O298" i="2"/>
  <c r="N298" i="2"/>
  <c r="M298" i="2"/>
  <c r="L298" i="2"/>
  <c r="K298" i="2"/>
  <c r="J298" i="2"/>
  <c r="I298" i="2"/>
  <c r="H298" i="2"/>
  <c r="G298" i="2"/>
  <c r="F298" i="2"/>
  <c r="E298" i="2"/>
  <c r="D298" i="2"/>
  <c r="C298" i="2"/>
  <c r="B298" i="2"/>
  <c r="A298" i="2"/>
  <c r="BK297" i="2"/>
  <c r="BJ297" i="2"/>
  <c r="BI297" i="2"/>
  <c r="BH297" i="2"/>
  <c r="BG297" i="2"/>
  <c r="BF297" i="2"/>
  <c r="BE297" i="2"/>
  <c r="BD297" i="2"/>
  <c r="BC297" i="2"/>
  <c r="BB297" i="2"/>
  <c r="BA297" i="2"/>
  <c r="AZ297" i="2"/>
  <c r="AY297" i="2"/>
  <c r="AX297" i="2"/>
  <c r="AW297" i="2"/>
  <c r="AV297" i="2"/>
  <c r="AU297" i="2"/>
  <c r="AT297" i="2"/>
  <c r="AS297" i="2"/>
  <c r="AR297" i="2"/>
  <c r="AQ297" i="2"/>
  <c r="AP297" i="2"/>
  <c r="AO297" i="2"/>
  <c r="AN297" i="2"/>
  <c r="AM297" i="2"/>
  <c r="AL297" i="2"/>
  <c r="AK297" i="2"/>
  <c r="AJ297" i="2"/>
  <c r="AI297" i="2"/>
  <c r="AH297" i="2"/>
  <c r="AG297" i="2"/>
  <c r="AF297" i="2"/>
  <c r="AE297" i="2"/>
  <c r="AD297" i="2"/>
  <c r="AC297" i="2"/>
  <c r="AB297" i="2"/>
  <c r="AA297" i="2"/>
  <c r="Z297" i="2"/>
  <c r="Y297" i="2"/>
  <c r="X297" i="2"/>
  <c r="W297" i="2"/>
  <c r="V297" i="2"/>
  <c r="U297" i="2"/>
  <c r="T297" i="2"/>
  <c r="S297" i="2"/>
  <c r="R297" i="2"/>
  <c r="Q297" i="2"/>
  <c r="P297" i="2"/>
  <c r="O297" i="2"/>
  <c r="N297" i="2"/>
  <c r="M297" i="2"/>
  <c r="L297" i="2"/>
  <c r="K297" i="2"/>
  <c r="J297" i="2"/>
  <c r="I297" i="2"/>
  <c r="H297" i="2"/>
  <c r="G297" i="2"/>
  <c r="F297" i="2"/>
  <c r="E297" i="2"/>
  <c r="D297" i="2"/>
  <c r="C297" i="2"/>
  <c r="B297" i="2"/>
  <c r="A297" i="2"/>
  <c r="BK296" i="2"/>
  <c r="BJ296" i="2"/>
  <c r="BI296" i="2"/>
  <c r="BH296" i="2"/>
  <c r="BG296" i="2"/>
  <c r="BF296" i="2"/>
  <c r="BE296" i="2"/>
  <c r="BD296" i="2"/>
  <c r="BC296" i="2"/>
  <c r="BB296" i="2"/>
  <c r="BA296" i="2"/>
  <c r="AZ296" i="2"/>
  <c r="AY296" i="2"/>
  <c r="AX296" i="2"/>
  <c r="AW296" i="2"/>
  <c r="AV296" i="2"/>
  <c r="AU296" i="2"/>
  <c r="AT296" i="2"/>
  <c r="AS296" i="2"/>
  <c r="AR296" i="2"/>
  <c r="AQ296" i="2"/>
  <c r="AP296" i="2"/>
  <c r="AO296" i="2"/>
  <c r="AN296" i="2"/>
  <c r="AM296" i="2"/>
  <c r="AL296" i="2"/>
  <c r="AK296" i="2"/>
  <c r="AJ296" i="2"/>
  <c r="AI296" i="2"/>
  <c r="AH296" i="2"/>
  <c r="AG296" i="2"/>
  <c r="AF296" i="2"/>
  <c r="AE296" i="2"/>
  <c r="AD296" i="2"/>
  <c r="AC296" i="2"/>
  <c r="AB296" i="2"/>
  <c r="AA296" i="2"/>
  <c r="Z296" i="2"/>
  <c r="Y296" i="2"/>
  <c r="X296" i="2"/>
  <c r="W296" i="2"/>
  <c r="V296" i="2"/>
  <c r="U296" i="2"/>
  <c r="T296" i="2"/>
  <c r="S296" i="2"/>
  <c r="R296" i="2"/>
  <c r="Q296" i="2"/>
  <c r="P296" i="2"/>
  <c r="O296" i="2"/>
  <c r="N296" i="2"/>
  <c r="M296" i="2"/>
  <c r="L296" i="2"/>
  <c r="K296" i="2"/>
  <c r="J296" i="2"/>
  <c r="I296" i="2"/>
  <c r="H296" i="2"/>
  <c r="G296" i="2"/>
  <c r="F296" i="2"/>
  <c r="E296" i="2"/>
  <c r="D296" i="2"/>
  <c r="C296" i="2"/>
  <c r="B296" i="2"/>
  <c r="A296" i="2"/>
  <c r="BK295" i="2"/>
  <c r="BJ295" i="2"/>
  <c r="BI295" i="2"/>
  <c r="BH295" i="2"/>
  <c r="BG295" i="2"/>
  <c r="BF295" i="2"/>
  <c r="BE295" i="2"/>
  <c r="BD295" i="2"/>
  <c r="BC295" i="2"/>
  <c r="BB295" i="2"/>
  <c r="BA295" i="2"/>
  <c r="AZ295" i="2"/>
  <c r="AY295" i="2"/>
  <c r="AX295" i="2"/>
  <c r="AW295" i="2"/>
  <c r="AV295" i="2"/>
  <c r="AU295" i="2"/>
  <c r="AT295" i="2"/>
  <c r="AS295" i="2"/>
  <c r="AR295" i="2"/>
  <c r="AQ295" i="2"/>
  <c r="AP295" i="2"/>
  <c r="AO295" i="2"/>
  <c r="AN295" i="2"/>
  <c r="AM295" i="2"/>
  <c r="AL295" i="2"/>
  <c r="AK295" i="2"/>
  <c r="AJ295" i="2"/>
  <c r="AI295" i="2"/>
  <c r="AH295" i="2"/>
  <c r="AG295" i="2"/>
  <c r="AF295" i="2"/>
  <c r="AE295" i="2"/>
  <c r="AD295" i="2"/>
  <c r="AC295" i="2"/>
  <c r="AB295" i="2"/>
  <c r="AA295" i="2"/>
  <c r="Z295" i="2"/>
  <c r="Y295" i="2"/>
  <c r="X295" i="2"/>
  <c r="W295" i="2"/>
  <c r="V295" i="2"/>
  <c r="U295" i="2"/>
  <c r="T295" i="2"/>
  <c r="S295" i="2"/>
  <c r="R295" i="2"/>
  <c r="Q295" i="2"/>
  <c r="P295" i="2"/>
  <c r="O295" i="2"/>
  <c r="N295" i="2"/>
  <c r="M295" i="2"/>
  <c r="L295" i="2"/>
  <c r="K295" i="2"/>
  <c r="J295" i="2"/>
  <c r="I295" i="2"/>
  <c r="H295" i="2"/>
  <c r="G295" i="2"/>
  <c r="F295" i="2"/>
  <c r="E295" i="2"/>
  <c r="D295" i="2"/>
  <c r="C295" i="2"/>
  <c r="B295" i="2"/>
  <c r="A295" i="2"/>
  <c r="BK294" i="2"/>
  <c r="BJ294" i="2"/>
  <c r="BI294" i="2"/>
  <c r="BH294" i="2"/>
  <c r="BG294" i="2"/>
  <c r="BF294" i="2"/>
  <c r="BE294" i="2"/>
  <c r="BD294" i="2"/>
  <c r="BC294" i="2"/>
  <c r="BB294" i="2"/>
  <c r="BA294" i="2"/>
  <c r="AZ294" i="2"/>
  <c r="AY294" i="2"/>
  <c r="AX294" i="2"/>
  <c r="AW294" i="2"/>
  <c r="AV294" i="2"/>
  <c r="AU294" i="2"/>
  <c r="AT294" i="2"/>
  <c r="AS294" i="2"/>
  <c r="AR294" i="2"/>
  <c r="AQ294" i="2"/>
  <c r="AP294" i="2"/>
  <c r="AO294" i="2"/>
  <c r="AN294" i="2"/>
  <c r="AM294" i="2"/>
  <c r="AL294" i="2"/>
  <c r="AK294" i="2"/>
  <c r="AJ294" i="2"/>
  <c r="AI294" i="2"/>
  <c r="AH294" i="2"/>
  <c r="AG294" i="2"/>
  <c r="AF294" i="2"/>
  <c r="AE294" i="2"/>
  <c r="AD294" i="2"/>
  <c r="AC294" i="2"/>
  <c r="AB294" i="2"/>
  <c r="AA294" i="2"/>
  <c r="Z294" i="2"/>
  <c r="Y294" i="2"/>
  <c r="X294" i="2"/>
  <c r="W294" i="2"/>
  <c r="V294" i="2"/>
  <c r="U294" i="2"/>
  <c r="T294" i="2"/>
  <c r="S294" i="2"/>
  <c r="R294" i="2"/>
  <c r="Q294" i="2"/>
  <c r="P294" i="2"/>
  <c r="O294" i="2"/>
  <c r="N294" i="2"/>
  <c r="M294" i="2"/>
  <c r="L294" i="2"/>
  <c r="K294" i="2"/>
  <c r="J294" i="2"/>
  <c r="I294" i="2"/>
  <c r="H294" i="2"/>
  <c r="G294" i="2"/>
  <c r="F294" i="2"/>
  <c r="E294" i="2"/>
  <c r="D294" i="2"/>
  <c r="C294" i="2"/>
  <c r="B294" i="2"/>
  <c r="A294" i="2"/>
  <c r="BK293" i="2"/>
  <c r="BJ293" i="2"/>
  <c r="BI293" i="2"/>
  <c r="BH293" i="2"/>
  <c r="BG293" i="2"/>
  <c r="BF293" i="2"/>
  <c r="BE293" i="2"/>
  <c r="BD293" i="2"/>
  <c r="BC293" i="2"/>
  <c r="BB293" i="2"/>
  <c r="BA293" i="2"/>
  <c r="AZ293" i="2"/>
  <c r="AY293" i="2"/>
  <c r="AX293" i="2"/>
  <c r="AW293" i="2"/>
  <c r="AV293" i="2"/>
  <c r="AU293" i="2"/>
  <c r="AT293" i="2"/>
  <c r="AS293" i="2"/>
  <c r="AR293" i="2"/>
  <c r="AQ293" i="2"/>
  <c r="AP293" i="2"/>
  <c r="AO293" i="2"/>
  <c r="AN293" i="2"/>
  <c r="AM293" i="2"/>
  <c r="AL293" i="2"/>
  <c r="AK293" i="2"/>
  <c r="AJ293" i="2"/>
  <c r="AI293" i="2"/>
  <c r="AH293" i="2"/>
  <c r="AG293" i="2"/>
  <c r="AF293" i="2"/>
  <c r="AE293" i="2"/>
  <c r="AD293" i="2"/>
  <c r="AC293" i="2"/>
  <c r="AB293" i="2"/>
  <c r="AA293" i="2"/>
  <c r="Z293" i="2"/>
  <c r="Y293" i="2"/>
  <c r="X293" i="2"/>
  <c r="W293" i="2"/>
  <c r="V293" i="2"/>
  <c r="U293" i="2"/>
  <c r="T293" i="2"/>
  <c r="S293" i="2"/>
  <c r="R293" i="2"/>
  <c r="Q293" i="2"/>
  <c r="P293" i="2"/>
  <c r="O293" i="2"/>
  <c r="N293" i="2"/>
  <c r="M293" i="2"/>
  <c r="L293" i="2"/>
  <c r="K293" i="2"/>
  <c r="J293" i="2"/>
  <c r="I293" i="2"/>
  <c r="H293" i="2"/>
  <c r="G293" i="2"/>
  <c r="F293" i="2"/>
  <c r="E293" i="2"/>
  <c r="D293" i="2"/>
  <c r="C293" i="2"/>
  <c r="B293" i="2"/>
  <c r="A293" i="2"/>
  <c r="BK292" i="2"/>
  <c r="BJ292" i="2"/>
  <c r="BI292" i="2"/>
  <c r="BH292" i="2"/>
  <c r="BG292" i="2"/>
  <c r="BF292" i="2"/>
  <c r="BE292" i="2"/>
  <c r="BD292" i="2"/>
  <c r="BC292" i="2"/>
  <c r="BB292" i="2"/>
  <c r="BA292" i="2"/>
  <c r="AZ292" i="2"/>
  <c r="AY292" i="2"/>
  <c r="AX292" i="2"/>
  <c r="AW292" i="2"/>
  <c r="AV292" i="2"/>
  <c r="AU292" i="2"/>
  <c r="AT292" i="2"/>
  <c r="AS292" i="2"/>
  <c r="AR292" i="2"/>
  <c r="AQ292" i="2"/>
  <c r="AP292" i="2"/>
  <c r="AO292" i="2"/>
  <c r="AN292" i="2"/>
  <c r="AM292" i="2"/>
  <c r="AL292" i="2"/>
  <c r="AK292" i="2"/>
  <c r="AJ292" i="2"/>
  <c r="AI292" i="2"/>
  <c r="AH292" i="2"/>
  <c r="AG292" i="2"/>
  <c r="AF292" i="2"/>
  <c r="AE292" i="2"/>
  <c r="AD292" i="2"/>
  <c r="AC292" i="2"/>
  <c r="AB292" i="2"/>
  <c r="AA292" i="2"/>
  <c r="Z292" i="2"/>
  <c r="Y292" i="2"/>
  <c r="X292" i="2"/>
  <c r="W292" i="2"/>
  <c r="V292" i="2"/>
  <c r="U292" i="2"/>
  <c r="T292" i="2"/>
  <c r="S292" i="2"/>
  <c r="R292" i="2"/>
  <c r="Q292" i="2"/>
  <c r="P292" i="2"/>
  <c r="O292" i="2"/>
  <c r="N292" i="2"/>
  <c r="M292" i="2"/>
  <c r="L292" i="2"/>
  <c r="K292" i="2"/>
  <c r="J292" i="2"/>
  <c r="I292" i="2"/>
  <c r="H292" i="2"/>
  <c r="G292" i="2"/>
  <c r="F292" i="2"/>
  <c r="E292" i="2"/>
  <c r="D292" i="2"/>
  <c r="C292" i="2"/>
  <c r="B292" i="2"/>
  <c r="A292" i="2"/>
  <c r="BK291" i="2"/>
  <c r="BJ291" i="2"/>
  <c r="BI291" i="2"/>
  <c r="BH291" i="2"/>
  <c r="BG291" i="2"/>
  <c r="BF291" i="2"/>
  <c r="BE291" i="2"/>
  <c r="BD291" i="2"/>
  <c r="BC291" i="2"/>
  <c r="BB291" i="2"/>
  <c r="BA291" i="2"/>
  <c r="AZ291" i="2"/>
  <c r="AY291" i="2"/>
  <c r="AX291" i="2"/>
  <c r="AW291" i="2"/>
  <c r="AV291" i="2"/>
  <c r="AU291" i="2"/>
  <c r="AT291" i="2"/>
  <c r="AS291" i="2"/>
  <c r="AR291" i="2"/>
  <c r="AQ291" i="2"/>
  <c r="AP291" i="2"/>
  <c r="AO291" i="2"/>
  <c r="AN291" i="2"/>
  <c r="AM291" i="2"/>
  <c r="AL291" i="2"/>
  <c r="AK291" i="2"/>
  <c r="AJ291" i="2"/>
  <c r="AI291" i="2"/>
  <c r="AH291" i="2"/>
  <c r="AG291" i="2"/>
  <c r="AF291" i="2"/>
  <c r="AE291" i="2"/>
  <c r="AD291" i="2"/>
  <c r="AC291" i="2"/>
  <c r="AB291" i="2"/>
  <c r="AA291" i="2"/>
  <c r="Z291" i="2"/>
  <c r="Y291" i="2"/>
  <c r="X291" i="2"/>
  <c r="W291" i="2"/>
  <c r="V291" i="2"/>
  <c r="U291" i="2"/>
  <c r="T291" i="2"/>
  <c r="S291" i="2"/>
  <c r="R291" i="2"/>
  <c r="Q291" i="2"/>
  <c r="P291" i="2"/>
  <c r="O291" i="2"/>
  <c r="N291" i="2"/>
  <c r="M291" i="2"/>
  <c r="L291" i="2"/>
  <c r="K291" i="2"/>
  <c r="J291" i="2"/>
  <c r="I291" i="2"/>
  <c r="H291" i="2"/>
  <c r="G291" i="2"/>
  <c r="F291" i="2"/>
  <c r="E291" i="2"/>
  <c r="D291" i="2"/>
  <c r="C291" i="2"/>
  <c r="B291" i="2"/>
  <c r="A291" i="2"/>
  <c r="BK290" i="2"/>
  <c r="BJ290" i="2"/>
  <c r="BI290" i="2"/>
  <c r="BH290" i="2"/>
  <c r="BG290" i="2"/>
  <c r="BF290" i="2"/>
  <c r="BE290" i="2"/>
  <c r="BD290" i="2"/>
  <c r="BC290" i="2"/>
  <c r="BB290" i="2"/>
  <c r="BA290" i="2"/>
  <c r="AZ290" i="2"/>
  <c r="AY290" i="2"/>
  <c r="AX290" i="2"/>
  <c r="AW290" i="2"/>
  <c r="AV290" i="2"/>
  <c r="AU290" i="2"/>
  <c r="AT290" i="2"/>
  <c r="AS290" i="2"/>
  <c r="AR290" i="2"/>
  <c r="AQ290" i="2"/>
  <c r="AP290" i="2"/>
  <c r="AO290" i="2"/>
  <c r="AN290" i="2"/>
  <c r="AM290" i="2"/>
  <c r="AL290" i="2"/>
  <c r="AK290" i="2"/>
  <c r="AJ290" i="2"/>
  <c r="AI290" i="2"/>
  <c r="AH290" i="2"/>
  <c r="AG290" i="2"/>
  <c r="AF290" i="2"/>
  <c r="AE290" i="2"/>
  <c r="AD290" i="2"/>
  <c r="AC290" i="2"/>
  <c r="AB290" i="2"/>
  <c r="AA290" i="2"/>
  <c r="Z290" i="2"/>
  <c r="Y290" i="2"/>
  <c r="X290" i="2"/>
  <c r="W290" i="2"/>
  <c r="V290" i="2"/>
  <c r="U290" i="2"/>
  <c r="T290" i="2"/>
  <c r="S290" i="2"/>
  <c r="R290" i="2"/>
  <c r="Q290" i="2"/>
  <c r="P290" i="2"/>
  <c r="O290" i="2"/>
  <c r="N290" i="2"/>
  <c r="M290" i="2"/>
  <c r="L290" i="2"/>
  <c r="K290" i="2"/>
  <c r="J290" i="2"/>
  <c r="I290" i="2"/>
  <c r="H290" i="2"/>
  <c r="G290" i="2"/>
  <c r="F290" i="2"/>
  <c r="E290" i="2"/>
  <c r="D290" i="2"/>
  <c r="C290" i="2"/>
  <c r="B290" i="2"/>
  <c r="A290" i="2"/>
  <c r="BK289" i="2"/>
  <c r="BJ289" i="2"/>
  <c r="BI289" i="2"/>
  <c r="BH289" i="2"/>
  <c r="BG289" i="2"/>
  <c r="BF289" i="2"/>
  <c r="BE289" i="2"/>
  <c r="BD289" i="2"/>
  <c r="BC289" i="2"/>
  <c r="BB289" i="2"/>
  <c r="BA289" i="2"/>
  <c r="AZ289" i="2"/>
  <c r="AY289" i="2"/>
  <c r="AX289" i="2"/>
  <c r="AW289" i="2"/>
  <c r="AV289" i="2"/>
  <c r="AU289" i="2"/>
  <c r="AT289" i="2"/>
  <c r="AS289" i="2"/>
  <c r="AR289" i="2"/>
  <c r="AQ289" i="2"/>
  <c r="AP289" i="2"/>
  <c r="AO289" i="2"/>
  <c r="AN289" i="2"/>
  <c r="AM289" i="2"/>
  <c r="AL289" i="2"/>
  <c r="AK289" i="2"/>
  <c r="AJ289" i="2"/>
  <c r="AI289" i="2"/>
  <c r="AH289" i="2"/>
  <c r="AG289" i="2"/>
  <c r="AF289" i="2"/>
  <c r="AE289" i="2"/>
  <c r="AD289" i="2"/>
  <c r="AC289" i="2"/>
  <c r="AB289" i="2"/>
  <c r="AA289" i="2"/>
  <c r="Z289" i="2"/>
  <c r="Y289" i="2"/>
  <c r="X289" i="2"/>
  <c r="W289" i="2"/>
  <c r="V289" i="2"/>
  <c r="U289" i="2"/>
  <c r="T289" i="2"/>
  <c r="S289" i="2"/>
  <c r="R289" i="2"/>
  <c r="Q289" i="2"/>
  <c r="P289" i="2"/>
  <c r="O289" i="2"/>
  <c r="N289" i="2"/>
  <c r="M289" i="2"/>
  <c r="L289" i="2"/>
  <c r="K289" i="2"/>
  <c r="J289" i="2"/>
  <c r="I289" i="2"/>
  <c r="H289" i="2"/>
  <c r="G289" i="2"/>
  <c r="F289" i="2"/>
  <c r="E289" i="2"/>
  <c r="D289" i="2"/>
  <c r="C289" i="2"/>
  <c r="B289" i="2"/>
  <c r="A289" i="2"/>
  <c r="BK288" i="2"/>
  <c r="BJ288" i="2"/>
  <c r="BI288" i="2"/>
  <c r="BH288" i="2"/>
  <c r="BG288" i="2"/>
  <c r="BF288" i="2"/>
  <c r="BE288" i="2"/>
  <c r="BD288" i="2"/>
  <c r="BC288" i="2"/>
  <c r="BB288" i="2"/>
  <c r="BA288" i="2"/>
  <c r="AZ288" i="2"/>
  <c r="AY288" i="2"/>
  <c r="AX288" i="2"/>
  <c r="AW288" i="2"/>
  <c r="AV288" i="2"/>
  <c r="AU288" i="2"/>
  <c r="AT288" i="2"/>
  <c r="AS288" i="2"/>
  <c r="AR288" i="2"/>
  <c r="AQ288" i="2"/>
  <c r="AP288" i="2"/>
  <c r="AO288" i="2"/>
  <c r="AN288" i="2"/>
  <c r="AM288" i="2"/>
  <c r="AL288" i="2"/>
  <c r="AK288" i="2"/>
  <c r="AJ288" i="2"/>
  <c r="AI288" i="2"/>
  <c r="AH288" i="2"/>
  <c r="AG288" i="2"/>
  <c r="AF288" i="2"/>
  <c r="AE288" i="2"/>
  <c r="AD288" i="2"/>
  <c r="AC288" i="2"/>
  <c r="AB288" i="2"/>
  <c r="AA288" i="2"/>
  <c r="Z288" i="2"/>
  <c r="Y288" i="2"/>
  <c r="X288" i="2"/>
  <c r="W288" i="2"/>
  <c r="V288" i="2"/>
  <c r="U288" i="2"/>
  <c r="T288" i="2"/>
  <c r="S288" i="2"/>
  <c r="R288" i="2"/>
  <c r="Q288" i="2"/>
  <c r="P288" i="2"/>
  <c r="O288" i="2"/>
  <c r="N288" i="2"/>
  <c r="M288" i="2"/>
  <c r="L288" i="2"/>
  <c r="K288" i="2"/>
  <c r="J288" i="2"/>
  <c r="I288" i="2"/>
  <c r="H288" i="2"/>
  <c r="G288" i="2"/>
  <c r="F288" i="2"/>
  <c r="E288" i="2"/>
  <c r="D288" i="2"/>
  <c r="C288" i="2"/>
  <c r="B288" i="2"/>
  <c r="A288" i="2"/>
  <c r="BK287" i="2"/>
  <c r="BJ287" i="2"/>
  <c r="BI287" i="2"/>
  <c r="BH287" i="2"/>
  <c r="BG287" i="2"/>
  <c r="BF287" i="2"/>
  <c r="BE287" i="2"/>
  <c r="BD287" i="2"/>
  <c r="BC287" i="2"/>
  <c r="BB287" i="2"/>
  <c r="BA287" i="2"/>
  <c r="AZ287" i="2"/>
  <c r="AY287" i="2"/>
  <c r="AX287" i="2"/>
  <c r="AW287" i="2"/>
  <c r="AV287" i="2"/>
  <c r="AU287" i="2"/>
  <c r="AT287" i="2"/>
  <c r="AS287" i="2"/>
  <c r="AR287" i="2"/>
  <c r="AQ287" i="2"/>
  <c r="AP287" i="2"/>
  <c r="AO287" i="2"/>
  <c r="AN287" i="2"/>
  <c r="AM287" i="2"/>
  <c r="AL287" i="2"/>
  <c r="AK287" i="2"/>
  <c r="AJ287" i="2"/>
  <c r="AI287" i="2"/>
  <c r="AH287" i="2"/>
  <c r="AG287" i="2"/>
  <c r="AF287" i="2"/>
  <c r="AE287" i="2"/>
  <c r="AD287" i="2"/>
  <c r="AC287" i="2"/>
  <c r="AB287" i="2"/>
  <c r="AA287" i="2"/>
  <c r="Z287" i="2"/>
  <c r="Y287" i="2"/>
  <c r="X287" i="2"/>
  <c r="W287" i="2"/>
  <c r="V287" i="2"/>
  <c r="U287" i="2"/>
  <c r="T287" i="2"/>
  <c r="S287" i="2"/>
  <c r="R287" i="2"/>
  <c r="Q287" i="2"/>
  <c r="P287" i="2"/>
  <c r="O287" i="2"/>
  <c r="N287" i="2"/>
  <c r="M287" i="2"/>
  <c r="L287" i="2"/>
  <c r="K287" i="2"/>
  <c r="J287" i="2"/>
  <c r="I287" i="2"/>
  <c r="H287" i="2"/>
  <c r="G287" i="2"/>
  <c r="F287" i="2"/>
  <c r="E287" i="2"/>
  <c r="D287" i="2"/>
  <c r="C287" i="2"/>
  <c r="B287" i="2"/>
  <c r="A287" i="2"/>
  <c r="BK286" i="2"/>
  <c r="BJ286" i="2"/>
  <c r="BI286" i="2"/>
  <c r="BH286" i="2"/>
  <c r="BG286" i="2"/>
  <c r="BF286" i="2"/>
  <c r="BE286" i="2"/>
  <c r="BD286" i="2"/>
  <c r="BC286" i="2"/>
  <c r="BB286" i="2"/>
  <c r="BA286" i="2"/>
  <c r="AZ286" i="2"/>
  <c r="AY286" i="2"/>
  <c r="AX286" i="2"/>
  <c r="AW286" i="2"/>
  <c r="AV286" i="2"/>
  <c r="AU286" i="2"/>
  <c r="AT286" i="2"/>
  <c r="AS286" i="2"/>
  <c r="AR286" i="2"/>
  <c r="AQ286" i="2"/>
  <c r="AP286" i="2"/>
  <c r="AO286" i="2"/>
  <c r="AN286" i="2"/>
  <c r="AM286" i="2"/>
  <c r="AL286" i="2"/>
  <c r="AK286" i="2"/>
  <c r="AJ286" i="2"/>
  <c r="AI286" i="2"/>
  <c r="AH286" i="2"/>
  <c r="AG286" i="2"/>
  <c r="AF286" i="2"/>
  <c r="AE286" i="2"/>
  <c r="AD286" i="2"/>
  <c r="AC286" i="2"/>
  <c r="AB286" i="2"/>
  <c r="AA286" i="2"/>
  <c r="Z286" i="2"/>
  <c r="Y286" i="2"/>
  <c r="X286" i="2"/>
  <c r="W286" i="2"/>
  <c r="V286" i="2"/>
  <c r="U286" i="2"/>
  <c r="T286" i="2"/>
  <c r="S286" i="2"/>
  <c r="R286" i="2"/>
  <c r="Q286" i="2"/>
  <c r="P286" i="2"/>
  <c r="O286" i="2"/>
  <c r="N286" i="2"/>
  <c r="M286" i="2"/>
  <c r="L286" i="2"/>
  <c r="K286" i="2"/>
  <c r="J286" i="2"/>
  <c r="I286" i="2"/>
  <c r="H286" i="2"/>
  <c r="G286" i="2"/>
  <c r="F286" i="2"/>
  <c r="E286" i="2"/>
  <c r="D286" i="2"/>
  <c r="C286" i="2"/>
  <c r="B286" i="2"/>
  <c r="A286" i="2"/>
  <c r="BK285" i="2"/>
  <c r="BJ285" i="2"/>
  <c r="BI285" i="2"/>
  <c r="BH285" i="2"/>
  <c r="BG285" i="2"/>
  <c r="BF285" i="2"/>
  <c r="BE285" i="2"/>
  <c r="BD285" i="2"/>
  <c r="BC285" i="2"/>
  <c r="BB285" i="2"/>
  <c r="BA285" i="2"/>
  <c r="AZ285" i="2"/>
  <c r="AY285" i="2"/>
  <c r="AX285" i="2"/>
  <c r="AW285" i="2"/>
  <c r="AV285" i="2"/>
  <c r="AU285" i="2"/>
  <c r="AT285" i="2"/>
  <c r="AS285" i="2"/>
  <c r="AR285" i="2"/>
  <c r="AQ285" i="2"/>
  <c r="AP285" i="2"/>
  <c r="AO285" i="2"/>
  <c r="AN285" i="2"/>
  <c r="AM285" i="2"/>
  <c r="AL285" i="2"/>
  <c r="AK285" i="2"/>
  <c r="AJ285" i="2"/>
  <c r="AI285" i="2"/>
  <c r="AH285" i="2"/>
  <c r="AG285" i="2"/>
  <c r="AF285" i="2"/>
  <c r="AE285" i="2"/>
  <c r="AD285" i="2"/>
  <c r="AC285" i="2"/>
  <c r="AB285" i="2"/>
  <c r="AA285" i="2"/>
  <c r="Z285" i="2"/>
  <c r="Y285" i="2"/>
  <c r="X285" i="2"/>
  <c r="W285" i="2"/>
  <c r="V285" i="2"/>
  <c r="U285" i="2"/>
  <c r="T285" i="2"/>
  <c r="S285" i="2"/>
  <c r="R285" i="2"/>
  <c r="Q285" i="2"/>
  <c r="P285" i="2"/>
  <c r="O285" i="2"/>
  <c r="N285" i="2"/>
  <c r="M285" i="2"/>
  <c r="L285" i="2"/>
  <c r="K285" i="2"/>
  <c r="J285" i="2"/>
  <c r="I285" i="2"/>
  <c r="H285" i="2"/>
  <c r="G285" i="2"/>
  <c r="F285" i="2"/>
  <c r="E285" i="2"/>
  <c r="D285" i="2"/>
  <c r="C285" i="2"/>
  <c r="B285" i="2"/>
  <c r="A285" i="2"/>
  <c r="BK284" i="2"/>
  <c r="BJ284" i="2"/>
  <c r="BI284" i="2"/>
  <c r="BH284" i="2"/>
  <c r="BG284" i="2"/>
  <c r="BF284" i="2"/>
  <c r="BE284" i="2"/>
  <c r="BD284" i="2"/>
  <c r="BC284" i="2"/>
  <c r="BB284" i="2"/>
  <c r="BA284" i="2"/>
  <c r="AZ284" i="2"/>
  <c r="AY284" i="2"/>
  <c r="AX284" i="2"/>
  <c r="AW284" i="2"/>
  <c r="AV284" i="2"/>
  <c r="AU284" i="2"/>
  <c r="AT284" i="2"/>
  <c r="AS284" i="2"/>
  <c r="AR284" i="2"/>
  <c r="AQ284" i="2"/>
  <c r="AP284" i="2"/>
  <c r="AO284" i="2"/>
  <c r="AN284" i="2"/>
  <c r="AM284" i="2"/>
  <c r="AL284" i="2"/>
  <c r="AK284" i="2"/>
  <c r="AJ284" i="2"/>
  <c r="AI284" i="2"/>
  <c r="AH284" i="2"/>
  <c r="AG284" i="2"/>
  <c r="AF284" i="2"/>
  <c r="AE284" i="2"/>
  <c r="AD284" i="2"/>
  <c r="AC284" i="2"/>
  <c r="AB284" i="2"/>
  <c r="AA284" i="2"/>
  <c r="Z284" i="2"/>
  <c r="Y284" i="2"/>
  <c r="X284" i="2"/>
  <c r="W284" i="2"/>
  <c r="V284" i="2"/>
  <c r="U284" i="2"/>
  <c r="T284" i="2"/>
  <c r="S284" i="2"/>
  <c r="R284" i="2"/>
  <c r="Q284" i="2"/>
  <c r="P284" i="2"/>
  <c r="O284" i="2"/>
  <c r="N284" i="2"/>
  <c r="M284" i="2"/>
  <c r="L284" i="2"/>
  <c r="K284" i="2"/>
  <c r="J284" i="2"/>
  <c r="I284" i="2"/>
  <c r="H284" i="2"/>
  <c r="G284" i="2"/>
  <c r="F284" i="2"/>
  <c r="E284" i="2"/>
  <c r="D284" i="2"/>
  <c r="C284" i="2"/>
  <c r="B284" i="2"/>
  <c r="A284" i="2"/>
  <c r="BK283" i="2"/>
  <c r="BJ283" i="2"/>
  <c r="BI283" i="2"/>
  <c r="BH283" i="2"/>
  <c r="BG283" i="2"/>
  <c r="BF283" i="2"/>
  <c r="BE283" i="2"/>
  <c r="BD283" i="2"/>
  <c r="BC283" i="2"/>
  <c r="BB283" i="2"/>
  <c r="BA283" i="2"/>
  <c r="AZ283" i="2"/>
  <c r="AY283" i="2"/>
  <c r="AX283" i="2"/>
  <c r="AW283" i="2"/>
  <c r="AV283" i="2"/>
  <c r="AU283" i="2"/>
  <c r="AT283" i="2"/>
  <c r="AS283" i="2"/>
  <c r="AR283" i="2"/>
  <c r="AQ283" i="2"/>
  <c r="AP283" i="2"/>
  <c r="AO283" i="2"/>
  <c r="AN283" i="2"/>
  <c r="AM283" i="2"/>
  <c r="AL283" i="2"/>
  <c r="AK283" i="2"/>
  <c r="AJ283" i="2"/>
  <c r="AI283" i="2"/>
  <c r="AH283" i="2"/>
  <c r="AG283" i="2"/>
  <c r="AF283" i="2"/>
  <c r="AE283" i="2"/>
  <c r="AD283" i="2"/>
  <c r="AC283" i="2"/>
  <c r="AB283" i="2"/>
  <c r="AA283" i="2"/>
  <c r="Z283" i="2"/>
  <c r="Y283" i="2"/>
  <c r="X283" i="2"/>
  <c r="W283" i="2"/>
  <c r="V283" i="2"/>
  <c r="U283" i="2"/>
  <c r="T283" i="2"/>
  <c r="S283" i="2"/>
  <c r="R283" i="2"/>
  <c r="Q283" i="2"/>
  <c r="P283" i="2"/>
  <c r="O283" i="2"/>
  <c r="N283" i="2"/>
  <c r="M283" i="2"/>
  <c r="L283" i="2"/>
  <c r="K283" i="2"/>
  <c r="J283" i="2"/>
  <c r="I283" i="2"/>
  <c r="H283" i="2"/>
  <c r="G283" i="2"/>
  <c r="F283" i="2"/>
  <c r="E283" i="2"/>
  <c r="D283" i="2"/>
  <c r="C283" i="2"/>
  <c r="B283" i="2"/>
  <c r="A283" i="2"/>
  <c r="BK282" i="2"/>
  <c r="BJ282" i="2"/>
  <c r="BI282" i="2"/>
  <c r="BH282" i="2"/>
  <c r="BG282" i="2"/>
  <c r="BF282" i="2"/>
  <c r="BE282" i="2"/>
  <c r="BD282" i="2"/>
  <c r="BC282" i="2"/>
  <c r="BB282" i="2"/>
  <c r="BA282" i="2"/>
  <c r="AZ282" i="2"/>
  <c r="AY282" i="2"/>
  <c r="AX282" i="2"/>
  <c r="AW282" i="2"/>
  <c r="AV282" i="2"/>
  <c r="AU282" i="2"/>
  <c r="AT282" i="2"/>
  <c r="AS282" i="2"/>
  <c r="AR282" i="2"/>
  <c r="AQ282" i="2"/>
  <c r="AP282" i="2"/>
  <c r="AO282" i="2"/>
  <c r="AN282" i="2"/>
  <c r="AM282" i="2"/>
  <c r="AL282" i="2"/>
  <c r="AK282" i="2"/>
  <c r="AJ282" i="2"/>
  <c r="AI282" i="2"/>
  <c r="AH282" i="2"/>
  <c r="AG282" i="2"/>
  <c r="AF282" i="2"/>
  <c r="AE282" i="2"/>
  <c r="AD282" i="2"/>
  <c r="AC282" i="2"/>
  <c r="AB282" i="2"/>
  <c r="AA282" i="2"/>
  <c r="Z282" i="2"/>
  <c r="Y282" i="2"/>
  <c r="X282" i="2"/>
  <c r="W282" i="2"/>
  <c r="V282" i="2"/>
  <c r="U282" i="2"/>
  <c r="T282" i="2"/>
  <c r="S282" i="2"/>
  <c r="R282" i="2"/>
  <c r="Q282" i="2"/>
  <c r="P282" i="2"/>
  <c r="O282" i="2"/>
  <c r="N282" i="2"/>
  <c r="M282" i="2"/>
  <c r="L282" i="2"/>
  <c r="K282" i="2"/>
  <c r="J282" i="2"/>
  <c r="I282" i="2"/>
  <c r="H282" i="2"/>
  <c r="G282" i="2"/>
  <c r="F282" i="2"/>
  <c r="E282" i="2"/>
  <c r="D282" i="2"/>
  <c r="C282" i="2"/>
  <c r="B282" i="2"/>
  <c r="A282" i="2"/>
  <c r="BK281" i="2"/>
  <c r="BJ281" i="2"/>
  <c r="BI281" i="2"/>
  <c r="BH281" i="2"/>
  <c r="BG281" i="2"/>
  <c r="BF281" i="2"/>
  <c r="BE281" i="2"/>
  <c r="BD281" i="2"/>
  <c r="BC281" i="2"/>
  <c r="BB281" i="2"/>
  <c r="BA281" i="2"/>
  <c r="AZ281" i="2"/>
  <c r="AY281" i="2"/>
  <c r="AX281" i="2"/>
  <c r="AW281" i="2"/>
  <c r="AV281" i="2"/>
  <c r="AU281" i="2"/>
  <c r="AT281" i="2"/>
  <c r="AS281" i="2"/>
  <c r="AR281" i="2"/>
  <c r="AQ281" i="2"/>
  <c r="AP281" i="2"/>
  <c r="AO281" i="2"/>
  <c r="AN281" i="2"/>
  <c r="AM281" i="2"/>
  <c r="AL281" i="2"/>
  <c r="AK281" i="2"/>
  <c r="AJ281" i="2"/>
  <c r="AI281" i="2"/>
  <c r="AH281" i="2"/>
  <c r="AG281" i="2"/>
  <c r="AF281" i="2"/>
  <c r="AE281" i="2"/>
  <c r="AD281" i="2"/>
  <c r="AC281" i="2"/>
  <c r="AB281" i="2"/>
  <c r="AA281" i="2"/>
  <c r="Z281" i="2"/>
  <c r="Y281" i="2"/>
  <c r="X281" i="2"/>
  <c r="W281" i="2"/>
  <c r="V281" i="2"/>
  <c r="U281" i="2"/>
  <c r="T281" i="2"/>
  <c r="S281" i="2"/>
  <c r="R281" i="2"/>
  <c r="Q281" i="2"/>
  <c r="P281" i="2"/>
  <c r="O281" i="2"/>
  <c r="N281" i="2"/>
  <c r="M281" i="2"/>
  <c r="L281" i="2"/>
  <c r="K281" i="2"/>
  <c r="J281" i="2"/>
  <c r="I281" i="2"/>
  <c r="H281" i="2"/>
  <c r="G281" i="2"/>
  <c r="F281" i="2"/>
  <c r="E281" i="2"/>
  <c r="D281" i="2"/>
  <c r="C281" i="2"/>
  <c r="B281" i="2"/>
  <c r="A281" i="2"/>
  <c r="BK280" i="2"/>
  <c r="BJ280" i="2"/>
  <c r="BI280" i="2"/>
  <c r="BH280" i="2"/>
  <c r="BG280" i="2"/>
  <c r="BF280" i="2"/>
  <c r="BE280" i="2"/>
  <c r="BD280" i="2"/>
  <c r="BC280" i="2"/>
  <c r="BB280" i="2"/>
  <c r="BA280" i="2"/>
  <c r="AZ280" i="2"/>
  <c r="AY280" i="2"/>
  <c r="AX280" i="2"/>
  <c r="AW280" i="2"/>
  <c r="AV280" i="2"/>
  <c r="AU280" i="2"/>
  <c r="AT280" i="2"/>
  <c r="AS280" i="2"/>
  <c r="AR280" i="2"/>
  <c r="AQ280" i="2"/>
  <c r="AP280" i="2"/>
  <c r="AO280" i="2"/>
  <c r="AN280" i="2"/>
  <c r="AM280" i="2"/>
  <c r="AL280" i="2"/>
  <c r="AK280" i="2"/>
  <c r="AJ280" i="2"/>
  <c r="AI280" i="2"/>
  <c r="AH280" i="2"/>
  <c r="AG280" i="2"/>
  <c r="AF280" i="2"/>
  <c r="AE280" i="2"/>
  <c r="AD280" i="2"/>
  <c r="AC280" i="2"/>
  <c r="AB280" i="2"/>
  <c r="AA280" i="2"/>
  <c r="Z280" i="2"/>
  <c r="Y280" i="2"/>
  <c r="X280" i="2"/>
  <c r="W280" i="2"/>
  <c r="V280" i="2"/>
  <c r="U280" i="2"/>
  <c r="T280" i="2"/>
  <c r="S280" i="2"/>
  <c r="R280" i="2"/>
  <c r="Q280" i="2"/>
  <c r="P280" i="2"/>
  <c r="O280" i="2"/>
  <c r="N280" i="2"/>
  <c r="M280" i="2"/>
  <c r="L280" i="2"/>
  <c r="K280" i="2"/>
  <c r="J280" i="2"/>
  <c r="I280" i="2"/>
  <c r="H280" i="2"/>
  <c r="G280" i="2"/>
  <c r="F280" i="2"/>
  <c r="E280" i="2"/>
  <c r="D280" i="2"/>
  <c r="C280" i="2"/>
  <c r="B280" i="2"/>
  <c r="A280" i="2"/>
  <c r="BK279" i="2"/>
  <c r="BJ279" i="2"/>
  <c r="BI279" i="2"/>
  <c r="BH279" i="2"/>
  <c r="BG279" i="2"/>
  <c r="BF279" i="2"/>
  <c r="BE279" i="2"/>
  <c r="BD279" i="2"/>
  <c r="BC279" i="2"/>
  <c r="BB279" i="2"/>
  <c r="BA279" i="2"/>
  <c r="AZ279" i="2"/>
  <c r="AY279" i="2"/>
  <c r="AX279" i="2"/>
  <c r="AW279" i="2"/>
  <c r="AV279" i="2"/>
  <c r="AU279" i="2"/>
  <c r="AT279" i="2"/>
  <c r="AS279" i="2"/>
  <c r="AR279" i="2"/>
  <c r="AQ279" i="2"/>
  <c r="AP279" i="2"/>
  <c r="AO279" i="2"/>
  <c r="AN279" i="2"/>
  <c r="AM279" i="2"/>
  <c r="AL279" i="2"/>
  <c r="AK279" i="2"/>
  <c r="AJ279" i="2"/>
  <c r="AI279" i="2"/>
  <c r="AH279" i="2"/>
  <c r="AG279" i="2"/>
  <c r="AF279" i="2"/>
  <c r="AE279" i="2"/>
  <c r="AD279" i="2"/>
  <c r="AC279" i="2"/>
  <c r="AB279" i="2"/>
  <c r="AA279" i="2"/>
  <c r="Z279" i="2"/>
  <c r="Y279" i="2"/>
  <c r="X279" i="2"/>
  <c r="W279" i="2"/>
  <c r="V279" i="2"/>
  <c r="U279" i="2"/>
  <c r="T279" i="2"/>
  <c r="S279" i="2"/>
  <c r="R279" i="2"/>
  <c r="Q279" i="2"/>
  <c r="P279" i="2"/>
  <c r="O279" i="2"/>
  <c r="N279" i="2"/>
  <c r="M279" i="2"/>
  <c r="L279" i="2"/>
  <c r="K279" i="2"/>
  <c r="J279" i="2"/>
  <c r="I279" i="2"/>
  <c r="H279" i="2"/>
  <c r="G279" i="2"/>
  <c r="F279" i="2"/>
  <c r="E279" i="2"/>
  <c r="D279" i="2"/>
  <c r="C279" i="2"/>
  <c r="B279" i="2"/>
  <c r="A279" i="2"/>
  <c r="BK278" i="2"/>
  <c r="BJ278" i="2"/>
  <c r="BI278" i="2"/>
  <c r="BH278" i="2"/>
  <c r="BG278" i="2"/>
  <c r="BF278" i="2"/>
  <c r="BE278" i="2"/>
  <c r="BD278" i="2"/>
  <c r="BC278" i="2"/>
  <c r="BB278" i="2"/>
  <c r="BA278" i="2"/>
  <c r="AZ278" i="2"/>
  <c r="AY278" i="2"/>
  <c r="AX278" i="2"/>
  <c r="AW278" i="2"/>
  <c r="AV278" i="2"/>
  <c r="AU278" i="2"/>
  <c r="AT278" i="2"/>
  <c r="AS278" i="2"/>
  <c r="AR278" i="2"/>
  <c r="AQ278" i="2"/>
  <c r="AP278" i="2"/>
  <c r="AO278" i="2"/>
  <c r="AN278" i="2"/>
  <c r="AM278" i="2"/>
  <c r="AL278" i="2"/>
  <c r="AK278" i="2"/>
  <c r="AJ278" i="2"/>
  <c r="AI278" i="2"/>
  <c r="AH278" i="2"/>
  <c r="AG278" i="2"/>
  <c r="AF278" i="2"/>
  <c r="AE278" i="2"/>
  <c r="AD278" i="2"/>
  <c r="AC278" i="2"/>
  <c r="AB278" i="2"/>
  <c r="AA278" i="2"/>
  <c r="Z278" i="2"/>
  <c r="Y278" i="2"/>
  <c r="X278" i="2"/>
  <c r="W278" i="2"/>
  <c r="V278" i="2"/>
  <c r="U278" i="2"/>
  <c r="T278" i="2"/>
  <c r="S278" i="2"/>
  <c r="R278" i="2"/>
  <c r="Q278" i="2"/>
  <c r="P278" i="2"/>
  <c r="O278" i="2"/>
  <c r="N278" i="2"/>
  <c r="M278" i="2"/>
  <c r="L278" i="2"/>
  <c r="K278" i="2"/>
  <c r="J278" i="2"/>
  <c r="I278" i="2"/>
  <c r="H278" i="2"/>
  <c r="G278" i="2"/>
  <c r="F278" i="2"/>
  <c r="E278" i="2"/>
  <c r="D278" i="2"/>
  <c r="C278" i="2"/>
  <c r="B278" i="2"/>
  <c r="A278" i="2"/>
  <c r="BK277" i="2"/>
  <c r="BJ277" i="2"/>
  <c r="BI277" i="2"/>
  <c r="BH277" i="2"/>
  <c r="BG277" i="2"/>
  <c r="BF277" i="2"/>
  <c r="BE277" i="2"/>
  <c r="BD277" i="2"/>
  <c r="BC277" i="2"/>
  <c r="BB277" i="2"/>
  <c r="BA277" i="2"/>
  <c r="AZ277" i="2"/>
  <c r="AY277" i="2"/>
  <c r="AX277" i="2"/>
  <c r="AW277" i="2"/>
  <c r="AV277" i="2"/>
  <c r="AU277" i="2"/>
  <c r="AT277" i="2"/>
  <c r="AS277" i="2"/>
  <c r="AR277" i="2"/>
  <c r="AQ277" i="2"/>
  <c r="AP277" i="2"/>
  <c r="AO277" i="2"/>
  <c r="AN277" i="2"/>
  <c r="AM277" i="2"/>
  <c r="AL277" i="2"/>
  <c r="AK277" i="2"/>
  <c r="AJ277" i="2"/>
  <c r="AI277" i="2"/>
  <c r="AH277" i="2"/>
  <c r="AG277" i="2"/>
  <c r="AF277" i="2"/>
  <c r="AE277" i="2"/>
  <c r="AD277" i="2"/>
  <c r="AC277" i="2"/>
  <c r="AB277" i="2"/>
  <c r="AA277" i="2"/>
  <c r="Z277" i="2"/>
  <c r="Y277" i="2"/>
  <c r="X277" i="2"/>
  <c r="W277" i="2"/>
  <c r="V277" i="2"/>
  <c r="U277" i="2"/>
  <c r="T277" i="2"/>
  <c r="S277" i="2"/>
  <c r="R277" i="2"/>
  <c r="Q277" i="2"/>
  <c r="P277" i="2"/>
  <c r="O277" i="2"/>
  <c r="N277" i="2"/>
  <c r="M277" i="2"/>
  <c r="L277" i="2"/>
  <c r="K277" i="2"/>
  <c r="J277" i="2"/>
  <c r="I277" i="2"/>
  <c r="H277" i="2"/>
  <c r="G277" i="2"/>
  <c r="F277" i="2"/>
  <c r="E277" i="2"/>
  <c r="D277" i="2"/>
  <c r="C277" i="2"/>
  <c r="B277" i="2"/>
  <c r="A277" i="2"/>
  <c r="BK276" i="2"/>
  <c r="BJ276" i="2"/>
  <c r="BI276" i="2"/>
  <c r="BH276" i="2"/>
  <c r="BG276" i="2"/>
  <c r="BF276" i="2"/>
  <c r="BE276" i="2"/>
  <c r="BD276" i="2"/>
  <c r="BC276" i="2"/>
  <c r="BB276" i="2"/>
  <c r="BA276" i="2"/>
  <c r="AZ276" i="2"/>
  <c r="AY276" i="2"/>
  <c r="AX276" i="2"/>
  <c r="AW276" i="2"/>
  <c r="AV276" i="2"/>
  <c r="AU276" i="2"/>
  <c r="AT276" i="2"/>
  <c r="AS276" i="2"/>
  <c r="AR276" i="2"/>
  <c r="AQ276" i="2"/>
  <c r="AP276" i="2"/>
  <c r="AO276" i="2"/>
  <c r="AN276" i="2"/>
  <c r="AM276" i="2"/>
  <c r="AL276" i="2"/>
  <c r="AK276" i="2"/>
  <c r="AJ276" i="2"/>
  <c r="AI276" i="2"/>
  <c r="AH276" i="2"/>
  <c r="AG276" i="2"/>
  <c r="AF276" i="2"/>
  <c r="AE276" i="2"/>
  <c r="AD276" i="2"/>
  <c r="AC276" i="2"/>
  <c r="AB276" i="2"/>
  <c r="AA276" i="2"/>
  <c r="Z276" i="2"/>
  <c r="Y276" i="2"/>
  <c r="X276" i="2"/>
  <c r="W276" i="2"/>
  <c r="V276" i="2"/>
  <c r="U276" i="2"/>
  <c r="T276" i="2"/>
  <c r="S276" i="2"/>
  <c r="R276" i="2"/>
  <c r="Q276" i="2"/>
  <c r="P276" i="2"/>
  <c r="O276" i="2"/>
  <c r="N276" i="2"/>
  <c r="M276" i="2"/>
  <c r="L276" i="2"/>
  <c r="K276" i="2"/>
  <c r="J276" i="2"/>
  <c r="I276" i="2"/>
  <c r="H276" i="2"/>
  <c r="G276" i="2"/>
  <c r="F276" i="2"/>
  <c r="E276" i="2"/>
  <c r="D276" i="2"/>
  <c r="C276" i="2"/>
  <c r="B276" i="2"/>
  <c r="A276" i="2"/>
  <c r="BK275" i="2"/>
  <c r="BJ275" i="2"/>
  <c r="BI275" i="2"/>
  <c r="BH275" i="2"/>
  <c r="BG275" i="2"/>
  <c r="BF275" i="2"/>
  <c r="BE275" i="2"/>
  <c r="BD275" i="2"/>
  <c r="BC275" i="2"/>
  <c r="BB275" i="2"/>
  <c r="BA275" i="2"/>
  <c r="AZ275" i="2"/>
  <c r="AY275" i="2"/>
  <c r="AX275" i="2"/>
  <c r="AW275" i="2"/>
  <c r="AV275" i="2"/>
  <c r="AU275" i="2"/>
  <c r="AT275" i="2"/>
  <c r="AS275" i="2"/>
  <c r="AR275" i="2"/>
  <c r="AQ275" i="2"/>
  <c r="AP275" i="2"/>
  <c r="AO275" i="2"/>
  <c r="AN275" i="2"/>
  <c r="AM275" i="2"/>
  <c r="AL275" i="2"/>
  <c r="AK275" i="2"/>
  <c r="AJ275" i="2"/>
  <c r="AI275" i="2"/>
  <c r="AH275" i="2"/>
  <c r="AG275" i="2"/>
  <c r="AF275" i="2"/>
  <c r="AE275" i="2"/>
  <c r="AD275" i="2"/>
  <c r="AC275" i="2"/>
  <c r="AB275" i="2"/>
  <c r="AA275" i="2"/>
  <c r="Z275" i="2"/>
  <c r="Y275" i="2"/>
  <c r="X275" i="2"/>
  <c r="W275" i="2"/>
  <c r="V275" i="2"/>
  <c r="U275" i="2"/>
  <c r="T275" i="2"/>
  <c r="S275" i="2"/>
  <c r="R275" i="2"/>
  <c r="Q275" i="2"/>
  <c r="P275" i="2"/>
  <c r="O275" i="2"/>
  <c r="N275" i="2"/>
  <c r="M275" i="2"/>
  <c r="L275" i="2"/>
  <c r="K275" i="2"/>
  <c r="J275" i="2"/>
  <c r="I275" i="2"/>
  <c r="H275" i="2"/>
  <c r="G275" i="2"/>
  <c r="F275" i="2"/>
  <c r="E275" i="2"/>
  <c r="D275" i="2"/>
  <c r="C275" i="2"/>
  <c r="B275" i="2"/>
  <c r="A275" i="2"/>
  <c r="BK274" i="2"/>
  <c r="BJ274" i="2"/>
  <c r="BI274" i="2"/>
  <c r="BH274" i="2"/>
  <c r="BG274" i="2"/>
  <c r="BF274" i="2"/>
  <c r="BE274" i="2"/>
  <c r="BD274" i="2"/>
  <c r="BC274" i="2"/>
  <c r="BB274" i="2"/>
  <c r="BA274" i="2"/>
  <c r="AZ274" i="2"/>
  <c r="AY274" i="2"/>
  <c r="AX274" i="2"/>
  <c r="AW274" i="2"/>
  <c r="AV274" i="2"/>
  <c r="AU274" i="2"/>
  <c r="AT274" i="2"/>
  <c r="AS274" i="2"/>
  <c r="AR274" i="2"/>
  <c r="AQ274" i="2"/>
  <c r="AP274" i="2"/>
  <c r="AO274" i="2"/>
  <c r="AN274" i="2"/>
  <c r="AM274" i="2"/>
  <c r="AL274" i="2"/>
  <c r="AK274" i="2"/>
  <c r="AJ274" i="2"/>
  <c r="AI274" i="2"/>
  <c r="AH274" i="2"/>
  <c r="AG274" i="2"/>
  <c r="AF274" i="2"/>
  <c r="AE274" i="2"/>
  <c r="AD274" i="2"/>
  <c r="AC274" i="2"/>
  <c r="AB274" i="2"/>
  <c r="AA274" i="2"/>
  <c r="Z274" i="2"/>
  <c r="Y274" i="2"/>
  <c r="X274" i="2"/>
  <c r="W274" i="2"/>
  <c r="V274" i="2"/>
  <c r="U274" i="2"/>
  <c r="T274" i="2"/>
  <c r="S274" i="2"/>
  <c r="R274" i="2"/>
  <c r="Q274" i="2"/>
  <c r="P274" i="2"/>
  <c r="O274" i="2"/>
  <c r="N274" i="2"/>
  <c r="M274" i="2"/>
  <c r="L274" i="2"/>
  <c r="K274" i="2"/>
  <c r="J274" i="2"/>
  <c r="I274" i="2"/>
  <c r="H274" i="2"/>
  <c r="G274" i="2"/>
  <c r="F274" i="2"/>
  <c r="E274" i="2"/>
  <c r="D274" i="2"/>
  <c r="C274" i="2"/>
  <c r="B274" i="2"/>
  <c r="A274" i="2"/>
  <c r="BK273" i="2"/>
  <c r="BJ273" i="2"/>
  <c r="BI273" i="2"/>
  <c r="BH273" i="2"/>
  <c r="BG273" i="2"/>
  <c r="BF273" i="2"/>
  <c r="BE273" i="2"/>
  <c r="BD273" i="2"/>
  <c r="BC273" i="2"/>
  <c r="BB273" i="2"/>
  <c r="BA273" i="2"/>
  <c r="AZ273" i="2"/>
  <c r="AY273" i="2"/>
  <c r="AX273" i="2"/>
  <c r="AW273" i="2"/>
  <c r="AV273" i="2"/>
  <c r="AU273" i="2"/>
  <c r="AT273" i="2"/>
  <c r="AS273" i="2"/>
  <c r="AR273" i="2"/>
  <c r="AQ273" i="2"/>
  <c r="AP273" i="2"/>
  <c r="AO273" i="2"/>
  <c r="AN273" i="2"/>
  <c r="AM273" i="2"/>
  <c r="AL273" i="2"/>
  <c r="AK273" i="2"/>
  <c r="AJ273" i="2"/>
  <c r="AI273" i="2"/>
  <c r="AH273" i="2"/>
  <c r="AG273" i="2"/>
  <c r="AF273" i="2"/>
  <c r="AE273" i="2"/>
  <c r="AD273" i="2"/>
  <c r="AC273" i="2"/>
  <c r="AB273" i="2"/>
  <c r="AA273" i="2"/>
  <c r="Z273" i="2"/>
  <c r="Y273" i="2"/>
  <c r="X273" i="2"/>
  <c r="W273" i="2"/>
  <c r="V273" i="2"/>
  <c r="U273" i="2"/>
  <c r="T273" i="2"/>
  <c r="S273" i="2"/>
  <c r="R273" i="2"/>
  <c r="Q273" i="2"/>
  <c r="P273" i="2"/>
  <c r="O273" i="2"/>
  <c r="N273" i="2"/>
  <c r="M273" i="2"/>
  <c r="L273" i="2"/>
  <c r="K273" i="2"/>
  <c r="J273" i="2"/>
  <c r="I273" i="2"/>
  <c r="H273" i="2"/>
  <c r="G273" i="2"/>
  <c r="F273" i="2"/>
  <c r="E273" i="2"/>
  <c r="D273" i="2"/>
  <c r="C273" i="2"/>
  <c r="B273" i="2"/>
  <c r="A273" i="2"/>
  <c r="BK272" i="2"/>
  <c r="BJ272" i="2"/>
  <c r="BI272" i="2"/>
  <c r="BH272" i="2"/>
  <c r="BG272" i="2"/>
  <c r="BF272" i="2"/>
  <c r="BE272" i="2"/>
  <c r="BD272" i="2"/>
  <c r="BC272" i="2"/>
  <c r="BB272" i="2"/>
  <c r="BA272" i="2"/>
  <c r="AZ272" i="2"/>
  <c r="AY272" i="2"/>
  <c r="AX272" i="2"/>
  <c r="AW272" i="2"/>
  <c r="AV272" i="2"/>
  <c r="AU272" i="2"/>
  <c r="AT272" i="2"/>
  <c r="AS272" i="2"/>
  <c r="AR272" i="2"/>
  <c r="AQ272" i="2"/>
  <c r="AP272" i="2"/>
  <c r="AO272" i="2"/>
  <c r="AN272" i="2"/>
  <c r="AM272" i="2"/>
  <c r="AL272" i="2"/>
  <c r="AK272" i="2"/>
  <c r="AJ272" i="2"/>
  <c r="AI272" i="2"/>
  <c r="AH272" i="2"/>
  <c r="AG272" i="2"/>
  <c r="AF272" i="2"/>
  <c r="AE272" i="2"/>
  <c r="AD272" i="2"/>
  <c r="AC272" i="2"/>
  <c r="AB272" i="2"/>
  <c r="AA272" i="2"/>
  <c r="Z272" i="2"/>
  <c r="Y272" i="2"/>
  <c r="X272" i="2"/>
  <c r="W272" i="2"/>
  <c r="V272" i="2"/>
  <c r="U272" i="2"/>
  <c r="T272" i="2"/>
  <c r="S272" i="2"/>
  <c r="R272" i="2"/>
  <c r="Q272" i="2"/>
  <c r="P272" i="2"/>
  <c r="O272" i="2"/>
  <c r="N272" i="2"/>
  <c r="M272" i="2"/>
  <c r="L272" i="2"/>
  <c r="K272" i="2"/>
  <c r="J272" i="2"/>
  <c r="I272" i="2"/>
  <c r="H272" i="2"/>
  <c r="G272" i="2"/>
  <c r="F272" i="2"/>
  <c r="E272" i="2"/>
  <c r="D272" i="2"/>
  <c r="C272" i="2"/>
  <c r="B272" i="2"/>
  <c r="A272" i="2"/>
  <c r="BK271" i="2"/>
  <c r="BJ271" i="2"/>
  <c r="BI271" i="2"/>
  <c r="BH271" i="2"/>
  <c r="BG271" i="2"/>
  <c r="BF271" i="2"/>
  <c r="BE271" i="2"/>
  <c r="BD271" i="2"/>
  <c r="BC271" i="2"/>
  <c r="BB271" i="2"/>
  <c r="BA271" i="2"/>
  <c r="AZ271" i="2"/>
  <c r="AY271" i="2"/>
  <c r="AX271" i="2"/>
  <c r="AW271" i="2"/>
  <c r="AV271" i="2"/>
  <c r="AU271" i="2"/>
  <c r="AT271" i="2"/>
  <c r="AS271" i="2"/>
  <c r="AR271" i="2"/>
  <c r="AQ271" i="2"/>
  <c r="AP271" i="2"/>
  <c r="AO271" i="2"/>
  <c r="AN271" i="2"/>
  <c r="AM271" i="2"/>
  <c r="AL271" i="2"/>
  <c r="AK271" i="2"/>
  <c r="AJ271" i="2"/>
  <c r="AI271" i="2"/>
  <c r="AH271" i="2"/>
  <c r="AG271" i="2"/>
  <c r="AF271" i="2"/>
  <c r="AE271" i="2"/>
  <c r="AD271" i="2"/>
  <c r="AC271" i="2"/>
  <c r="AB271" i="2"/>
  <c r="AA271" i="2"/>
  <c r="Z271" i="2"/>
  <c r="Y271" i="2"/>
  <c r="X271" i="2"/>
  <c r="W271" i="2"/>
  <c r="V271" i="2"/>
  <c r="U271" i="2"/>
  <c r="T271" i="2"/>
  <c r="S271" i="2"/>
  <c r="R271" i="2"/>
  <c r="Q271" i="2"/>
  <c r="P271" i="2"/>
  <c r="O271" i="2"/>
  <c r="N271" i="2"/>
  <c r="M271" i="2"/>
  <c r="L271" i="2"/>
  <c r="K271" i="2"/>
  <c r="J271" i="2"/>
  <c r="I271" i="2"/>
  <c r="H271" i="2"/>
  <c r="G271" i="2"/>
  <c r="F271" i="2"/>
  <c r="E271" i="2"/>
  <c r="D271" i="2"/>
  <c r="C271" i="2"/>
  <c r="B271" i="2"/>
  <c r="A271" i="2"/>
  <c r="BK270" i="2"/>
  <c r="BJ270" i="2"/>
  <c r="BI270" i="2"/>
  <c r="BH270" i="2"/>
  <c r="BG270" i="2"/>
  <c r="BF270" i="2"/>
  <c r="BE270" i="2"/>
  <c r="BD270" i="2"/>
  <c r="BC270" i="2"/>
  <c r="BB270" i="2"/>
  <c r="BA270" i="2"/>
  <c r="AZ270" i="2"/>
  <c r="AY270" i="2"/>
  <c r="AX270" i="2"/>
  <c r="AW270" i="2"/>
  <c r="AV270" i="2"/>
  <c r="AU270" i="2"/>
  <c r="AT270" i="2"/>
  <c r="AS270" i="2"/>
  <c r="AR270" i="2"/>
  <c r="AQ270" i="2"/>
  <c r="AP270" i="2"/>
  <c r="AO270" i="2"/>
  <c r="AN270" i="2"/>
  <c r="AM270" i="2"/>
  <c r="AL270" i="2"/>
  <c r="AK270" i="2"/>
  <c r="AJ270" i="2"/>
  <c r="AI270" i="2"/>
  <c r="AH270" i="2"/>
  <c r="AG270" i="2"/>
  <c r="AF270" i="2"/>
  <c r="AE270" i="2"/>
  <c r="AD270" i="2"/>
  <c r="AC270" i="2"/>
  <c r="AB270" i="2"/>
  <c r="AA270" i="2"/>
  <c r="Z270" i="2"/>
  <c r="Y270" i="2"/>
  <c r="X270" i="2"/>
  <c r="W270" i="2"/>
  <c r="V270" i="2"/>
  <c r="U270" i="2"/>
  <c r="T270" i="2"/>
  <c r="S270" i="2"/>
  <c r="R270" i="2"/>
  <c r="Q270" i="2"/>
  <c r="P270" i="2"/>
  <c r="O270" i="2"/>
  <c r="N270" i="2"/>
  <c r="M270" i="2"/>
  <c r="L270" i="2"/>
  <c r="K270" i="2"/>
  <c r="J270" i="2"/>
  <c r="I270" i="2"/>
  <c r="H270" i="2"/>
  <c r="G270" i="2"/>
  <c r="F270" i="2"/>
  <c r="E270" i="2"/>
  <c r="D270" i="2"/>
  <c r="C270" i="2"/>
  <c r="B270" i="2"/>
  <c r="A270" i="2"/>
  <c r="BK269" i="2"/>
  <c r="BJ269" i="2"/>
  <c r="BI269" i="2"/>
  <c r="BH269" i="2"/>
  <c r="BG269" i="2"/>
  <c r="BF269" i="2"/>
  <c r="BE269" i="2"/>
  <c r="BD269" i="2"/>
  <c r="BC269" i="2"/>
  <c r="BB269" i="2"/>
  <c r="BA269" i="2"/>
  <c r="AZ269" i="2"/>
  <c r="AY269" i="2"/>
  <c r="AX269" i="2"/>
  <c r="AW269" i="2"/>
  <c r="AV269" i="2"/>
  <c r="AU269" i="2"/>
  <c r="AT269" i="2"/>
  <c r="AS269" i="2"/>
  <c r="AR269" i="2"/>
  <c r="AQ269" i="2"/>
  <c r="AP269" i="2"/>
  <c r="AO269" i="2"/>
  <c r="AN269" i="2"/>
  <c r="AM269" i="2"/>
  <c r="AL269" i="2"/>
  <c r="AK269" i="2"/>
  <c r="AJ269" i="2"/>
  <c r="AI269" i="2"/>
  <c r="AH269" i="2"/>
  <c r="AG269" i="2"/>
  <c r="AF269" i="2"/>
  <c r="AE269" i="2"/>
  <c r="AD269" i="2"/>
  <c r="AC269" i="2"/>
  <c r="AB269" i="2"/>
  <c r="AA269" i="2"/>
  <c r="Z269" i="2"/>
  <c r="Y269" i="2"/>
  <c r="X269" i="2"/>
  <c r="W269" i="2"/>
  <c r="V269" i="2"/>
  <c r="U269" i="2"/>
  <c r="T269" i="2"/>
  <c r="S269" i="2"/>
  <c r="R269" i="2"/>
  <c r="Q269" i="2"/>
  <c r="P269" i="2"/>
  <c r="O269" i="2"/>
  <c r="N269" i="2"/>
  <c r="M269" i="2"/>
  <c r="L269" i="2"/>
  <c r="K269" i="2"/>
  <c r="J269" i="2"/>
  <c r="I269" i="2"/>
  <c r="H269" i="2"/>
  <c r="G269" i="2"/>
  <c r="F269" i="2"/>
  <c r="E269" i="2"/>
  <c r="D269" i="2"/>
  <c r="C269" i="2"/>
  <c r="B269" i="2"/>
  <c r="A269" i="2"/>
  <c r="BK268" i="2"/>
  <c r="BJ268" i="2"/>
  <c r="BI268" i="2"/>
  <c r="BH268" i="2"/>
  <c r="BG268" i="2"/>
  <c r="BF268" i="2"/>
  <c r="BE268" i="2"/>
  <c r="BD268" i="2"/>
  <c r="BC268" i="2"/>
  <c r="BB268" i="2"/>
  <c r="BA268" i="2"/>
  <c r="AZ268" i="2"/>
  <c r="AY268" i="2"/>
  <c r="AX268" i="2"/>
  <c r="AW268" i="2"/>
  <c r="AV268" i="2"/>
  <c r="AU268" i="2"/>
  <c r="AT268" i="2"/>
  <c r="AS268" i="2"/>
  <c r="AR268" i="2"/>
  <c r="AQ268" i="2"/>
  <c r="AP268" i="2"/>
  <c r="AO268" i="2"/>
  <c r="AN268" i="2"/>
  <c r="AM268" i="2"/>
  <c r="AL268" i="2"/>
  <c r="AK268" i="2"/>
  <c r="AJ268" i="2"/>
  <c r="AI268" i="2"/>
  <c r="AH268" i="2"/>
  <c r="AG268" i="2"/>
  <c r="AF268" i="2"/>
  <c r="AE268" i="2"/>
  <c r="AD268" i="2"/>
  <c r="AC268" i="2"/>
  <c r="AB268" i="2"/>
  <c r="AA268" i="2"/>
  <c r="Z268" i="2"/>
  <c r="Y268" i="2"/>
  <c r="X268" i="2"/>
  <c r="W268" i="2"/>
  <c r="V268" i="2"/>
  <c r="U268" i="2"/>
  <c r="T268" i="2"/>
  <c r="S268" i="2"/>
  <c r="R268" i="2"/>
  <c r="Q268" i="2"/>
  <c r="P268" i="2"/>
  <c r="O268" i="2"/>
  <c r="N268" i="2"/>
  <c r="M268" i="2"/>
  <c r="L268" i="2"/>
  <c r="K268" i="2"/>
  <c r="J268" i="2"/>
  <c r="I268" i="2"/>
  <c r="H268" i="2"/>
  <c r="G268" i="2"/>
  <c r="F268" i="2"/>
  <c r="E268" i="2"/>
  <c r="D268" i="2"/>
  <c r="C268" i="2"/>
  <c r="B268" i="2"/>
  <c r="A268" i="2"/>
  <c r="BK267" i="2"/>
  <c r="BJ267" i="2"/>
  <c r="BI267" i="2"/>
  <c r="BH267" i="2"/>
  <c r="BG267" i="2"/>
  <c r="BF267" i="2"/>
  <c r="BE267" i="2"/>
  <c r="BD267" i="2"/>
  <c r="BC267" i="2"/>
  <c r="BB267" i="2"/>
  <c r="BA267" i="2"/>
  <c r="AZ267" i="2"/>
  <c r="AY267" i="2"/>
  <c r="AX267" i="2"/>
  <c r="AW267" i="2"/>
  <c r="AV267" i="2"/>
  <c r="AU267" i="2"/>
  <c r="AT267" i="2"/>
  <c r="AS267" i="2"/>
  <c r="AR267" i="2"/>
  <c r="AQ267" i="2"/>
  <c r="AP267" i="2"/>
  <c r="AO267" i="2"/>
  <c r="AN267" i="2"/>
  <c r="AM267" i="2"/>
  <c r="AL267" i="2"/>
  <c r="AK267" i="2"/>
  <c r="AJ267" i="2"/>
  <c r="AI267" i="2"/>
  <c r="AH267" i="2"/>
  <c r="AG267" i="2"/>
  <c r="AF267" i="2"/>
  <c r="AE267" i="2"/>
  <c r="AD267" i="2"/>
  <c r="AC267" i="2"/>
  <c r="AB267" i="2"/>
  <c r="AA267" i="2"/>
  <c r="Z267" i="2"/>
  <c r="Y267" i="2"/>
  <c r="X267" i="2"/>
  <c r="W267" i="2"/>
  <c r="V267" i="2"/>
  <c r="U267" i="2"/>
  <c r="T267" i="2"/>
  <c r="S267" i="2"/>
  <c r="R267" i="2"/>
  <c r="Q267" i="2"/>
  <c r="P267" i="2"/>
  <c r="O267" i="2"/>
  <c r="N267" i="2"/>
  <c r="M267" i="2"/>
  <c r="L267" i="2"/>
  <c r="K267" i="2"/>
  <c r="J267" i="2"/>
  <c r="I267" i="2"/>
  <c r="H267" i="2"/>
  <c r="G267" i="2"/>
  <c r="F267" i="2"/>
  <c r="E267" i="2"/>
  <c r="D267" i="2"/>
  <c r="C267" i="2"/>
  <c r="B267" i="2"/>
  <c r="A267" i="2"/>
  <c r="BK266" i="2"/>
  <c r="BJ266" i="2"/>
  <c r="BI266" i="2"/>
  <c r="BH266" i="2"/>
  <c r="BG266" i="2"/>
  <c r="BF266" i="2"/>
  <c r="BE266" i="2"/>
  <c r="BD266" i="2"/>
  <c r="BC266" i="2"/>
  <c r="BB266" i="2"/>
  <c r="BA266" i="2"/>
  <c r="AZ266" i="2"/>
  <c r="AY266" i="2"/>
  <c r="AX266" i="2"/>
  <c r="AW266" i="2"/>
  <c r="AV266" i="2"/>
  <c r="AU266" i="2"/>
  <c r="AT266" i="2"/>
  <c r="AS266" i="2"/>
  <c r="AR266" i="2"/>
  <c r="AQ266" i="2"/>
  <c r="AP266" i="2"/>
  <c r="AO266" i="2"/>
  <c r="AN266" i="2"/>
  <c r="AM266" i="2"/>
  <c r="AL266" i="2"/>
  <c r="AK266" i="2"/>
  <c r="AJ266" i="2"/>
  <c r="AI266" i="2"/>
  <c r="AH266" i="2"/>
  <c r="AG266" i="2"/>
  <c r="AF266" i="2"/>
  <c r="AE266" i="2"/>
  <c r="AD266" i="2"/>
  <c r="AC266" i="2"/>
  <c r="AB266" i="2"/>
  <c r="AA266" i="2"/>
  <c r="Z266" i="2"/>
  <c r="Y266" i="2"/>
  <c r="X266" i="2"/>
  <c r="W266" i="2"/>
  <c r="V266" i="2"/>
  <c r="U266" i="2"/>
  <c r="T266" i="2"/>
  <c r="S266" i="2"/>
  <c r="R266" i="2"/>
  <c r="Q266" i="2"/>
  <c r="P266" i="2"/>
  <c r="O266" i="2"/>
  <c r="N266" i="2"/>
  <c r="M266" i="2"/>
  <c r="L266" i="2"/>
  <c r="K266" i="2"/>
  <c r="J266" i="2"/>
  <c r="I266" i="2"/>
  <c r="H266" i="2"/>
  <c r="G266" i="2"/>
  <c r="F266" i="2"/>
  <c r="E266" i="2"/>
  <c r="D266" i="2"/>
  <c r="C266" i="2"/>
  <c r="B266" i="2"/>
  <c r="A266" i="2"/>
  <c r="BK265" i="2"/>
  <c r="BJ265" i="2"/>
  <c r="BI265" i="2"/>
  <c r="BH265" i="2"/>
  <c r="BG265" i="2"/>
  <c r="BF265" i="2"/>
  <c r="BE265" i="2"/>
  <c r="BD265" i="2"/>
  <c r="BC265" i="2"/>
  <c r="BB265" i="2"/>
  <c r="BA265" i="2"/>
  <c r="AZ265" i="2"/>
  <c r="AY265" i="2"/>
  <c r="AX265" i="2"/>
  <c r="AW265" i="2"/>
  <c r="AV265" i="2"/>
  <c r="AU265" i="2"/>
  <c r="AT265" i="2"/>
  <c r="AS265" i="2"/>
  <c r="AR265" i="2"/>
  <c r="AQ265" i="2"/>
  <c r="AP265" i="2"/>
  <c r="AO265" i="2"/>
  <c r="AN265" i="2"/>
  <c r="AM265" i="2"/>
  <c r="AL265" i="2"/>
  <c r="AK265" i="2"/>
  <c r="AJ265" i="2"/>
  <c r="AI265" i="2"/>
  <c r="AH265" i="2"/>
  <c r="AG265" i="2"/>
  <c r="AF265" i="2"/>
  <c r="AE265" i="2"/>
  <c r="AD265" i="2"/>
  <c r="AC265" i="2"/>
  <c r="AB265" i="2"/>
  <c r="AA265" i="2"/>
  <c r="Z265" i="2"/>
  <c r="Y265" i="2"/>
  <c r="X265" i="2"/>
  <c r="W265" i="2"/>
  <c r="V265" i="2"/>
  <c r="U265" i="2"/>
  <c r="T265" i="2"/>
  <c r="S265" i="2"/>
  <c r="R265" i="2"/>
  <c r="Q265" i="2"/>
  <c r="P265" i="2"/>
  <c r="O265" i="2"/>
  <c r="N265" i="2"/>
  <c r="M265" i="2"/>
  <c r="L265" i="2"/>
  <c r="K265" i="2"/>
  <c r="J265" i="2"/>
  <c r="I265" i="2"/>
  <c r="H265" i="2"/>
  <c r="G265" i="2"/>
  <c r="F265" i="2"/>
  <c r="E265" i="2"/>
  <c r="D265" i="2"/>
  <c r="C265" i="2"/>
  <c r="B265" i="2"/>
  <c r="A265" i="2"/>
  <c r="BK264" i="2"/>
  <c r="BJ264" i="2"/>
  <c r="BI264" i="2"/>
  <c r="BH264" i="2"/>
  <c r="BG264" i="2"/>
  <c r="BF264" i="2"/>
  <c r="BE264" i="2"/>
  <c r="BD264" i="2"/>
  <c r="BC264" i="2"/>
  <c r="BB264" i="2"/>
  <c r="BA264" i="2"/>
  <c r="AZ264" i="2"/>
  <c r="AY264" i="2"/>
  <c r="AX264" i="2"/>
  <c r="AW264" i="2"/>
  <c r="AV264" i="2"/>
  <c r="AU264" i="2"/>
  <c r="AT264" i="2"/>
  <c r="AS264" i="2"/>
  <c r="AR264" i="2"/>
  <c r="AQ264" i="2"/>
  <c r="AP264" i="2"/>
  <c r="AO264" i="2"/>
  <c r="AN264" i="2"/>
  <c r="AM264" i="2"/>
  <c r="AL264" i="2"/>
  <c r="AK264" i="2"/>
  <c r="AJ264" i="2"/>
  <c r="AI264" i="2"/>
  <c r="AH264" i="2"/>
  <c r="AG264" i="2"/>
  <c r="AF264" i="2"/>
  <c r="AE264" i="2"/>
  <c r="AD264" i="2"/>
  <c r="AC264" i="2"/>
  <c r="AB264" i="2"/>
  <c r="AA264" i="2"/>
  <c r="Z264" i="2"/>
  <c r="Y264" i="2"/>
  <c r="X264" i="2"/>
  <c r="W264" i="2"/>
  <c r="V264" i="2"/>
  <c r="U264" i="2"/>
  <c r="T264" i="2"/>
  <c r="S264" i="2"/>
  <c r="R264" i="2"/>
  <c r="Q264" i="2"/>
  <c r="P264" i="2"/>
  <c r="O264" i="2"/>
  <c r="N264" i="2"/>
  <c r="M264" i="2"/>
  <c r="L264" i="2"/>
  <c r="K264" i="2"/>
  <c r="J264" i="2"/>
  <c r="I264" i="2"/>
  <c r="H264" i="2"/>
  <c r="G264" i="2"/>
  <c r="F264" i="2"/>
  <c r="E264" i="2"/>
  <c r="D264" i="2"/>
  <c r="C264" i="2"/>
  <c r="B264" i="2"/>
  <c r="A264" i="2"/>
  <c r="BK263" i="2"/>
  <c r="BJ263" i="2"/>
  <c r="BI263" i="2"/>
  <c r="BH263" i="2"/>
  <c r="BG263" i="2"/>
  <c r="BF263" i="2"/>
  <c r="BE263" i="2"/>
  <c r="BD263" i="2"/>
  <c r="BC263" i="2"/>
  <c r="BB263" i="2"/>
  <c r="BA263" i="2"/>
  <c r="AZ263" i="2"/>
  <c r="AY263" i="2"/>
  <c r="AX263" i="2"/>
  <c r="AW263" i="2"/>
  <c r="AV263" i="2"/>
  <c r="AU263" i="2"/>
  <c r="AT263" i="2"/>
  <c r="AS263" i="2"/>
  <c r="AR263" i="2"/>
  <c r="AQ263" i="2"/>
  <c r="AP263" i="2"/>
  <c r="AO263" i="2"/>
  <c r="AN263" i="2"/>
  <c r="AM263" i="2"/>
  <c r="AL263" i="2"/>
  <c r="AK263" i="2"/>
  <c r="AJ263" i="2"/>
  <c r="AI263" i="2"/>
  <c r="AH263" i="2"/>
  <c r="AG263" i="2"/>
  <c r="AF263" i="2"/>
  <c r="AE263" i="2"/>
  <c r="AD263" i="2"/>
  <c r="AC263" i="2"/>
  <c r="AB263" i="2"/>
  <c r="AA263" i="2"/>
  <c r="Z263" i="2"/>
  <c r="Y263" i="2"/>
  <c r="X263" i="2"/>
  <c r="W263" i="2"/>
  <c r="V263" i="2"/>
  <c r="U263" i="2"/>
  <c r="T263" i="2"/>
  <c r="S263" i="2"/>
  <c r="R263" i="2"/>
  <c r="Q263" i="2"/>
  <c r="P263" i="2"/>
  <c r="O263" i="2"/>
  <c r="N263" i="2"/>
  <c r="M263" i="2"/>
  <c r="L263" i="2"/>
  <c r="K263" i="2"/>
  <c r="J263" i="2"/>
  <c r="I263" i="2"/>
  <c r="H263" i="2"/>
  <c r="G263" i="2"/>
  <c r="F263" i="2"/>
  <c r="E263" i="2"/>
  <c r="D263" i="2"/>
  <c r="C263" i="2"/>
  <c r="B263" i="2"/>
  <c r="A263" i="2"/>
  <c r="BK262" i="2"/>
  <c r="BJ262" i="2"/>
  <c r="BI262" i="2"/>
  <c r="BH262" i="2"/>
  <c r="BG262" i="2"/>
  <c r="BF262" i="2"/>
  <c r="BE262" i="2"/>
  <c r="BD262" i="2"/>
  <c r="BC262" i="2"/>
  <c r="BB262" i="2"/>
  <c r="BA262" i="2"/>
  <c r="AZ262" i="2"/>
  <c r="AY262" i="2"/>
  <c r="AX262" i="2"/>
  <c r="AW262" i="2"/>
  <c r="AV262" i="2"/>
  <c r="AU262" i="2"/>
  <c r="AT262" i="2"/>
  <c r="AS262" i="2"/>
  <c r="AR262" i="2"/>
  <c r="AQ262" i="2"/>
  <c r="AP262" i="2"/>
  <c r="AO262" i="2"/>
  <c r="AN262" i="2"/>
  <c r="AM262" i="2"/>
  <c r="AL262" i="2"/>
  <c r="AK262" i="2"/>
  <c r="AJ262" i="2"/>
  <c r="AI262" i="2"/>
  <c r="AH262" i="2"/>
  <c r="AG262" i="2"/>
  <c r="AF262" i="2"/>
  <c r="AE262" i="2"/>
  <c r="AD262" i="2"/>
  <c r="AC262" i="2"/>
  <c r="AB262" i="2"/>
  <c r="AA262" i="2"/>
  <c r="Z262" i="2"/>
  <c r="Y262" i="2"/>
  <c r="X262" i="2"/>
  <c r="W262" i="2"/>
  <c r="V262" i="2"/>
  <c r="U262" i="2"/>
  <c r="T262" i="2"/>
  <c r="S262" i="2"/>
  <c r="R262" i="2"/>
  <c r="Q262" i="2"/>
  <c r="P262" i="2"/>
  <c r="O262" i="2"/>
  <c r="N262" i="2"/>
  <c r="M262" i="2"/>
  <c r="L262" i="2"/>
  <c r="K262" i="2"/>
  <c r="J262" i="2"/>
  <c r="I262" i="2"/>
  <c r="H262" i="2"/>
  <c r="G262" i="2"/>
  <c r="F262" i="2"/>
  <c r="E262" i="2"/>
  <c r="D262" i="2"/>
  <c r="C262" i="2"/>
  <c r="B262" i="2"/>
  <c r="A262" i="2"/>
  <c r="BK261" i="2"/>
  <c r="BJ261" i="2"/>
  <c r="BI261" i="2"/>
  <c r="BH261" i="2"/>
  <c r="BG261" i="2"/>
  <c r="BF261" i="2"/>
  <c r="BE261" i="2"/>
  <c r="BD261" i="2"/>
  <c r="BC261" i="2"/>
  <c r="BB261" i="2"/>
  <c r="BA261" i="2"/>
  <c r="AZ261" i="2"/>
  <c r="AY261" i="2"/>
  <c r="AX261" i="2"/>
  <c r="AW261" i="2"/>
  <c r="AV261" i="2"/>
  <c r="AU261" i="2"/>
  <c r="AT261" i="2"/>
  <c r="AS261" i="2"/>
  <c r="AR261" i="2"/>
  <c r="AQ261" i="2"/>
  <c r="AP261" i="2"/>
  <c r="AO261" i="2"/>
  <c r="AN261" i="2"/>
  <c r="AM261" i="2"/>
  <c r="AL261" i="2"/>
  <c r="AK261" i="2"/>
  <c r="AJ261" i="2"/>
  <c r="AI261" i="2"/>
  <c r="AH261" i="2"/>
  <c r="AG261" i="2"/>
  <c r="AF261" i="2"/>
  <c r="AE261" i="2"/>
  <c r="AD261" i="2"/>
  <c r="AC261" i="2"/>
  <c r="AB261" i="2"/>
  <c r="AA261" i="2"/>
  <c r="Z261" i="2"/>
  <c r="Y261" i="2"/>
  <c r="X261" i="2"/>
  <c r="W261" i="2"/>
  <c r="V261" i="2"/>
  <c r="U261" i="2"/>
  <c r="T261" i="2"/>
  <c r="S261" i="2"/>
  <c r="R261" i="2"/>
  <c r="Q261" i="2"/>
  <c r="P261" i="2"/>
  <c r="O261" i="2"/>
  <c r="N261" i="2"/>
  <c r="M261" i="2"/>
  <c r="L261" i="2"/>
  <c r="K261" i="2"/>
  <c r="J261" i="2"/>
  <c r="I261" i="2"/>
  <c r="H261" i="2"/>
  <c r="G261" i="2"/>
  <c r="F261" i="2"/>
  <c r="E261" i="2"/>
  <c r="D261" i="2"/>
  <c r="C261" i="2"/>
  <c r="B261" i="2"/>
  <c r="A261" i="2"/>
  <c r="BK260" i="2"/>
  <c r="BJ260" i="2"/>
  <c r="BI260" i="2"/>
  <c r="BH260" i="2"/>
  <c r="BG260" i="2"/>
  <c r="BF260" i="2"/>
  <c r="BE260" i="2"/>
  <c r="BD260" i="2"/>
  <c r="BC260" i="2"/>
  <c r="BB260" i="2"/>
  <c r="BA260" i="2"/>
  <c r="AZ260" i="2"/>
  <c r="AY260" i="2"/>
  <c r="AX260" i="2"/>
  <c r="AW260" i="2"/>
  <c r="AV260" i="2"/>
  <c r="AU260" i="2"/>
  <c r="AT260" i="2"/>
  <c r="AS260" i="2"/>
  <c r="AR260" i="2"/>
  <c r="AQ260" i="2"/>
  <c r="AP260" i="2"/>
  <c r="AO260" i="2"/>
  <c r="AN260" i="2"/>
  <c r="AM260" i="2"/>
  <c r="AL260" i="2"/>
  <c r="AK260" i="2"/>
  <c r="AJ260" i="2"/>
  <c r="AI260" i="2"/>
  <c r="AH260" i="2"/>
  <c r="AG260" i="2"/>
  <c r="AF260" i="2"/>
  <c r="AE260" i="2"/>
  <c r="AD260" i="2"/>
  <c r="AC260" i="2"/>
  <c r="AB260" i="2"/>
  <c r="AA260" i="2"/>
  <c r="Z260" i="2"/>
  <c r="Y260" i="2"/>
  <c r="X260" i="2"/>
  <c r="W260" i="2"/>
  <c r="V260" i="2"/>
  <c r="U260" i="2"/>
  <c r="T260" i="2"/>
  <c r="S260" i="2"/>
  <c r="R260" i="2"/>
  <c r="Q260" i="2"/>
  <c r="P260" i="2"/>
  <c r="O260" i="2"/>
  <c r="N260" i="2"/>
  <c r="M260" i="2"/>
  <c r="L260" i="2"/>
  <c r="K260" i="2"/>
  <c r="J260" i="2"/>
  <c r="I260" i="2"/>
  <c r="H260" i="2"/>
  <c r="G260" i="2"/>
  <c r="F260" i="2"/>
  <c r="E260" i="2"/>
  <c r="D260" i="2"/>
  <c r="C260" i="2"/>
  <c r="B260" i="2"/>
  <c r="A260" i="2"/>
  <c r="BK259" i="2"/>
  <c r="BJ259" i="2"/>
  <c r="BI259" i="2"/>
  <c r="BH259" i="2"/>
  <c r="BG259" i="2"/>
  <c r="BF259" i="2"/>
  <c r="BE259" i="2"/>
  <c r="BD259" i="2"/>
  <c r="BC259" i="2"/>
  <c r="BB259" i="2"/>
  <c r="BA259" i="2"/>
  <c r="AZ259" i="2"/>
  <c r="AY259" i="2"/>
  <c r="AX259" i="2"/>
  <c r="AW259" i="2"/>
  <c r="AV259" i="2"/>
  <c r="AU259" i="2"/>
  <c r="AT259" i="2"/>
  <c r="AS259" i="2"/>
  <c r="AR259" i="2"/>
  <c r="AQ259" i="2"/>
  <c r="AP259" i="2"/>
  <c r="AO259" i="2"/>
  <c r="AN259" i="2"/>
  <c r="AM259" i="2"/>
  <c r="AL259" i="2"/>
  <c r="AK259" i="2"/>
  <c r="AJ259" i="2"/>
  <c r="AI259" i="2"/>
  <c r="AH259" i="2"/>
  <c r="AG259" i="2"/>
  <c r="AF259" i="2"/>
  <c r="AE259" i="2"/>
  <c r="AD259" i="2"/>
  <c r="AC259" i="2"/>
  <c r="AB259" i="2"/>
  <c r="AA259" i="2"/>
  <c r="Z259" i="2"/>
  <c r="Y259" i="2"/>
  <c r="X259" i="2"/>
  <c r="W259" i="2"/>
  <c r="V259" i="2"/>
  <c r="U259" i="2"/>
  <c r="T259" i="2"/>
  <c r="S259" i="2"/>
  <c r="R259" i="2"/>
  <c r="Q259" i="2"/>
  <c r="P259" i="2"/>
  <c r="O259" i="2"/>
  <c r="N259" i="2"/>
  <c r="M259" i="2"/>
  <c r="L259" i="2"/>
  <c r="K259" i="2"/>
  <c r="J259" i="2"/>
  <c r="I259" i="2"/>
  <c r="H259" i="2"/>
  <c r="G259" i="2"/>
  <c r="F259" i="2"/>
  <c r="E259" i="2"/>
  <c r="D259" i="2"/>
  <c r="C259" i="2"/>
  <c r="B259" i="2"/>
  <c r="A259" i="2"/>
  <c r="BK258" i="2"/>
  <c r="BJ258" i="2"/>
  <c r="BI258" i="2"/>
  <c r="BH258" i="2"/>
  <c r="BG258" i="2"/>
  <c r="BF258" i="2"/>
  <c r="BE258" i="2"/>
  <c r="BD258" i="2"/>
  <c r="BC258" i="2"/>
  <c r="BB258" i="2"/>
  <c r="BA258" i="2"/>
  <c r="AZ258" i="2"/>
  <c r="AY258" i="2"/>
  <c r="AX258" i="2"/>
  <c r="AW258" i="2"/>
  <c r="AV258" i="2"/>
  <c r="AU258" i="2"/>
  <c r="AT258" i="2"/>
  <c r="AS258" i="2"/>
  <c r="AR25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R258" i="2"/>
  <c r="Q258" i="2"/>
  <c r="P258" i="2"/>
  <c r="O258" i="2"/>
  <c r="N258" i="2"/>
  <c r="M258" i="2"/>
  <c r="L258" i="2"/>
  <c r="K258" i="2"/>
  <c r="J258" i="2"/>
  <c r="I258" i="2"/>
  <c r="H258" i="2"/>
  <c r="G258" i="2"/>
  <c r="F258" i="2"/>
  <c r="E258" i="2"/>
  <c r="D258" i="2"/>
  <c r="C258" i="2"/>
  <c r="B258" i="2"/>
  <c r="A258" i="2"/>
  <c r="BK257" i="2"/>
  <c r="BJ257" i="2"/>
  <c r="BI257" i="2"/>
  <c r="BH257" i="2"/>
  <c r="BG257" i="2"/>
  <c r="BF257" i="2"/>
  <c r="BE257" i="2"/>
  <c r="BD257" i="2"/>
  <c r="BC257" i="2"/>
  <c r="BB257" i="2"/>
  <c r="BA257" i="2"/>
  <c r="AZ257" i="2"/>
  <c r="AY257" i="2"/>
  <c r="AX257" i="2"/>
  <c r="AW257" i="2"/>
  <c r="AV257" i="2"/>
  <c r="AU257" i="2"/>
  <c r="AT257" i="2"/>
  <c r="AS257" i="2"/>
  <c r="AR257"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R257" i="2"/>
  <c r="Q257" i="2"/>
  <c r="P257" i="2"/>
  <c r="O257" i="2"/>
  <c r="N257" i="2"/>
  <c r="M257" i="2"/>
  <c r="L257" i="2"/>
  <c r="K257" i="2"/>
  <c r="J257" i="2"/>
  <c r="I257" i="2"/>
  <c r="H257" i="2"/>
  <c r="G257" i="2"/>
  <c r="F257" i="2"/>
  <c r="E257" i="2"/>
  <c r="D257" i="2"/>
  <c r="C257" i="2"/>
  <c r="B257" i="2"/>
  <c r="A257" i="2"/>
  <c r="BK256" i="2"/>
  <c r="BJ256" i="2"/>
  <c r="BI256" i="2"/>
  <c r="BH256" i="2"/>
  <c r="BG256" i="2"/>
  <c r="BF256" i="2"/>
  <c r="BE256" i="2"/>
  <c r="BD256" i="2"/>
  <c r="BC256" i="2"/>
  <c r="BB256" i="2"/>
  <c r="BA256" i="2"/>
  <c r="AZ256" i="2"/>
  <c r="AY256" i="2"/>
  <c r="AX256" i="2"/>
  <c r="AW256" i="2"/>
  <c r="AV256" i="2"/>
  <c r="AU256" i="2"/>
  <c r="AT256" i="2"/>
  <c r="AS256" i="2"/>
  <c r="AR256" i="2"/>
  <c r="AQ256" i="2"/>
  <c r="AP256" i="2"/>
  <c r="AO256" i="2"/>
  <c r="AN256" i="2"/>
  <c r="AM256" i="2"/>
  <c r="AL256" i="2"/>
  <c r="AK256" i="2"/>
  <c r="AJ256" i="2"/>
  <c r="AI256" i="2"/>
  <c r="AH256" i="2"/>
  <c r="AG256" i="2"/>
  <c r="AF256" i="2"/>
  <c r="AE256" i="2"/>
  <c r="AD256" i="2"/>
  <c r="AC256" i="2"/>
  <c r="AB256" i="2"/>
  <c r="AA256" i="2"/>
  <c r="Z256" i="2"/>
  <c r="Y256" i="2"/>
  <c r="X256" i="2"/>
  <c r="W256" i="2"/>
  <c r="V256" i="2"/>
  <c r="U256" i="2"/>
  <c r="T256" i="2"/>
  <c r="S256" i="2"/>
  <c r="R256" i="2"/>
  <c r="Q256" i="2"/>
  <c r="P256" i="2"/>
  <c r="O256" i="2"/>
  <c r="N256" i="2"/>
  <c r="M256" i="2"/>
  <c r="L256" i="2"/>
  <c r="K256" i="2"/>
  <c r="J256" i="2"/>
  <c r="I256" i="2"/>
  <c r="H256" i="2"/>
  <c r="G256" i="2"/>
  <c r="F256" i="2"/>
  <c r="E256" i="2"/>
  <c r="D256" i="2"/>
  <c r="C256" i="2"/>
  <c r="B256" i="2"/>
  <c r="A256" i="2"/>
  <c r="BK255" i="2"/>
  <c r="BJ255" i="2"/>
  <c r="BI255" i="2"/>
  <c r="BH255" i="2"/>
  <c r="BG255" i="2"/>
  <c r="BF255" i="2"/>
  <c r="BE255" i="2"/>
  <c r="BD255" i="2"/>
  <c r="BC255" i="2"/>
  <c r="BB255" i="2"/>
  <c r="BA255" i="2"/>
  <c r="AZ255" i="2"/>
  <c r="AY255" i="2"/>
  <c r="AX255" i="2"/>
  <c r="AW255" i="2"/>
  <c r="AV255" i="2"/>
  <c r="AU255" i="2"/>
  <c r="AT255" i="2"/>
  <c r="AS255" i="2"/>
  <c r="AR255" i="2"/>
  <c r="AQ255" i="2"/>
  <c r="AP255" i="2"/>
  <c r="AO255" i="2"/>
  <c r="AN255" i="2"/>
  <c r="AM255" i="2"/>
  <c r="AL255" i="2"/>
  <c r="AK255" i="2"/>
  <c r="AJ255" i="2"/>
  <c r="AI255" i="2"/>
  <c r="AH255" i="2"/>
  <c r="AG255" i="2"/>
  <c r="AF255" i="2"/>
  <c r="AE255" i="2"/>
  <c r="AD255" i="2"/>
  <c r="AC255" i="2"/>
  <c r="AB255" i="2"/>
  <c r="AA255" i="2"/>
  <c r="Z255" i="2"/>
  <c r="Y255" i="2"/>
  <c r="X255" i="2"/>
  <c r="W255" i="2"/>
  <c r="V255" i="2"/>
  <c r="U255" i="2"/>
  <c r="T255" i="2"/>
  <c r="S255" i="2"/>
  <c r="R255" i="2"/>
  <c r="Q255" i="2"/>
  <c r="P255" i="2"/>
  <c r="O255" i="2"/>
  <c r="N255" i="2"/>
  <c r="M255" i="2"/>
  <c r="L255" i="2"/>
  <c r="K255" i="2"/>
  <c r="J255" i="2"/>
  <c r="I255" i="2"/>
  <c r="H255" i="2"/>
  <c r="G255" i="2"/>
  <c r="F255" i="2"/>
  <c r="E255" i="2"/>
  <c r="D255" i="2"/>
  <c r="C255" i="2"/>
  <c r="B255" i="2"/>
  <c r="A255" i="2"/>
  <c r="BK254" i="2"/>
  <c r="BJ254" i="2"/>
  <c r="BI254" i="2"/>
  <c r="BH254" i="2"/>
  <c r="BG254" i="2"/>
  <c r="BF254" i="2"/>
  <c r="BE254" i="2"/>
  <c r="BD254" i="2"/>
  <c r="BC254" i="2"/>
  <c r="BB254" i="2"/>
  <c r="BA254" i="2"/>
  <c r="AZ254" i="2"/>
  <c r="AY254" i="2"/>
  <c r="AX254" i="2"/>
  <c r="AW254" i="2"/>
  <c r="AV254" i="2"/>
  <c r="AU254" i="2"/>
  <c r="AT254" i="2"/>
  <c r="AS254" i="2"/>
  <c r="AR254" i="2"/>
  <c r="AQ254" i="2"/>
  <c r="AP254" i="2"/>
  <c r="AO254" i="2"/>
  <c r="AN254" i="2"/>
  <c r="AM254" i="2"/>
  <c r="AL254" i="2"/>
  <c r="AK254" i="2"/>
  <c r="AJ254" i="2"/>
  <c r="AI254" i="2"/>
  <c r="AH254" i="2"/>
  <c r="AG254" i="2"/>
  <c r="AF254" i="2"/>
  <c r="AE254" i="2"/>
  <c r="AD254" i="2"/>
  <c r="AC254" i="2"/>
  <c r="AB254" i="2"/>
  <c r="AA254" i="2"/>
  <c r="Z254" i="2"/>
  <c r="Y254" i="2"/>
  <c r="X254" i="2"/>
  <c r="W254" i="2"/>
  <c r="V254" i="2"/>
  <c r="U254" i="2"/>
  <c r="T254" i="2"/>
  <c r="S254" i="2"/>
  <c r="R254" i="2"/>
  <c r="Q254" i="2"/>
  <c r="P254" i="2"/>
  <c r="O254" i="2"/>
  <c r="N254" i="2"/>
  <c r="M254" i="2"/>
  <c r="L254" i="2"/>
  <c r="K254" i="2"/>
  <c r="J254" i="2"/>
  <c r="I254" i="2"/>
  <c r="H254" i="2"/>
  <c r="G254" i="2"/>
  <c r="F254" i="2"/>
  <c r="E254" i="2"/>
  <c r="D254" i="2"/>
  <c r="C254" i="2"/>
  <c r="B254" i="2"/>
  <c r="A254" i="2"/>
  <c r="BK253" i="2"/>
  <c r="BJ253" i="2"/>
  <c r="BI253" i="2"/>
  <c r="BH253" i="2"/>
  <c r="BG253" i="2"/>
  <c r="BF253" i="2"/>
  <c r="BE253" i="2"/>
  <c r="BD253" i="2"/>
  <c r="BC253" i="2"/>
  <c r="BB253" i="2"/>
  <c r="BA253" i="2"/>
  <c r="AZ253" i="2"/>
  <c r="AY253" i="2"/>
  <c r="AX253" i="2"/>
  <c r="AW253" i="2"/>
  <c r="AV253" i="2"/>
  <c r="AU253" i="2"/>
  <c r="AT253" i="2"/>
  <c r="AS253" i="2"/>
  <c r="AR253" i="2"/>
  <c r="AQ253" i="2"/>
  <c r="AP253" i="2"/>
  <c r="AO253" i="2"/>
  <c r="AN253" i="2"/>
  <c r="AM253" i="2"/>
  <c r="AL253" i="2"/>
  <c r="AK253" i="2"/>
  <c r="AJ253" i="2"/>
  <c r="AI253" i="2"/>
  <c r="AH253" i="2"/>
  <c r="AG253" i="2"/>
  <c r="AF253" i="2"/>
  <c r="AE253" i="2"/>
  <c r="AD253" i="2"/>
  <c r="AC253" i="2"/>
  <c r="AB253" i="2"/>
  <c r="AA253" i="2"/>
  <c r="Z253" i="2"/>
  <c r="Y253" i="2"/>
  <c r="X253" i="2"/>
  <c r="W253" i="2"/>
  <c r="V253" i="2"/>
  <c r="U253" i="2"/>
  <c r="T253" i="2"/>
  <c r="S253" i="2"/>
  <c r="R253" i="2"/>
  <c r="Q253" i="2"/>
  <c r="P253" i="2"/>
  <c r="O253" i="2"/>
  <c r="N253" i="2"/>
  <c r="M253" i="2"/>
  <c r="L253" i="2"/>
  <c r="K253" i="2"/>
  <c r="J253" i="2"/>
  <c r="I253" i="2"/>
  <c r="H253" i="2"/>
  <c r="G253" i="2"/>
  <c r="F253" i="2"/>
  <c r="E253" i="2"/>
  <c r="D253" i="2"/>
  <c r="C253" i="2"/>
  <c r="B253" i="2"/>
  <c r="A253" i="2"/>
  <c r="BK252" i="2"/>
  <c r="BJ252" i="2"/>
  <c r="BI252" i="2"/>
  <c r="BH252" i="2"/>
  <c r="BG252" i="2"/>
  <c r="BF252" i="2"/>
  <c r="BE252" i="2"/>
  <c r="BD252" i="2"/>
  <c r="BC252" i="2"/>
  <c r="BB252" i="2"/>
  <c r="BA252" i="2"/>
  <c r="AZ252" i="2"/>
  <c r="AY252" i="2"/>
  <c r="AX252" i="2"/>
  <c r="AW252" i="2"/>
  <c r="AV252" i="2"/>
  <c r="AU252" i="2"/>
  <c r="AT252" i="2"/>
  <c r="AS252" i="2"/>
  <c r="AR252" i="2"/>
  <c r="AQ252" i="2"/>
  <c r="AP252" i="2"/>
  <c r="AO252" i="2"/>
  <c r="AN252" i="2"/>
  <c r="AM252" i="2"/>
  <c r="AL252" i="2"/>
  <c r="AK252" i="2"/>
  <c r="AJ252" i="2"/>
  <c r="AI252" i="2"/>
  <c r="AH252" i="2"/>
  <c r="AG252" i="2"/>
  <c r="AF252" i="2"/>
  <c r="AE252" i="2"/>
  <c r="AD252" i="2"/>
  <c r="AC252" i="2"/>
  <c r="AB252" i="2"/>
  <c r="AA252" i="2"/>
  <c r="Z252" i="2"/>
  <c r="Y252" i="2"/>
  <c r="X252" i="2"/>
  <c r="W252" i="2"/>
  <c r="V252" i="2"/>
  <c r="U252" i="2"/>
  <c r="T252" i="2"/>
  <c r="S252" i="2"/>
  <c r="R252" i="2"/>
  <c r="Q252" i="2"/>
  <c r="P252" i="2"/>
  <c r="O252" i="2"/>
  <c r="N252" i="2"/>
  <c r="M252" i="2"/>
  <c r="L252" i="2"/>
  <c r="K252" i="2"/>
  <c r="J252" i="2"/>
  <c r="I252" i="2"/>
  <c r="H252" i="2"/>
  <c r="G252" i="2"/>
  <c r="F252" i="2"/>
  <c r="E252" i="2"/>
  <c r="D252" i="2"/>
  <c r="C252" i="2"/>
  <c r="B252" i="2"/>
  <c r="A252" i="2"/>
  <c r="BK251" i="2"/>
  <c r="BJ251" i="2"/>
  <c r="BI251" i="2"/>
  <c r="BH251" i="2"/>
  <c r="BG251" i="2"/>
  <c r="BF251" i="2"/>
  <c r="BE251" i="2"/>
  <c r="BD251" i="2"/>
  <c r="BC251" i="2"/>
  <c r="BB251" i="2"/>
  <c r="BA251" i="2"/>
  <c r="AZ251" i="2"/>
  <c r="AY251" i="2"/>
  <c r="AX251" i="2"/>
  <c r="AW251" i="2"/>
  <c r="AV251" i="2"/>
  <c r="AU251" i="2"/>
  <c r="AT251" i="2"/>
  <c r="AS251" i="2"/>
  <c r="AR251" i="2"/>
  <c r="AQ251" i="2"/>
  <c r="AP251" i="2"/>
  <c r="AO251" i="2"/>
  <c r="AN251" i="2"/>
  <c r="AM251" i="2"/>
  <c r="AL251" i="2"/>
  <c r="AK251" i="2"/>
  <c r="AJ251" i="2"/>
  <c r="AI251" i="2"/>
  <c r="AH251" i="2"/>
  <c r="AG251" i="2"/>
  <c r="AF251" i="2"/>
  <c r="AE251" i="2"/>
  <c r="AD251" i="2"/>
  <c r="AC251" i="2"/>
  <c r="AB251" i="2"/>
  <c r="AA251" i="2"/>
  <c r="Z251" i="2"/>
  <c r="Y251" i="2"/>
  <c r="X251" i="2"/>
  <c r="W251" i="2"/>
  <c r="V251" i="2"/>
  <c r="U251" i="2"/>
  <c r="T251" i="2"/>
  <c r="S251" i="2"/>
  <c r="R251" i="2"/>
  <c r="Q251" i="2"/>
  <c r="P251" i="2"/>
  <c r="O251" i="2"/>
  <c r="N251" i="2"/>
  <c r="M251" i="2"/>
  <c r="L251" i="2"/>
  <c r="K251" i="2"/>
  <c r="J251" i="2"/>
  <c r="I251" i="2"/>
  <c r="H251" i="2"/>
  <c r="G251" i="2"/>
  <c r="F251" i="2"/>
  <c r="E251" i="2"/>
  <c r="D251" i="2"/>
  <c r="C251" i="2"/>
  <c r="B251" i="2"/>
  <c r="A251" i="2"/>
  <c r="BK250" i="2"/>
  <c r="BJ250" i="2"/>
  <c r="BI250" i="2"/>
  <c r="BH250" i="2"/>
  <c r="BG250" i="2"/>
  <c r="BF250" i="2"/>
  <c r="BE250" i="2"/>
  <c r="BD250" i="2"/>
  <c r="BC250" i="2"/>
  <c r="BB250" i="2"/>
  <c r="BA250" i="2"/>
  <c r="AZ250" i="2"/>
  <c r="AY250" i="2"/>
  <c r="AX250" i="2"/>
  <c r="AW250" i="2"/>
  <c r="AV250" i="2"/>
  <c r="AU250" i="2"/>
  <c r="AT250" i="2"/>
  <c r="AS250" i="2"/>
  <c r="AR250" i="2"/>
  <c r="AQ250" i="2"/>
  <c r="AP250" i="2"/>
  <c r="AO250" i="2"/>
  <c r="AN250" i="2"/>
  <c r="AM250" i="2"/>
  <c r="AL250" i="2"/>
  <c r="AK250" i="2"/>
  <c r="AJ250" i="2"/>
  <c r="AI250" i="2"/>
  <c r="AH250" i="2"/>
  <c r="AG250" i="2"/>
  <c r="AF250" i="2"/>
  <c r="AE250" i="2"/>
  <c r="AD250" i="2"/>
  <c r="AC250" i="2"/>
  <c r="AB250" i="2"/>
  <c r="AA250" i="2"/>
  <c r="Z250" i="2"/>
  <c r="Y250" i="2"/>
  <c r="X250" i="2"/>
  <c r="W250" i="2"/>
  <c r="V250" i="2"/>
  <c r="U250" i="2"/>
  <c r="T250" i="2"/>
  <c r="S250" i="2"/>
  <c r="R250" i="2"/>
  <c r="Q250" i="2"/>
  <c r="P250" i="2"/>
  <c r="O250" i="2"/>
  <c r="N250" i="2"/>
  <c r="M250" i="2"/>
  <c r="L250" i="2"/>
  <c r="K250" i="2"/>
  <c r="J250" i="2"/>
  <c r="I250" i="2"/>
  <c r="H250" i="2"/>
  <c r="G250" i="2"/>
  <c r="F250" i="2"/>
  <c r="E250" i="2"/>
  <c r="D250" i="2"/>
  <c r="C250" i="2"/>
  <c r="B250" i="2"/>
  <c r="A250" i="2"/>
  <c r="BK249" i="2"/>
  <c r="BJ249" i="2"/>
  <c r="BI249" i="2"/>
  <c r="BH249" i="2"/>
  <c r="BG249" i="2"/>
  <c r="BF249" i="2"/>
  <c r="BE249" i="2"/>
  <c r="BD249" i="2"/>
  <c r="BC249" i="2"/>
  <c r="BB249" i="2"/>
  <c r="BA249" i="2"/>
  <c r="AZ249" i="2"/>
  <c r="AY249" i="2"/>
  <c r="AX249" i="2"/>
  <c r="AW249" i="2"/>
  <c r="AV249" i="2"/>
  <c r="AU249" i="2"/>
  <c r="AT249" i="2"/>
  <c r="AS249" i="2"/>
  <c r="AR249" i="2"/>
  <c r="AQ249" i="2"/>
  <c r="AP249" i="2"/>
  <c r="AO249" i="2"/>
  <c r="AN249" i="2"/>
  <c r="AM249" i="2"/>
  <c r="AL249" i="2"/>
  <c r="AK249" i="2"/>
  <c r="AJ249" i="2"/>
  <c r="AI249" i="2"/>
  <c r="AH249" i="2"/>
  <c r="AG249" i="2"/>
  <c r="AF249" i="2"/>
  <c r="AE249" i="2"/>
  <c r="AD249" i="2"/>
  <c r="AC249" i="2"/>
  <c r="AB249" i="2"/>
  <c r="AA249" i="2"/>
  <c r="Z249" i="2"/>
  <c r="Y249" i="2"/>
  <c r="X249" i="2"/>
  <c r="W249" i="2"/>
  <c r="V249" i="2"/>
  <c r="U249" i="2"/>
  <c r="T249" i="2"/>
  <c r="S249" i="2"/>
  <c r="R249" i="2"/>
  <c r="Q249" i="2"/>
  <c r="P249" i="2"/>
  <c r="O249" i="2"/>
  <c r="N249" i="2"/>
  <c r="M249" i="2"/>
  <c r="L249" i="2"/>
  <c r="K249" i="2"/>
  <c r="J249" i="2"/>
  <c r="I249" i="2"/>
  <c r="H249" i="2"/>
  <c r="G249" i="2"/>
  <c r="F249" i="2"/>
  <c r="E249" i="2"/>
  <c r="D249" i="2"/>
  <c r="C249" i="2"/>
  <c r="B249" i="2"/>
  <c r="A249" i="2"/>
  <c r="BK248" i="2"/>
  <c r="BJ248" i="2"/>
  <c r="BI248" i="2"/>
  <c r="BH248" i="2"/>
  <c r="BG248" i="2"/>
  <c r="BF248" i="2"/>
  <c r="BE248" i="2"/>
  <c r="BD248" i="2"/>
  <c r="BC248" i="2"/>
  <c r="BB248" i="2"/>
  <c r="BA248" i="2"/>
  <c r="AZ248" i="2"/>
  <c r="AY248" i="2"/>
  <c r="AX248" i="2"/>
  <c r="AW248" i="2"/>
  <c r="AV248" i="2"/>
  <c r="AU248" i="2"/>
  <c r="AT248" i="2"/>
  <c r="AS248" i="2"/>
  <c r="AR248" i="2"/>
  <c r="AQ248" i="2"/>
  <c r="AP248" i="2"/>
  <c r="AO248" i="2"/>
  <c r="AN248" i="2"/>
  <c r="AM248" i="2"/>
  <c r="AL248" i="2"/>
  <c r="AK248" i="2"/>
  <c r="AJ248" i="2"/>
  <c r="AI248" i="2"/>
  <c r="AH248" i="2"/>
  <c r="AG248" i="2"/>
  <c r="AF248" i="2"/>
  <c r="AE248" i="2"/>
  <c r="AD248" i="2"/>
  <c r="AC248" i="2"/>
  <c r="AB248" i="2"/>
  <c r="AA248" i="2"/>
  <c r="Z248" i="2"/>
  <c r="Y248" i="2"/>
  <c r="X248" i="2"/>
  <c r="W248" i="2"/>
  <c r="V248" i="2"/>
  <c r="U248" i="2"/>
  <c r="T248" i="2"/>
  <c r="S248" i="2"/>
  <c r="R248" i="2"/>
  <c r="Q248" i="2"/>
  <c r="P248" i="2"/>
  <c r="O248" i="2"/>
  <c r="N248" i="2"/>
  <c r="M248" i="2"/>
  <c r="L248" i="2"/>
  <c r="K248" i="2"/>
  <c r="J248" i="2"/>
  <c r="I248" i="2"/>
  <c r="H248" i="2"/>
  <c r="G248" i="2"/>
  <c r="F248" i="2"/>
  <c r="E248" i="2"/>
  <c r="D248" i="2"/>
  <c r="C248" i="2"/>
  <c r="B248" i="2"/>
  <c r="A248" i="2"/>
  <c r="BK247" i="2"/>
  <c r="BJ247" i="2"/>
  <c r="BI247" i="2"/>
  <c r="BH247" i="2"/>
  <c r="BG247" i="2"/>
  <c r="BF247" i="2"/>
  <c r="BE247" i="2"/>
  <c r="BD247" i="2"/>
  <c r="BC247" i="2"/>
  <c r="BB247" i="2"/>
  <c r="BA247" i="2"/>
  <c r="AZ247" i="2"/>
  <c r="AY247" i="2"/>
  <c r="AX247" i="2"/>
  <c r="AW247" i="2"/>
  <c r="AV247" i="2"/>
  <c r="AU247" i="2"/>
  <c r="AT247" i="2"/>
  <c r="AS247" i="2"/>
  <c r="AR247" i="2"/>
  <c r="AQ247" i="2"/>
  <c r="AP247" i="2"/>
  <c r="AO247" i="2"/>
  <c r="AN247" i="2"/>
  <c r="AM247" i="2"/>
  <c r="AL247" i="2"/>
  <c r="AK247" i="2"/>
  <c r="AJ247" i="2"/>
  <c r="AI247" i="2"/>
  <c r="AH247" i="2"/>
  <c r="AG247" i="2"/>
  <c r="AF247" i="2"/>
  <c r="AE247" i="2"/>
  <c r="AD247" i="2"/>
  <c r="AC247" i="2"/>
  <c r="AB247" i="2"/>
  <c r="AA247" i="2"/>
  <c r="Z247" i="2"/>
  <c r="Y247" i="2"/>
  <c r="X247" i="2"/>
  <c r="W247" i="2"/>
  <c r="V247" i="2"/>
  <c r="U247" i="2"/>
  <c r="T247" i="2"/>
  <c r="S247" i="2"/>
  <c r="R247" i="2"/>
  <c r="Q247" i="2"/>
  <c r="P247" i="2"/>
  <c r="O247" i="2"/>
  <c r="N247" i="2"/>
  <c r="M247" i="2"/>
  <c r="L247" i="2"/>
  <c r="K247" i="2"/>
  <c r="J247" i="2"/>
  <c r="I247" i="2"/>
  <c r="H247" i="2"/>
  <c r="G247" i="2"/>
  <c r="F247" i="2"/>
  <c r="E247" i="2"/>
  <c r="D247" i="2"/>
  <c r="C247" i="2"/>
  <c r="B247" i="2"/>
  <c r="A247" i="2"/>
  <c r="BK246" i="2"/>
  <c r="BJ246" i="2"/>
  <c r="BI246" i="2"/>
  <c r="BH246" i="2"/>
  <c r="BG246" i="2"/>
  <c r="BF246" i="2"/>
  <c r="BE246" i="2"/>
  <c r="BD246" i="2"/>
  <c r="BC246" i="2"/>
  <c r="BB246" i="2"/>
  <c r="BA246" i="2"/>
  <c r="AZ246" i="2"/>
  <c r="AY246" i="2"/>
  <c r="AX246" i="2"/>
  <c r="AW246" i="2"/>
  <c r="AV246" i="2"/>
  <c r="AU246" i="2"/>
  <c r="AT246" i="2"/>
  <c r="AS246" i="2"/>
  <c r="AR246" i="2"/>
  <c r="AQ246" i="2"/>
  <c r="AP246" i="2"/>
  <c r="AO246" i="2"/>
  <c r="AN246" i="2"/>
  <c r="AM246" i="2"/>
  <c r="AL246" i="2"/>
  <c r="AK246" i="2"/>
  <c r="AJ246" i="2"/>
  <c r="AI246" i="2"/>
  <c r="AH246" i="2"/>
  <c r="AG246" i="2"/>
  <c r="AF246" i="2"/>
  <c r="AE246" i="2"/>
  <c r="AD246" i="2"/>
  <c r="AC246" i="2"/>
  <c r="AB246" i="2"/>
  <c r="AA246" i="2"/>
  <c r="Z246" i="2"/>
  <c r="Y246" i="2"/>
  <c r="X246" i="2"/>
  <c r="W246" i="2"/>
  <c r="V246" i="2"/>
  <c r="U246" i="2"/>
  <c r="T246" i="2"/>
  <c r="S246" i="2"/>
  <c r="R246" i="2"/>
  <c r="Q246" i="2"/>
  <c r="P246" i="2"/>
  <c r="O246" i="2"/>
  <c r="N246" i="2"/>
  <c r="M246" i="2"/>
  <c r="L246" i="2"/>
  <c r="K246" i="2"/>
  <c r="J246" i="2"/>
  <c r="I246" i="2"/>
  <c r="H246" i="2"/>
  <c r="G246" i="2"/>
  <c r="F246" i="2"/>
  <c r="E246" i="2"/>
  <c r="D246" i="2"/>
  <c r="C246" i="2"/>
  <c r="B246" i="2"/>
  <c r="A246" i="2"/>
  <c r="BK245" i="2"/>
  <c r="BJ245" i="2"/>
  <c r="BI245" i="2"/>
  <c r="BH245" i="2"/>
  <c r="BG245" i="2"/>
  <c r="BF245" i="2"/>
  <c r="BE245" i="2"/>
  <c r="BD245" i="2"/>
  <c r="BC245" i="2"/>
  <c r="BB245" i="2"/>
  <c r="BA245" i="2"/>
  <c r="AZ245" i="2"/>
  <c r="AY245" i="2"/>
  <c r="AX245" i="2"/>
  <c r="AW245" i="2"/>
  <c r="AV245" i="2"/>
  <c r="AU245" i="2"/>
  <c r="AT245" i="2"/>
  <c r="AS245" i="2"/>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S245" i="2"/>
  <c r="R245" i="2"/>
  <c r="Q245" i="2"/>
  <c r="P245" i="2"/>
  <c r="O245" i="2"/>
  <c r="N245" i="2"/>
  <c r="M245" i="2"/>
  <c r="L245" i="2"/>
  <c r="K245" i="2"/>
  <c r="J245" i="2"/>
  <c r="I245" i="2"/>
  <c r="H245" i="2"/>
  <c r="G245" i="2"/>
  <c r="F245" i="2"/>
  <c r="E245" i="2"/>
  <c r="D245" i="2"/>
  <c r="C245" i="2"/>
  <c r="B245" i="2"/>
  <c r="A245" i="2"/>
  <c r="BK244" i="2"/>
  <c r="BJ244" i="2"/>
  <c r="BI244" i="2"/>
  <c r="BH244" i="2"/>
  <c r="BG244" i="2"/>
  <c r="BF244" i="2"/>
  <c r="BE244" i="2"/>
  <c r="BD244" i="2"/>
  <c r="BC244" i="2"/>
  <c r="BB244" i="2"/>
  <c r="BA244" i="2"/>
  <c r="AZ244" i="2"/>
  <c r="AY244" i="2"/>
  <c r="AX244" i="2"/>
  <c r="AW244" i="2"/>
  <c r="AV244" i="2"/>
  <c r="AU244" i="2"/>
  <c r="AT244" i="2"/>
  <c r="AS244" i="2"/>
  <c r="AR244" i="2"/>
  <c r="AQ244" i="2"/>
  <c r="AP244" i="2"/>
  <c r="AO244" i="2"/>
  <c r="AN244" i="2"/>
  <c r="AM244" i="2"/>
  <c r="AL244" i="2"/>
  <c r="AK244" i="2"/>
  <c r="AJ244" i="2"/>
  <c r="AI244" i="2"/>
  <c r="AH244" i="2"/>
  <c r="AG244" i="2"/>
  <c r="AF244" i="2"/>
  <c r="AE244" i="2"/>
  <c r="AD244" i="2"/>
  <c r="AC244" i="2"/>
  <c r="AB244" i="2"/>
  <c r="AA244" i="2"/>
  <c r="Z244" i="2"/>
  <c r="Y244" i="2"/>
  <c r="X244" i="2"/>
  <c r="W244" i="2"/>
  <c r="V244" i="2"/>
  <c r="U244" i="2"/>
  <c r="T244" i="2"/>
  <c r="S244" i="2"/>
  <c r="R244" i="2"/>
  <c r="Q244" i="2"/>
  <c r="P244" i="2"/>
  <c r="O244" i="2"/>
  <c r="N244" i="2"/>
  <c r="M244" i="2"/>
  <c r="L244" i="2"/>
  <c r="K244" i="2"/>
  <c r="J244" i="2"/>
  <c r="I244" i="2"/>
  <c r="H244" i="2"/>
  <c r="G244" i="2"/>
  <c r="F244" i="2"/>
  <c r="E244" i="2"/>
  <c r="D244" i="2"/>
  <c r="C244" i="2"/>
  <c r="B244" i="2"/>
  <c r="A244" i="2"/>
  <c r="BK243" i="2"/>
  <c r="BJ243" i="2"/>
  <c r="BI243" i="2"/>
  <c r="BH243" i="2"/>
  <c r="BG243" i="2"/>
  <c r="BF243" i="2"/>
  <c r="BE243" i="2"/>
  <c r="BD243" i="2"/>
  <c r="BC243" i="2"/>
  <c r="BB243" i="2"/>
  <c r="BA243" i="2"/>
  <c r="AZ243" i="2"/>
  <c r="AY243" i="2"/>
  <c r="AX243" i="2"/>
  <c r="AW243" i="2"/>
  <c r="AV243" i="2"/>
  <c r="AU243" i="2"/>
  <c r="AT243" i="2"/>
  <c r="AS243" i="2"/>
  <c r="AR243" i="2"/>
  <c r="AQ243" i="2"/>
  <c r="AP243" i="2"/>
  <c r="AO243" i="2"/>
  <c r="AN243" i="2"/>
  <c r="AM243" i="2"/>
  <c r="AL243" i="2"/>
  <c r="AK243" i="2"/>
  <c r="AJ243" i="2"/>
  <c r="AI243" i="2"/>
  <c r="AH243" i="2"/>
  <c r="AG243" i="2"/>
  <c r="AF243" i="2"/>
  <c r="AE243" i="2"/>
  <c r="AD243" i="2"/>
  <c r="AC243" i="2"/>
  <c r="AB243" i="2"/>
  <c r="AA243" i="2"/>
  <c r="Z243" i="2"/>
  <c r="Y243" i="2"/>
  <c r="X243" i="2"/>
  <c r="W243" i="2"/>
  <c r="V243" i="2"/>
  <c r="U243" i="2"/>
  <c r="T243" i="2"/>
  <c r="S243" i="2"/>
  <c r="R243" i="2"/>
  <c r="Q243" i="2"/>
  <c r="P243" i="2"/>
  <c r="O243" i="2"/>
  <c r="N243" i="2"/>
  <c r="M243" i="2"/>
  <c r="L243" i="2"/>
  <c r="K243" i="2"/>
  <c r="J243" i="2"/>
  <c r="I243" i="2"/>
  <c r="H243" i="2"/>
  <c r="G243" i="2"/>
  <c r="F243" i="2"/>
  <c r="E243" i="2"/>
  <c r="D243" i="2"/>
  <c r="C243" i="2"/>
  <c r="B243" i="2"/>
  <c r="A243" i="2"/>
  <c r="BK242" i="2"/>
  <c r="BJ242" i="2"/>
  <c r="BI242" i="2"/>
  <c r="BH242" i="2"/>
  <c r="BG242" i="2"/>
  <c r="BF242" i="2"/>
  <c r="BE242" i="2"/>
  <c r="BD242" i="2"/>
  <c r="BC242" i="2"/>
  <c r="BB242" i="2"/>
  <c r="BA242" i="2"/>
  <c r="AZ242" i="2"/>
  <c r="AY242" i="2"/>
  <c r="AX242" i="2"/>
  <c r="AW242" i="2"/>
  <c r="AV242" i="2"/>
  <c r="AU242" i="2"/>
  <c r="AT242" i="2"/>
  <c r="AS242" i="2"/>
  <c r="AR242" i="2"/>
  <c r="AQ242" i="2"/>
  <c r="AP242" i="2"/>
  <c r="AO242" i="2"/>
  <c r="AN242" i="2"/>
  <c r="AM242" i="2"/>
  <c r="AL242" i="2"/>
  <c r="AK242" i="2"/>
  <c r="AJ242" i="2"/>
  <c r="AI242" i="2"/>
  <c r="AH242" i="2"/>
  <c r="AG242" i="2"/>
  <c r="AF242" i="2"/>
  <c r="AE242" i="2"/>
  <c r="AD242" i="2"/>
  <c r="AC242" i="2"/>
  <c r="AB242" i="2"/>
  <c r="AA242" i="2"/>
  <c r="Z242" i="2"/>
  <c r="Y242" i="2"/>
  <c r="X242" i="2"/>
  <c r="W242" i="2"/>
  <c r="V242" i="2"/>
  <c r="U242" i="2"/>
  <c r="T242" i="2"/>
  <c r="S242" i="2"/>
  <c r="R242" i="2"/>
  <c r="Q242" i="2"/>
  <c r="P242" i="2"/>
  <c r="O242" i="2"/>
  <c r="N242" i="2"/>
  <c r="M242" i="2"/>
  <c r="L242" i="2"/>
  <c r="K242" i="2"/>
  <c r="J242" i="2"/>
  <c r="I242" i="2"/>
  <c r="H242" i="2"/>
  <c r="G242" i="2"/>
  <c r="F242" i="2"/>
  <c r="E242" i="2"/>
  <c r="D242" i="2"/>
  <c r="C242" i="2"/>
  <c r="B242" i="2"/>
  <c r="A242" i="2"/>
  <c r="BK241" i="2"/>
  <c r="BJ241" i="2"/>
  <c r="BI241" i="2"/>
  <c r="BH241" i="2"/>
  <c r="BG241" i="2"/>
  <c r="BF241" i="2"/>
  <c r="BE241" i="2"/>
  <c r="BD241" i="2"/>
  <c r="BC241" i="2"/>
  <c r="BB241" i="2"/>
  <c r="BA241" i="2"/>
  <c r="AZ241" i="2"/>
  <c r="AY241" i="2"/>
  <c r="AX241" i="2"/>
  <c r="AW241" i="2"/>
  <c r="AV241" i="2"/>
  <c r="AU241" i="2"/>
  <c r="AT241" i="2"/>
  <c r="AS241" i="2"/>
  <c r="AR241" i="2"/>
  <c r="AQ241" i="2"/>
  <c r="AP241" i="2"/>
  <c r="AO241" i="2"/>
  <c r="AN241" i="2"/>
  <c r="AM241" i="2"/>
  <c r="AL241" i="2"/>
  <c r="AK241" i="2"/>
  <c r="AJ241" i="2"/>
  <c r="AI241" i="2"/>
  <c r="AH241" i="2"/>
  <c r="AG241" i="2"/>
  <c r="AF241" i="2"/>
  <c r="AE241" i="2"/>
  <c r="AD241" i="2"/>
  <c r="AC241" i="2"/>
  <c r="AB241" i="2"/>
  <c r="AA241" i="2"/>
  <c r="Z241" i="2"/>
  <c r="Y241" i="2"/>
  <c r="X241" i="2"/>
  <c r="W241" i="2"/>
  <c r="V241" i="2"/>
  <c r="U241" i="2"/>
  <c r="T241" i="2"/>
  <c r="S241" i="2"/>
  <c r="R241" i="2"/>
  <c r="Q241" i="2"/>
  <c r="P241" i="2"/>
  <c r="O241" i="2"/>
  <c r="N241" i="2"/>
  <c r="M241" i="2"/>
  <c r="L241" i="2"/>
  <c r="K241" i="2"/>
  <c r="J241" i="2"/>
  <c r="I241" i="2"/>
  <c r="H241" i="2"/>
  <c r="G241" i="2"/>
  <c r="F241" i="2"/>
  <c r="E241" i="2"/>
  <c r="D241" i="2"/>
  <c r="C241" i="2"/>
  <c r="B241" i="2"/>
  <c r="A241" i="2"/>
  <c r="BK240" i="2"/>
  <c r="BJ240" i="2"/>
  <c r="BI240" i="2"/>
  <c r="BH240" i="2"/>
  <c r="BG240" i="2"/>
  <c r="BF240" i="2"/>
  <c r="BE240" i="2"/>
  <c r="BD240" i="2"/>
  <c r="BC240" i="2"/>
  <c r="BB240" i="2"/>
  <c r="BA240" i="2"/>
  <c r="AZ240" i="2"/>
  <c r="AY240" i="2"/>
  <c r="AX240" i="2"/>
  <c r="AW240" i="2"/>
  <c r="AV240" i="2"/>
  <c r="AU240" i="2"/>
  <c r="AT240" i="2"/>
  <c r="AS240" i="2"/>
  <c r="AR240" i="2"/>
  <c r="AQ240" i="2"/>
  <c r="AP240" i="2"/>
  <c r="AO240" i="2"/>
  <c r="AN240" i="2"/>
  <c r="AM240" i="2"/>
  <c r="AL240" i="2"/>
  <c r="AK240" i="2"/>
  <c r="AJ240" i="2"/>
  <c r="AI240" i="2"/>
  <c r="AH240" i="2"/>
  <c r="AG240" i="2"/>
  <c r="AF240" i="2"/>
  <c r="AE240" i="2"/>
  <c r="AD240" i="2"/>
  <c r="AC240" i="2"/>
  <c r="AB240" i="2"/>
  <c r="AA240" i="2"/>
  <c r="Z240" i="2"/>
  <c r="Y240" i="2"/>
  <c r="X240" i="2"/>
  <c r="W240" i="2"/>
  <c r="V240" i="2"/>
  <c r="U240" i="2"/>
  <c r="T240" i="2"/>
  <c r="S240" i="2"/>
  <c r="R240" i="2"/>
  <c r="Q240" i="2"/>
  <c r="P240" i="2"/>
  <c r="O240" i="2"/>
  <c r="N240" i="2"/>
  <c r="M240" i="2"/>
  <c r="L240" i="2"/>
  <c r="K240" i="2"/>
  <c r="J240" i="2"/>
  <c r="I240" i="2"/>
  <c r="H240" i="2"/>
  <c r="G240" i="2"/>
  <c r="F240" i="2"/>
  <c r="E240" i="2"/>
  <c r="D240" i="2"/>
  <c r="C240" i="2"/>
  <c r="B240" i="2"/>
  <c r="A240" i="2"/>
  <c r="BK239" i="2"/>
  <c r="BJ239" i="2"/>
  <c r="BI239" i="2"/>
  <c r="BH239" i="2"/>
  <c r="BG239" i="2"/>
  <c r="BF239" i="2"/>
  <c r="BE239" i="2"/>
  <c r="BD239" i="2"/>
  <c r="BC239" i="2"/>
  <c r="BB239" i="2"/>
  <c r="BA239" i="2"/>
  <c r="AZ239" i="2"/>
  <c r="AY239" i="2"/>
  <c r="AX239" i="2"/>
  <c r="AW239" i="2"/>
  <c r="AV239" i="2"/>
  <c r="AU239" i="2"/>
  <c r="AT239" i="2"/>
  <c r="AS239" i="2"/>
  <c r="AR239" i="2"/>
  <c r="AQ239" i="2"/>
  <c r="AP239" i="2"/>
  <c r="AO239" i="2"/>
  <c r="AN239" i="2"/>
  <c r="AM239" i="2"/>
  <c r="AL239" i="2"/>
  <c r="AK239" i="2"/>
  <c r="AJ239" i="2"/>
  <c r="AI239" i="2"/>
  <c r="AH239" i="2"/>
  <c r="AG239" i="2"/>
  <c r="AF239" i="2"/>
  <c r="AE239" i="2"/>
  <c r="AD239" i="2"/>
  <c r="AC239" i="2"/>
  <c r="AB239" i="2"/>
  <c r="AA239" i="2"/>
  <c r="Z239" i="2"/>
  <c r="Y239" i="2"/>
  <c r="X239" i="2"/>
  <c r="W239" i="2"/>
  <c r="V239" i="2"/>
  <c r="U239" i="2"/>
  <c r="T239" i="2"/>
  <c r="S239" i="2"/>
  <c r="R239" i="2"/>
  <c r="Q239" i="2"/>
  <c r="P239" i="2"/>
  <c r="O239" i="2"/>
  <c r="N239" i="2"/>
  <c r="M239" i="2"/>
  <c r="L239" i="2"/>
  <c r="K239" i="2"/>
  <c r="J239" i="2"/>
  <c r="I239" i="2"/>
  <c r="H239" i="2"/>
  <c r="G239" i="2"/>
  <c r="F239" i="2"/>
  <c r="E239" i="2"/>
  <c r="D239" i="2"/>
  <c r="C239" i="2"/>
  <c r="B239" i="2"/>
  <c r="A239" i="2"/>
  <c r="BK238" i="2"/>
  <c r="BJ238" i="2"/>
  <c r="BI238" i="2"/>
  <c r="BH238" i="2"/>
  <c r="BG238" i="2"/>
  <c r="BF238" i="2"/>
  <c r="BE238" i="2"/>
  <c r="BD238" i="2"/>
  <c r="BC238" i="2"/>
  <c r="BB238" i="2"/>
  <c r="BA238" i="2"/>
  <c r="AZ238" i="2"/>
  <c r="AY238" i="2"/>
  <c r="AX238" i="2"/>
  <c r="AW238" i="2"/>
  <c r="AV238" i="2"/>
  <c r="AU238" i="2"/>
  <c r="AT238" i="2"/>
  <c r="AS238" i="2"/>
  <c r="AR238" i="2"/>
  <c r="AQ238" i="2"/>
  <c r="AP238" i="2"/>
  <c r="AO238" i="2"/>
  <c r="AN238" i="2"/>
  <c r="AM238" i="2"/>
  <c r="AL238" i="2"/>
  <c r="AK238" i="2"/>
  <c r="AJ238" i="2"/>
  <c r="AI238" i="2"/>
  <c r="AH238" i="2"/>
  <c r="AG238" i="2"/>
  <c r="AF238" i="2"/>
  <c r="AE238" i="2"/>
  <c r="AD238" i="2"/>
  <c r="AC238" i="2"/>
  <c r="AB238" i="2"/>
  <c r="AA238" i="2"/>
  <c r="Z238" i="2"/>
  <c r="Y238" i="2"/>
  <c r="X238" i="2"/>
  <c r="W238" i="2"/>
  <c r="V238" i="2"/>
  <c r="U238" i="2"/>
  <c r="T238" i="2"/>
  <c r="S238" i="2"/>
  <c r="R238" i="2"/>
  <c r="Q238" i="2"/>
  <c r="P238" i="2"/>
  <c r="O238" i="2"/>
  <c r="N238" i="2"/>
  <c r="M238" i="2"/>
  <c r="L238" i="2"/>
  <c r="K238" i="2"/>
  <c r="J238" i="2"/>
  <c r="I238" i="2"/>
  <c r="H238" i="2"/>
  <c r="G238" i="2"/>
  <c r="F238" i="2"/>
  <c r="E238" i="2"/>
  <c r="D238" i="2"/>
  <c r="C238" i="2"/>
  <c r="B238" i="2"/>
  <c r="A238" i="2"/>
  <c r="BK237" i="2"/>
  <c r="BJ237" i="2"/>
  <c r="BI237" i="2"/>
  <c r="BH237" i="2"/>
  <c r="BG237" i="2"/>
  <c r="BF237" i="2"/>
  <c r="BE237" i="2"/>
  <c r="BD237" i="2"/>
  <c r="BC237" i="2"/>
  <c r="BB237" i="2"/>
  <c r="BA237" i="2"/>
  <c r="AZ237" i="2"/>
  <c r="AY237" i="2"/>
  <c r="AX237" i="2"/>
  <c r="AW237" i="2"/>
  <c r="AV237" i="2"/>
  <c r="AU237" i="2"/>
  <c r="AT237" i="2"/>
  <c r="AS237" i="2"/>
  <c r="AR237" i="2"/>
  <c r="AQ237" i="2"/>
  <c r="AP237" i="2"/>
  <c r="AO237" i="2"/>
  <c r="AN237" i="2"/>
  <c r="AM237" i="2"/>
  <c r="AL237" i="2"/>
  <c r="AK237" i="2"/>
  <c r="AJ237" i="2"/>
  <c r="AI237" i="2"/>
  <c r="AH237" i="2"/>
  <c r="AG237" i="2"/>
  <c r="AF237" i="2"/>
  <c r="AE237" i="2"/>
  <c r="AD237" i="2"/>
  <c r="AC237" i="2"/>
  <c r="AB237" i="2"/>
  <c r="AA237" i="2"/>
  <c r="Z237" i="2"/>
  <c r="Y237" i="2"/>
  <c r="X237" i="2"/>
  <c r="W237" i="2"/>
  <c r="V237" i="2"/>
  <c r="U237" i="2"/>
  <c r="T237" i="2"/>
  <c r="S237" i="2"/>
  <c r="R237" i="2"/>
  <c r="Q237" i="2"/>
  <c r="P237" i="2"/>
  <c r="O237" i="2"/>
  <c r="N237" i="2"/>
  <c r="M237" i="2"/>
  <c r="L237" i="2"/>
  <c r="K237" i="2"/>
  <c r="J237" i="2"/>
  <c r="I237" i="2"/>
  <c r="H237" i="2"/>
  <c r="G237" i="2"/>
  <c r="F237" i="2"/>
  <c r="E237" i="2"/>
  <c r="D237" i="2"/>
  <c r="C237" i="2"/>
  <c r="B237" i="2"/>
  <c r="A237" i="2"/>
  <c r="BK236" i="2"/>
  <c r="BJ236" i="2"/>
  <c r="BI236" i="2"/>
  <c r="BH236" i="2"/>
  <c r="BG236" i="2"/>
  <c r="BF236" i="2"/>
  <c r="BE236" i="2"/>
  <c r="BD236" i="2"/>
  <c r="BC236" i="2"/>
  <c r="BB236" i="2"/>
  <c r="BA236" i="2"/>
  <c r="AZ236" i="2"/>
  <c r="AY236" i="2"/>
  <c r="AX236" i="2"/>
  <c r="AW236" i="2"/>
  <c r="AV236" i="2"/>
  <c r="AU236" i="2"/>
  <c r="AT236" i="2"/>
  <c r="AS236" i="2"/>
  <c r="AR236" i="2"/>
  <c r="AQ236" i="2"/>
  <c r="AP236" i="2"/>
  <c r="AO236" i="2"/>
  <c r="AN236" i="2"/>
  <c r="AM236" i="2"/>
  <c r="AL236" i="2"/>
  <c r="AK236" i="2"/>
  <c r="AJ236" i="2"/>
  <c r="AI236" i="2"/>
  <c r="AH236" i="2"/>
  <c r="AG236" i="2"/>
  <c r="AF236" i="2"/>
  <c r="AE236" i="2"/>
  <c r="AD236" i="2"/>
  <c r="AC236" i="2"/>
  <c r="AB236" i="2"/>
  <c r="AA236" i="2"/>
  <c r="Z236" i="2"/>
  <c r="Y236" i="2"/>
  <c r="X236" i="2"/>
  <c r="W236" i="2"/>
  <c r="V236" i="2"/>
  <c r="U236" i="2"/>
  <c r="T236" i="2"/>
  <c r="S236" i="2"/>
  <c r="R236" i="2"/>
  <c r="Q236" i="2"/>
  <c r="P236" i="2"/>
  <c r="O236" i="2"/>
  <c r="N236" i="2"/>
  <c r="M236" i="2"/>
  <c r="L236" i="2"/>
  <c r="K236" i="2"/>
  <c r="J236" i="2"/>
  <c r="I236" i="2"/>
  <c r="H236" i="2"/>
  <c r="G236" i="2"/>
  <c r="F236" i="2"/>
  <c r="E236" i="2"/>
  <c r="D236" i="2"/>
  <c r="C236" i="2"/>
  <c r="B236" i="2"/>
  <c r="A236" i="2"/>
  <c r="BK235" i="2"/>
  <c r="BJ235" i="2"/>
  <c r="BI235" i="2"/>
  <c r="BH235" i="2"/>
  <c r="BG235" i="2"/>
  <c r="BF235" i="2"/>
  <c r="BE235" i="2"/>
  <c r="BD235" i="2"/>
  <c r="BC235" i="2"/>
  <c r="BB235" i="2"/>
  <c r="BA235" i="2"/>
  <c r="AZ235" i="2"/>
  <c r="AY235" i="2"/>
  <c r="AX235" i="2"/>
  <c r="AW235" i="2"/>
  <c r="AV235" i="2"/>
  <c r="AU235" i="2"/>
  <c r="AT235" i="2"/>
  <c r="AS235" i="2"/>
  <c r="AR235" i="2"/>
  <c r="AQ235" i="2"/>
  <c r="AP235" i="2"/>
  <c r="AO235" i="2"/>
  <c r="AN235" i="2"/>
  <c r="AM235" i="2"/>
  <c r="AL235" i="2"/>
  <c r="AK235" i="2"/>
  <c r="AJ235" i="2"/>
  <c r="AI235" i="2"/>
  <c r="AH235" i="2"/>
  <c r="AG235" i="2"/>
  <c r="AF235" i="2"/>
  <c r="AE235" i="2"/>
  <c r="AD235" i="2"/>
  <c r="AC235" i="2"/>
  <c r="AB235" i="2"/>
  <c r="AA235" i="2"/>
  <c r="Z235" i="2"/>
  <c r="Y235" i="2"/>
  <c r="X235" i="2"/>
  <c r="W235" i="2"/>
  <c r="V235" i="2"/>
  <c r="U235" i="2"/>
  <c r="T235" i="2"/>
  <c r="S235" i="2"/>
  <c r="R235" i="2"/>
  <c r="Q235" i="2"/>
  <c r="P235" i="2"/>
  <c r="O235" i="2"/>
  <c r="N235" i="2"/>
  <c r="M235" i="2"/>
  <c r="L235" i="2"/>
  <c r="K235" i="2"/>
  <c r="J235" i="2"/>
  <c r="I235" i="2"/>
  <c r="H235" i="2"/>
  <c r="G235" i="2"/>
  <c r="F235" i="2"/>
  <c r="E235" i="2"/>
  <c r="D235" i="2"/>
  <c r="C235" i="2"/>
  <c r="B235" i="2"/>
  <c r="A235" i="2"/>
  <c r="BK234" i="2"/>
  <c r="BJ234" i="2"/>
  <c r="BI234" i="2"/>
  <c r="BH234" i="2"/>
  <c r="BG234" i="2"/>
  <c r="BF234" i="2"/>
  <c r="BE234" i="2"/>
  <c r="BD234" i="2"/>
  <c r="BC234" i="2"/>
  <c r="BB234" i="2"/>
  <c r="BA234" i="2"/>
  <c r="AZ234" i="2"/>
  <c r="AY234" i="2"/>
  <c r="AX234" i="2"/>
  <c r="AW234" i="2"/>
  <c r="AV234" i="2"/>
  <c r="AU234" i="2"/>
  <c r="AT234" i="2"/>
  <c r="AS234" i="2"/>
  <c r="AR234" i="2"/>
  <c r="AQ234" i="2"/>
  <c r="AP234" i="2"/>
  <c r="AO234" i="2"/>
  <c r="AN234" i="2"/>
  <c r="AM234" i="2"/>
  <c r="AL234" i="2"/>
  <c r="AK234" i="2"/>
  <c r="AJ234" i="2"/>
  <c r="AI234" i="2"/>
  <c r="AH234" i="2"/>
  <c r="AG234" i="2"/>
  <c r="AF234" i="2"/>
  <c r="AE234" i="2"/>
  <c r="AD234" i="2"/>
  <c r="AC234" i="2"/>
  <c r="AB234" i="2"/>
  <c r="AA234" i="2"/>
  <c r="Z234" i="2"/>
  <c r="Y234" i="2"/>
  <c r="X234" i="2"/>
  <c r="W234" i="2"/>
  <c r="V234" i="2"/>
  <c r="U234" i="2"/>
  <c r="T234" i="2"/>
  <c r="S234" i="2"/>
  <c r="R234" i="2"/>
  <c r="Q234" i="2"/>
  <c r="P234" i="2"/>
  <c r="O234" i="2"/>
  <c r="N234" i="2"/>
  <c r="M234" i="2"/>
  <c r="L234" i="2"/>
  <c r="K234" i="2"/>
  <c r="J234" i="2"/>
  <c r="I234" i="2"/>
  <c r="H234" i="2"/>
  <c r="G234" i="2"/>
  <c r="F234" i="2"/>
  <c r="E234" i="2"/>
  <c r="D234" i="2"/>
  <c r="C234" i="2"/>
  <c r="B234" i="2"/>
  <c r="A234" i="2"/>
  <c r="BK233" i="2"/>
  <c r="BJ233" i="2"/>
  <c r="BI233" i="2"/>
  <c r="BH233" i="2"/>
  <c r="BG233" i="2"/>
  <c r="BF233" i="2"/>
  <c r="BE233" i="2"/>
  <c r="BD233" i="2"/>
  <c r="BC233" i="2"/>
  <c r="BB233" i="2"/>
  <c r="BA233" i="2"/>
  <c r="AZ233" i="2"/>
  <c r="AY233" i="2"/>
  <c r="AX233" i="2"/>
  <c r="AW233" i="2"/>
  <c r="AV233" i="2"/>
  <c r="AU233" i="2"/>
  <c r="AT233" i="2"/>
  <c r="AS233" i="2"/>
  <c r="AR233" i="2"/>
  <c r="AQ233" i="2"/>
  <c r="AP233" i="2"/>
  <c r="AO233" i="2"/>
  <c r="AN233" i="2"/>
  <c r="AM233" i="2"/>
  <c r="AL233" i="2"/>
  <c r="AK233" i="2"/>
  <c r="AJ233" i="2"/>
  <c r="AI233" i="2"/>
  <c r="AH233" i="2"/>
  <c r="AG233" i="2"/>
  <c r="AF233" i="2"/>
  <c r="AE233" i="2"/>
  <c r="AD233" i="2"/>
  <c r="AC233" i="2"/>
  <c r="AB233" i="2"/>
  <c r="AA233" i="2"/>
  <c r="Z233" i="2"/>
  <c r="Y233" i="2"/>
  <c r="X233" i="2"/>
  <c r="W233" i="2"/>
  <c r="V233" i="2"/>
  <c r="U233" i="2"/>
  <c r="T233" i="2"/>
  <c r="S233" i="2"/>
  <c r="R233" i="2"/>
  <c r="Q233" i="2"/>
  <c r="P233" i="2"/>
  <c r="O233" i="2"/>
  <c r="N233" i="2"/>
  <c r="M233" i="2"/>
  <c r="L233" i="2"/>
  <c r="K233" i="2"/>
  <c r="J233" i="2"/>
  <c r="I233" i="2"/>
  <c r="H233" i="2"/>
  <c r="G233" i="2"/>
  <c r="F233" i="2"/>
  <c r="E233" i="2"/>
  <c r="D233" i="2"/>
  <c r="C233" i="2"/>
  <c r="B233" i="2"/>
  <c r="A233" i="2"/>
  <c r="BK232" i="2"/>
  <c r="BJ232" i="2"/>
  <c r="BI232" i="2"/>
  <c r="BH232" i="2"/>
  <c r="BG232" i="2"/>
  <c r="BF232" i="2"/>
  <c r="BE232" i="2"/>
  <c r="BD232" i="2"/>
  <c r="BC232" i="2"/>
  <c r="BB232" i="2"/>
  <c r="BA232" i="2"/>
  <c r="AZ232" i="2"/>
  <c r="AY232" i="2"/>
  <c r="AX232" i="2"/>
  <c r="AW232" i="2"/>
  <c r="AV232" i="2"/>
  <c r="AU232" i="2"/>
  <c r="AT232" i="2"/>
  <c r="AS232" i="2"/>
  <c r="AR232" i="2"/>
  <c r="AQ232" i="2"/>
  <c r="AP232" i="2"/>
  <c r="AO232" i="2"/>
  <c r="AN232" i="2"/>
  <c r="AM232" i="2"/>
  <c r="AL232" i="2"/>
  <c r="AK232" i="2"/>
  <c r="AJ232" i="2"/>
  <c r="AI232" i="2"/>
  <c r="AH232" i="2"/>
  <c r="AG232" i="2"/>
  <c r="AF232" i="2"/>
  <c r="AE232" i="2"/>
  <c r="AD232" i="2"/>
  <c r="AC232" i="2"/>
  <c r="AB232" i="2"/>
  <c r="AA232" i="2"/>
  <c r="Z232" i="2"/>
  <c r="Y232" i="2"/>
  <c r="X232" i="2"/>
  <c r="W232" i="2"/>
  <c r="V232" i="2"/>
  <c r="U232" i="2"/>
  <c r="T232" i="2"/>
  <c r="S232" i="2"/>
  <c r="R232" i="2"/>
  <c r="Q232" i="2"/>
  <c r="P232" i="2"/>
  <c r="O232" i="2"/>
  <c r="N232" i="2"/>
  <c r="M232" i="2"/>
  <c r="L232" i="2"/>
  <c r="K232" i="2"/>
  <c r="J232" i="2"/>
  <c r="I232" i="2"/>
  <c r="H232" i="2"/>
  <c r="G232" i="2"/>
  <c r="F232" i="2"/>
  <c r="E232" i="2"/>
  <c r="D232" i="2"/>
  <c r="C232" i="2"/>
  <c r="B232" i="2"/>
  <c r="A232" i="2"/>
  <c r="BK231" i="2"/>
  <c r="BJ231" i="2"/>
  <c r="BI231" i="2"/>
  <c r="BH231" i="2"/>
  <c r="BG231" i="2"/>
  <c r="BF231" i="2"/>
  <c r="BE231" i="2"/>
  <c r="BD231" i="2"/>
  <c r="BC231" i="2"/>
  <c r="BB231" i="2"/>
  <c r="BA231" i="2"/>
  <c r="AZ231" i="2"/>
  <c r="AY231" i="2"/>
  <c r="AX231" i="2"/>
  <c r="AW231" i="2"/>
  <c r="AV231" i="2"/>
  <c r="AU231" i="2"/>
  <c r="AT231" i="2"/>
  <c r="AS231" i="2"/>
  <c r="AR231" i="2"/>
  <c r="AQ231" i="2"/>
  <c r="AP231" i="2"/>
  <c r="AO231" i="2"/>
  <c r="AN231" i="2"/>
  <c r="AM231" i="2"/>
  <c r="AL231" i="2"/>
  <c r="AK231" i="2"/>
  <c r="AJ231" i="2"/>
  <c r="AI231" i="2"/>
  <c r="AH231" i="2"/>
  <c r="AG231" i="2"/>
  <c r="AF231" i="2"/>
  <c r="AE231" i="2"/>
  <c r="AD231" i="2"/>
  <c r="AC231" i="2"/>
  <c r="AB231" i="2"/>
  <c r="AA231" i="2"/>
  <c r="Z231" i="2"/>
  <c r="Y231" i="2"/>
  <c r="X231" i="2"/>
  <c r="W231" i="2"/>
  <c r="V231" i="2"/>
  <c r="U231" i="2"/>
  <c r="T231" i="2"/>
  <c r="S231" i="2"/>
  <c r="R231" i="2"/>
  <c r="Q231" i="2"/>
  <c r="P231" i="2"/>
  <c r="O231" i="2"/>
  <c r="N231" i="2"/>
  <c r="M231" i="2"/>
  <c r="L231" i="2"/>
  <c r="K231" i="2"/>
  <c r="J231" i="2"/>
  <c r="I231" i="2"/>
  <c r="H231" i="2"/>
  <c r="G231" i="2"/>
  <c r="F231" i="2"/>
  <c r="E231" i="2"/>
  <c r="D231" i="2"/>
  <c r="C231" i="2"/>
  <c r="B231" i="2"/>
  <c r="A231" i="2"/>
  <c r="BK230" i="2"/>
  <c r="BJ230" i="2"/>
  <c r="BI230" i="2"/>
  <c r="BH230" i="2"/>
  <c r="BG230" i="2"/>
  <c r="BF230" i="2"/>
  <c r="BE230" i="2"/>
  <c r="BD230" i="2"/>
  <c r="BC230" i="2"/>
  <c r="BB230" i="2"/>
  <c r="BA230" i="2"/>
  <c r="AZ230" i="2"/>
  <c r="AY230" i="2"/>
  <c r="AX230" i="2"/>
  <c r="AW230" i="2"/>
  <c r="AV230" i="2"/>
  <c r="AU230" i="2"/>
  <c r="AT230" i="2"/>
  <c r="AS230" i="2"/>
  <c r="AR230" i="2"/>
  <c r="AQ230" i="2"/>
  <c r="AP230" i="2"/>
  <c r="AO230" i="2"/>
  <c r="AN230" i="2"/>
  <c r="AM230" i="2"/>
  <c r="AL230" i="2"/>
  <c r="AK230" i="2"/>
  <c r="AJ230" i="2"/>
  <c r="AI230" i="2"/>
  <c r="AH230" i="2"/>
  <c r="AG230" i="2"/>
  <c r="AF230" i="2"/>
  <c r="AE230" i="2"/>
  <c r="AD230" i="2"/>
  <c r="AC230" i="2"/>
  <c r="AB230" i="2"/>
  <c r="AA230" i="2"/>
  <c r="Z230" i="2"/>
  <c r="Y230" i="2"/>
  <c r="X230" i="2"/>
  <c r="W230" i="2"/>
  <c r="V230" i="2"/>
  <c r="U230" i="2"/>
  <c r="T230" i="2"/>
  <c r="S230" i="2"/>
  <c r="R230" i="2"/>
  <c r="Q230" i="2"/>
  <c r="P230" i="2"/>
  <c r="O230" i="2"/>
  <c r="N230" i="2"/>
  <c r="M230" i="2"/>
  <c r="L230" i="2"/>
  <c r="K230" i="2"/>
  <c r="J230" i="2"/>
  <c r="I230" i="2"/>
  <c r="H230" i="2"/>
  <c r="G230" i="2"/>
  <c r="F230" i="2"/>
  <c r="E230" i="2"/>
  <c r="D230" i="2"/>
  <c r="C230" i="2"/>
  <c r="B230" i="2"/>
  <c r="A230" i="2"/>
  <c r="BK229" i="2"/>
  <c r="BJ229" i="2"/>
  <c r="BI229" i="2"/>
  <c r="BH229" i="2"/>
  <c r="BG229" i="2"/>
  <c r="BF229" i="2"/>
  <c r="BE229" i="2"/>
  <c r="BD229" i="2"/>
  <c r="BC229" i="2"/>
  <c r="BB229" i="2"/>
  <c r="BA229" i="2"/>
  <c r="AZ229" i="2"/>
  <c r="AY229" i="2"/>
  <c r="AX229" i="2"/>
  <c r="AW229" i="2"/>
  <c r="AV229" i="2"/>
  <c r="AU229" i="2"/>
  <c r="AT229" i="2"/>
  <c r="AS229" i="2"/>
  <c r="AR229" i="2"/>
  <c r="AQ229" i="2"/>
  <c r="AP229" i="2"/>
  <c r="AO229" i="2"/>
  <c r="AN229" i="2"/>
  <c r="AM229" i="2"/>
  <c r="AL229" i="2"/>
  <c r="AK229" i="2"/>
  <c r="AJ229" i="2"/>
  <c r="AI229" i="2"/>
  <c r="AH229" i="2"/>
  <c r="AG229" i="2"/>
  <c r="AF229" i="2"/>
  <c r="AE229" i="2"/>
  <c r="AD229" i="2"/>
  <c r="AC229" i="2"/>
  <c r="AB229" i="2"/>
  <c r="AA229" i="2"/>
  <c r="Z229" i="2"/>
  <c r="Y229" i="2"/>
  <c r="X229" i="2"/>
  <c r="W229" i="2"/>
  <c r="V229" i="2"/>
  <c r="U229" i="2"/>
  <c r="T229" i="2"/>
  <c r="S229" i="2"/>
  <c r="R229" i="2"/>
  <c r="Q229" i="2"/>
  <c r="P229" i="2"/>
  <c r="O229" i="2"/>
  <c r="N229" i="2"/>
  <c r="M229" i="2"/>
  <c r="L229" i="2"/>
  <c r="K229" i="2"/>
  <c r="J229" i="2"/>
  <c r="I229" i="2"/>
  <c r="H229" i="2"/>
  <c r="G229" i="2"/>
  <c r="F229" i="2"/>
  <c r="E229" i="2"/>
  <c r="D229" i="2"/>
  <c r="C229" i="2"/>
  <c r="B229" i="2"/>
  <c r="A229" i="2"/>
  <c r="BK228" i="2"/>
  <c r="BJ228" i="2"/>
  <c r="BI228" i="2"/>
  <c r="BH228" i="2"/>
  <c r="BG228" i="2"/>
  <c r="BF228" i="2"/>
  <c r="BE228" i="2"/>
  <c r="BD228" i="2"/>
  <c r="BC228" i="2"/>
  <c r="BB228" i="2"/>
  <c r="BA228" i="2"/>
  <c r="AZ228" i="2"/>
  <c r="AY228" i="2"/>
  <c r="AX228" i="2"/>
  <c r="AW228" i="2"/>
  <c r="AV228" i="2"/>
  <c r="AU228" i="2"/>
  <c r="AT228" i="2"/>
  <c r="AS228" i="2"/>
  <c r="AR228" i="2"/>
  <c r="AQ228" i="2"/>
  <c r="AP228" i="2"/>
  <c r="AO228" i="2"/>
  <c r="AN228" i="2"/>
  <c r="AM228" i="2"/>
  <c r="AL228" i="2"/>
  <c r="AK228" i="2"/>
  <c r="AJ228" i="2"/>
  <c r="AI228" i="2"/>
  <c r="AH228" i="2"/>
  <c r="AG228" i="2"/>
  <c r="AF228" i="2"/>
  <c r="AE228" i="2"/>
  <c r="AD228" i="2"/>
  <c r="AC228" i="2"/>
  <c r="AB228" i="2"/>
  <c r="AA228" i="2"/>
  <c r="Z228" i="2"/>
  <c r="Y228" i="2"/>
  <c r="X228" i="2"/>
  <c r="W228" i="2"/>
  <c r="V228" i="2"/>
  <c r="U228" i="2"/>
  <c r="T228" i="2"/>
  <c r="S228" i="2"/>
  <c r="R228" i="2"/>
  <c r="Q228" i="2"/>
  <c r="P228" i="2"/>
  <c r="O228" i="2"/>
  <c r="N228" i="2"/>
  <c r="M228" i="2"/>
  <c r="L228" i="2"/>
  <c r="K228" i="2"/>
  <c r="J228" i="2"/>
  <c r="I228" i="2"/>
  <c r="H228" i="2"/>
  <c r="G228" i="2"/>
  <c r="F228" i="2"/>
  <c r="E228" i="2"/>
  <c r="D228" i="2"/>
  <c r="C228" i="2"/>
  <c r="B228" i="2"/>
  <c r="A228" i="2"/>
  <c r="BK227" i="2"/>
  <c r="BJ227" i="2"/>
  <c r="BI227" i="2"/>
  <c r="BH227" i="2"/>
  <c r="BG227" i="2"/>
  <c r="BF227" i="2"/>
  <c r="BE227" i="2"/>
  <c r="BD227" i="2"/>
  <c r="BC227" i="2"/>
  <c r="BB227" i="2"/>
  <c r="BA227" i="2"/>
  <c r="AZ227" i="2"/>
  <c r="AY227" i="2"/>
  <c r="AX227" i="2"/>
  <c r="AW227" i="2"/>
  <c r="AV227" i="2"/>
  <c r="AU227" i="2"/>
  <c r="AT227" i="2"/>
  <c r="AS227" i="2"/>
  <c r="AR227" i="2"/>
  <c r="AQ227" i="2"/>
  <c r="AP227" i="2"/>
  <c r="AO227" i="2"/>
  <c r="AN227" i="2"/>
  <c r="AM227" i="2"/>
  <c r="AL227" i="2"/>
  <c r="AK227" i="2"/>
  <c r="AJ227" i="2"/>
  <c r="AI227" i="2"/>
  <c r="AH227" i="2"/>
  <c r="AG227" i="2"/>
  <c r="AF227" i="2"/>
  <c r="AE227" i="2"/>
  <c r="AD227" i="2"/>
  <c r="AC227" i="2"/>
  <c r="AB227" i="2"/>
  <c r="AA227" i="2"/>
  <c r="Z227" i="2"/>
  <c r="Y227" i="2"/>
  <c r="X227" i="2"/>
  <c r="W227" i="2"/>
  <c r="V227" i="2"/>
  <c r="U227" i="2"/>
  <c r="T227" i="2"/>
  <c r="S227" i="2"/>
  <c r="R227" i="2"/>
  <c r="Q227" i="2"/>
  <c r="P227" i="2"/>
  <c r="O227" i="2"/>
  <c r="N227" i="2"/>
  <c r="M227" i="2"/>
  <c r="L227" i="2"/>
  <c r="K227" i="2"/>
  <c r="J227" i="2"/>
  <c r="I227" i="2"/>
  <c r="H227" i="2"/>
  <c r="G227" i="2"/>
  <c r="F227" i="2"/>
  <c r="E227" i="2"/>
  <c r="D227" i="2"/>
  <c r="C227" i="2"/>
  <c r="B227" i="2"/>
  <c r="A227" i="2"/>
  <c r="BK226" i="2"/>
  <c r="BJ226" i="2"/>
  <c r="BI226" i="2"/>
  <c r="BH226" i="2"/>
  <c r="BG226" i="2"/>
  <c r="BF226" i="2"/>
  <c r="BE226" i="2"/>
  <c r="BD226" i="2"/>
  <c r="BC226" i="2"/>
  <c r="BB226" i="2"/>
  <c r="BA226" i="2"/>
  <c r="AZ226" i="2"/>
  <c r="AY226" i="2"/>
  <c r="AX226" i="2"/>
  <c r="AW226" i="2"/>
  <c r="AV226" i="2"/>
  <c r="AU226" i="2"/>
  <c r="AT226" i="2"/>
  <c r="AS226" i="2"/>
  <c r="AR226" i="2"/>
  <c r="AQ226" i="2"/>
  <c r="AP226" i="2"/>
  <c r="AO226" i="2"/>
  <c r="AN226" i="2"/>
  <c r="AM226" i="2"/>
  <c r="AL226" i="2"/>
  <c r="AK226" i="2"/>
  <c r="AJ226" i="2"/>
  <c r="AI226" i="2"/>
  <c r="AH226" i="2"/>
  <c r="AG226" i="2"/>
  <c r="AF226" i="2"/>
  <c r="AE226" i="2"/>
  <c r="AD226" i="2"/>
  <c r="AC226" i="2"/>
  <c r="AB226" i="2"/>
  <c r="AA226" i="2"/>
  <c r="Z226" i="2"/>
  <c r="Y226" i="2"/>
  <c r="X226" i="2"/>
  <c r="W226" i="2"/>
  <c r="V226" i="2"/>
  <c r="U226" i="2"/>
  <c r="T226" i="2"/>
  <c r="S226" i="2"/>
  <c r="R226" i="2"/>
  <c r="Q226" i="2"/>
  <c r="P226" i="2"/>
  <c r="O226" i="2"/>
  <c r="N226" i="2"/>
  <c r="M226" i="2"/>
  <c r="L226" i="2"/>
  <c r="K226" i="2"/>
  <c r="J226" i="2"/>
  <c r="I226" i="2"/>
  <c r="H226" i="2"/>
  <c r="G226" i="2"/>
  <c r="F226" i="2"/>
  <c r="E226" i="2"/>
  <c r="D226" i="2"/>
  <c r="C226" i="2"/>
  <c r="B226" i="2"/>
  <c r="A226" i="2"/>
  <c r="BK225" i="2"/>
  <c r="BJ225" i="2"/>
  <c r="BI225" i="2"/>
  <c r="BH225" i="2"/>
  <c r="BG225" i="2"/>
  <c r="BF225" i="2"/>
  <c r="BE225" i="2"/>
  <c r="BD225" i="2"/>
  <c r="BC225" i="2"/>
  <c r="BB225" i="2"/>
  <c r="BA225" i="2"/>
  <c r="AZ225" i="2"/>
  <c r="AY225" i="2"/>
  <c r="AX225" i="2"/>
  <c r="AW225" i="2"/>
  <c r="AV225" i="2"/>
  <c r="AU225" i="2"/>
  <c r="AT225" i="2"/>
  <c r="AS225" i="2"/>
  <c r="AR225" i="2"/>
  <c r="AQ225" i="2"/>
  <c r="AP225" i="2"/>
  <c r="AO225" i="2"/>
  <c r="AN225" i="2"/>
  <c r="AM225" i="2"/>
  <c r="AL225" i="2"/>
  <c r="AK225" i="2"/>
  <c r="AJ225" i="2"/>
  <c r="AI225" i="2"/>
  <c r="AH225" i="2"/>
  <c r="AG225" i="2"/>
  <c r="AF225" i="2"/>
  <c r="AE225" i="2"/>
  <c r="AD225" i="2"/>
  <c r="AC225" i="2"/>
  <c r="AB225" i="2"/>
  <c r="AA225" i="2"/>
  <c r="Z225" i="2"/>
  <c r="Y225" i="2"/>
  <c r="X225" i="2"/>
  <c r="W225" i="2"/>
  <c r="V225" i="2"/>
  <c r="U225" i="2"/>
  <c r="T225" i="2"/>
  <c r="S225" i="2"/>
  <c r="R225" i="2"/>
  <c r="Q225" i="2"/>
  <c r="P225" i="2"/>
  <c r="O225" i="2"/>
  <c r="N225" i="2"/>
  <c r="M225" i="2"/>
  <c r="L225" i="2"/>
  <c r="K225" i="2"/>
  <c r="J225" i="2"/>
  <c r="I225" i="2"/>
  <c r="H225" i="2"/>
  <c r="G225" i="2"/>
  <c r="F225" i="2"/>
  <c r="E225" i="2"/>
  <c r="D225" i="2"/>
  <c r="C225" i="2"/>
  <c r="B225" i="2"/>
  <c r="A225" i="2"/>
  <c r="BK224" i="2"/>
  <c r="BJ224" i="2"/>
  <c r="BI224" i="2"/>
  <c r="BH224" i="2"/>
  <c r="BG224" i="2"/>
  <c r="BF224" i="2"/>
  <c r="BE224" i="2"/>
  <c r="BD224" i="2"/>
  <c r="BC224" i="2"/>
  <c r="BB224" i="2"/>
  <c r="BA224" i="2"/>
  <c r="AZ224" i="2"/>
  <c r="AY224" i="2"/>
  <c r="AX224" i="2"/>
  <c r="AW224" i="2"/>
  <c r="AV224" i="2"/>
  <c r="AU224" i="2"/>
  <c r="AT224" i="2"/>
  <c r="AS224" i="2"/>
  <c r="AR224" i="2"/>
  <c r="AQ224" i="2"/>
  <c r="AP224" i="2"/>
  <c r="AO224" i="2"/>
  <c r="AN224" i="2"/>
  <c r="AM224" i="2"/>
  <c r="AL224" i="2"/>
  <c r="AK224" i="2"/>
  <c r="AJ224" i="2"/>
  <c r="AI224" i="2"/>
  <c r="AH224" i="2"/>
  <c r="AG224" i="2"/>
  <c r="AF224" i="2"/>
  <c r="AE224" i="2"/>
  <c r="AD224" i="2"/>
  <c r="AC224" i="2"/>
  <c r="AB224" i="2"/>
  <c r="AA224" i="2"/>
  <c r="Z224" i="2"/>
  <c r="Y224" i="2"/>
  <c r="X224" i="2"/>
  <c r="W224" i="2"/>
  <c r="V224" i="2"/>
  <c r="U224" i="2"/>
  <c r="T224" i="2"/>
  <c r="S224" i="2"/>
  <c r="R224" i="2"/>
  <c r="Q224" i="2"/>
  <c r="P224" i="2"/>
  <c r="O224" i="2"/>
  <c r="N224" i="2"/>
  <c r="M224" i="2"/>
  <c r="L224" i="2"/>
  <c r="K224" i="2"/>
  <c r="J224" i="2"/>
  <c r="I224" i="2"/>
  <c r="H224" i="2"/>
  <c r="G224" i="2"/>
  <c r="F224" i="2"/>
  <c r="E224" i="2"/>
  <c r="D224" i="2"/>
  <c r="C224" i="2"/>
  <c r="B224" i="2"/>
  <c r="A224" i="2"/>
  <c r="BK223" i="2"/>
  <c r="BJ223" i="2"/>
  <c r="BI223" i="2"/>
  <c r="BH223" i="2"/>
  <c r="BG223" i="2"/>
  <c r="BF223" i="2"/>
  <c r="BE223" i="2"/>
  <c r="BD223" i="2"/>
  <c r="BC223" i="2"/>
  <c r="BB223" i="2"/>
  <c r="BA223" i="2"/>
  <c r="AZ223" i="2"/>
  <c r="AY223" i="2"/>
  <c r="AX223" i="2"/>
  <c r="AW223" i="2"/>
  <c r="AV223" i="2"/>
  <c r="AU223" i="2"/>
  <c r="AT223" i="2"/>
  <c r="AS223" i="2"/>
  <c r="AR223" i="2"/>
  <c r="AQ223" i="2"/>
  <c r="AP223" i="2"/>
  <c r="AO223" i="2"/>
  <c r="AN223" i="2"/>
  <c r="AM223" i="2"/>
  <c r="AL223" i="2"/>
  <c r="AK223" i="2"/>
  <c r="AJ223" i="2"/>
  <c r="AI223" i="2"/>
  <c r="AH223" i="2"/>
  <c r="AG223" i="2"/>
  <c r="AF223" i="2"/>
  <c r="AE223" i="2"/>
  <c r="AD223" i="2"/>
  <c r="AC223" i="2"/>
  <c r="AB223" i="2"/>
  <c r="AA223" i="2"/>
  <c r="Z223" i="2"/>
  <c r="Y223" i="2"/>
  <c r="X223" i="2"/>
  <c r="W223" i="2"/>
  <c r="V223" i="2"/>
  <c r="U223" i="2"/>
  <c r="T223" i="2"/>
  <c r="S223" i="2"/>
  <c r="R223" i="2"/>
  <c r="Q223" i="2"/>
  <c r="P223" i="2"/>
  <c r="O223" i="2"/>
  <c r="N223" i="2"/>
  <c r="M223" i="2"/>
  <c r="L223" i="2"/>
  <c r="K223" i="2"/>
  <c r="J223" i="2"/>
  <c r="I223" i="2"/>
  <c r="H223" i="2"/>
  <c r="G223" i="2"/>
  <c r="F223" i="2"/>
  <c r="E223" i="2"/>
  <c r="D223" i="2"/>
  <c r="C223" i="2"/>
  <c r="B223" i="2"/>
  <c r="A223" i="2"/>
  <c r="BK222" i="2"/>
  <c r="BJ222" i="2"/>
  <c r="BI222" i="2"/>
  <c r="BH222" i="2"/>
  <c r="BG222" i="2"/>
  <c r="BF222" i="2"/>
  <c r="BE222" i="2"/>
  <c r="BD222" i="2"/>
  <c r="BC222" i="2"/>
  <c r="BB222" i="2"/>
  <c r="BA222" i="2"/>
  <c r="AZ222" i="2"/>
  <c r="AY222" i="2"/>
  <c r="AX222" i="2"/>
  <c r="AW222" i="2"/>
  <c r="AV222" i="2"/>
  <c r="AU222" i="2"/>
  <c r="AT222" i="2"/>
  <c r="AS222" i="2"/>
  <c r="AR222" i="2"/>
  <c r="AQ222" i="2"/>
  <c r="AP222" i="2"/>
  <c r="AO222" i="2"/>
  <c r="AN222" i="2"/>
  <c r="AM222" i="2"/>
  <c r="AL222" i="2"/>
  <c r="AK222" i="2"/>
  <c r="AJ222" i="2"/>
  <c r="AI222" i="2"/>
  <c r="AH222" i="2"/>
  <c r="AG222" i="2"/>
  <c r="AF222" i="2"/>
  <c r="AE222" i="2"/>
  <c r="AD222" i="2"/>
  <c r="AC222" i="2"/>
  <c r="AB222" i="2"/>
  <c r="AA222" i="2"/>
  <c r="Z222" i="2"/>
  <c r="Y222" i="2"/>
  <c r="X222" i="2"/>
  <c r="W222" i="2"/>
  <c r="V222" i="2"/>
  <c r="U222" i="2"/>
  <c r="T222" i="2"/>
  <c r="S222" i="2"/>
  <c r="R222" i="2"/>
  <c r="Q222" i="2"/>
  <c r="P222" i="2"/>
  <c r="O222" i="2"/>
  <c r="N222" i="2"/>
  <c r="M222" i="2"/>
  <c r="L222" i="2"/>
  <c r="K222" i="2"/>
  <c r="J222" i="2"/>
  <c r="I222" i="2"/>
  <c r="H222" i="2"/>
  <c r="G222" i="2"/>
  <c r="F222" i="2"/>
  <c r="E222" i="2"/>
  <c r="D222" i="2"/>
  <c r="C222" i="2"/>
  <c r="B222" i="2"/>
  <c r="A222" i="2"/>
  <c r="BK221" i="2"/>
  <c r="BJ221" i="2"/>
  <c r="BI221" i="2"/>
  <c r="BH221" i="2"/>
  <c r="BG221" i="2"/>
  <c r="BF221" i="2"/>
  <c r="BE221" i="2"/>
  <c r="BD221" i="2"/>
  <c r="BC221" i="2"/>
  <c r="BB221" i="2"/>
  <c r="BA221" i="2"/>
  <c r="AZ221" i="2"/>
  <c r="AY221" i="2"/>
  <c r="AX221" i="2"/>
  <c r="AW221" i="2"/>
  <c r="AV221" i="2"/>
  <c r="AU221" i="2"/>
  <c r="AT221" i="2"/>
  <c r="AS221" i="2"/>
  <c r="AR221" i="2"/>
  <c r="AQ221" i="2"/>
  <c r="AP221" i="2"/>
  <c r="AO221" i="2"/>
  <c r="AN221" i="2"/>
  <c r="AM221" i="2"/>
  <c r="AL221" i="2"/>
  <c r="AK221" i="2"/>
  <c r="AJ221" i="2"/>
  <c r="AI221" i="2"/>
  <c r="AH221" i="2"/>
  <c r="AG221" i="2"/>
  <c r="AF221" i="2"/>
  <c r="AE221" i="2"/>
  <c r="AD221" i="2"/>
  <c r="AC221" i="2"/>
  <c r="AB221" i="2"/>
  <c r="AA221" i="2"/>
  <c r="Z221" i="2"/>
  <c r="Y221" i="2"/>
  <c r="X221" i="2"/>
  <c r="W221" i="2"/>
  <c r="V221" i="2"/>
  <c r="U221" i="2"/>
  <c r="T221" i="2"/>
  <c r="S221" i="2"/>
  <c r="R221" i="2"/>
  <c r="Q221" i="2"/>
  <c r="P221" i="2"/>
  <c r="O221" i="2"/>
  <c r="N221" i="2"/>
  <c r="M221" i="2"/>
  <c r="L221" i="2"/>
  <c r="K221" i="2"/>
  <c r="J221" i="2"/>
  <c r="I221" i="2"/>
  <c r="H221" i="2"/>
  <c r="G221" i="2"/>
  <c r="F221" i="2"/>
  <c r="E221" i="2"/>
  <c r="D221" i="2"/>
  <c r="C221" i="2"/>
  <c r="B221" i="2"/>
  <c r="A221" i="2"/>
  <c r="BK220" i="2"/>
  <c r="BJ220" i="2"/>
  <c r="BI220" i="2"/>
  <c r="BH220" i="2"/>
  <c r="BG220" i="2"/>
  <c r="BF220" i="2"/>
  <c r="BE220" i="2"/>
  <c r="BD220" i="2"/>
  <c r="BC220" i="2"/>
  <c r="BB220" i="2"/>
  <c r="BA220" i="2"/>
  <c r="AZ220" i="2"/>
  <c r="AY220" i="2"/>
  <c r="AX220" i="2"/>
  <c r="AW220" i="2"/>
  <c r="AV220" i="2"/>
  <c r="AU220" i="2"/>
  <c r="AT220" i="2"/>
  <c r="AS220" i="2"/>
  <c r="AR220" i="2"/>
  <c r="AQ220" i="2"/>
  <c r="AP220" i="2"/>
  <c r="AO220" i="2"/>
  <c r="AN220" i="2"/>
  <c r="AM220" i="2"/>
  <c r="AL220" i="2"/>
  <c r="AK220" i="2"/>
  <c r="AJ220" i="2"/>
  <c r="AI220" i="2"/>
  <c r="AH220" i="2"/>
  <c r="AG220" i="2"/>
  <c r="AF220" i="2"/>
  <c r="AE220" i="2"/>
  <c r="AD220" i="2"/>
  <c r="AC220" i="2"/>
  <c r="AB220" i="2"/>
  <c r="AA220" i="2"/>
  <c r="Z220" i="2"/>
  <c r="Y220" i="2"/>
  <c r="X220" i="2"/>
  <c r="W220" i="2"/>
  <c r="V220" i="2"/>
  <c r="U220" i="2"/>
  <c r="T220" i="2"/>
  <c r="S220" i="2"/>
  <c r="R220" i="2"/>
  <c r="Q220" i="2"/>
  <c r="P220" i="2"/>
  <c r="O220" i="2"/>
  <c r="N220" i="2"/>
  <c r="M220" i="2"/>
  <c r="L220" i="2"/>
  <c r="K220" i="2"/>
  <c r="J220" i="2"/>
  <c r="I220" i="2"/>
  <c r="H220" i="2"/>
  <c r="G220" i="2"/>
  <c r="F220" i="2"/>
  <c r="E220" i="2"/>
  <c r="D220" i="2"/>
  <c r="C220" i="2"/>
  <c r="B220" i="2"/>
  <c r="A220" i="2"/>
  <c r="BK219" i="2"/>
  <c r="BJ219" i="2"/>
  <c r="BI219" i="2"/>
  <c r="BH219" i="2"/>
  <c r="BG219" i="2"/>
  <c r="BF219" i="2"/>
  <c r="BE219" i="2"/>
  <c r="BD219" i="2"/>
  <c r="BC219" i="2"/>
  <c r="BB219" i="2"/>
  <c r="BA219" i="2"/>
  <c r="AZ219" i="2"/>
  <c r="AY219" i="2"/>
  <c r="AX219" i="2"/>
  <c r="AW219" i="2"/>
  <c r="AV219" i="2"/>
  <c r="AU219" i="2"/>
  <c r="AT219" i="2"/>
  <c r="AS219" i="2"/>
  <c r="AR219" i="2"/>
  <c r="AQ219" i="2"/>
  <c r="AP219" i="2"/>
  <c r="AO219" i="2"/>
  <c r="AN219" i="2"/>
  <c r="AM219" i="2"/>
  <c r="AL219" i="2"/>
  <c r="AK219" i="2"/>
  <c r="AJ219" i="2"/>
  <c r="AI219" i="2"/>
  <c r="AH219" i="2"/>
  <c r="AG219" i="2"/>
  <c r="AF219" i="2"/>
  <c r="AE219" i="2"/>
  <c r="AD219" i="2"/>
  <c r="AC219" i="2"/>
  <c r="AB219" i="2"/>
  <c r="AA219" i="2"/>
  <c r="Z219" i="2"/>
  <c r="Y219" i="2"/>
  <c r="X219" i="2"/>
  <c r="W219" i="2"/>
  <c r="V219" i="2"/>
  <c r="U219" i="2"/>
  <c r="T219" i="2"/>
  <c r="S219" i="2"/>
  <c r="R219" i="2"/>
  <c r="Q219" i="2"/>
  <c r="P219" i="2"/>
  <c r="O219" i="2"/>
  <c r="N219" i="2"/>
  <c r="M219" i="2"/>
  <c r="L219" i="2"/>
  <c r="K219" i="2"/>
  <c r="J219" i="2"/>
  <c r="I219" i="2"/>
  <c r="H219" i="2"/>
  <c r="G219" i="2"/>
  <c r="F219" i="2"/>
  <c r="E219" i="2"/>
  <c r="D219" i="2"/>
  <c r="C219" i="2"/>
  <c r="B219" i="2"/>
  <c r="A219" i="2"/>
  <c r="BK218" i="2"/>
  <c r="BJ218" i="2"/>
  <c r="BI218" i="2"/>
  <c r="BH218" i="2"/>
  <c r="BG218" i="2"/>
  <c r="BF218" i="2"/>
  <c r="BE218" i="2"/>
  <c r="BD218" i="2"/>
  <c r="BC218" i="2"/>
  <c r="BB218" i="2"/>
  <c r="BA218" i="2"/>
  <c r="AZ218" i="2"/>
  <c r="AY218" i="2"/>
  <c r="AX218" i="2"/>
  <c r="AW218" i="2"/>
  <c r="AV218" i="2"/>
  <c r="AU218" i="2"/>
  <c r="AT218" i="2"/>
  <c r="AS218" i="2"/>
  <c r="AR218" i="2"/>
  <c r="AQ218" i="2"/>
  <c r="AP218" i="2"/>
  <c r="AO218" i="2"/>
  <c r="AN218" i="2"/>
  <c r="AM218" i="2"/>
  <c r="AL218" i="2"/>
  <c r="AK218" i="2"/>
  <c r="AJ218" i="2"/>
  <c r="AI218" i="2"/>
  <c r="AH218" i="2"/>
  <c r="AG218" i="2"/>
  <c r="AF218" i="2"/>
  <c r="AE218" i="2"/>
  <c r="AD218" i="2"/>
  <c r="AC218" i="2"/>
  <c r="AB218" i="2"/>
  <c r="AA218" i="2"/>
  <c r="Z218" i="2"/>
  <c r="Y218" i="2"/>
  <c r="X218" i="2"/>
  <c r="W218" i="2"/>
  <c r="V218" i="2"/>
  <c r="U218" i="2"/>
  <c r="T218" i="2"/>
  <c r="S218" i="2"/>
  <c r="R218" i="2"/>
  <c r="Q218" i="2"/>
  <c r="P218" i="2"/>
  <c r="O218" i="2"/>
  <c r="N218" i="2"/>
  <c r="M218" i="2"/>
  <c r="L218" i="2"/>
  <c r="K218" i="2"/>
  <c r="J218" i="2"/>
  <c r="I218" i="2"/>
  <c r="H218" i="2"/>
  <c r="G218" i="2"/>
  <c r="F218" i="2"/>
  <c r="E218" i="2"/>
  <c r="D218" i="2"/>
  <c r="C218" i="2"/>
  <c r="B218" i="2"/>
  <c r="A218" i="2"/>
  <c r="BK217" i="2"/>
  <c r="BJ217" i="2"/>
  <c r="BI217" i="2"/>
  <c r="BH217" i="2"/>
  <c r="BG217" i="2"/>
  <c r="BF217" i="2"/>
  <c r="BE217" i="2"/>
  <c r="BD217" i="2"/>
  <c r="BC217" i="2"/>
  <c r="BB217" i="2"/>
  <c r="BA217" i="2"/>
  <c r="AZ217" i="2"/>
  <c r="AY217" i="2"/>
  <c r="AX217" i="2"/>
  <c r="AW217" i="2"/>
  <c r="AV217" i="2"/>
  <c r="AU217" i="2"/>
  <c r="AT217" i="2"/>
  <c r="AS217" i="2"/>
  <c r="AR217" i="2"/>
  <c r="AQ217" i="2"/>
  <c r="AP217" i="2"/>
  <c r="AO217" i="2"/>
  <c r="AN217" i="2"/>
  <c r="AM217" i="2"/>
  <c r="AL217" i="2"/>
  <c r="AK217" i="2"/>
  <c r="AJ217" i="2"/>
  <c r="AI217" i="2"/>
  <c r="AH217" i="2"/>
  <c r="AG217" i="2"/>
  <c r="AF217" i="2"/>
  <c r="AE217" i="2"/>
  <c r="AD217" i="2"/>
  <c r="AC217" i="2"/>
  <c r="AB217" i="2"/>
  <c r="AA217" i="2"/>
  <c r="Z217" i="2"/>
  <c r="Y217" i="2"/>
  <c r="X217" i="2"/>
  <c r="W217" i="2"/>
  <c r="V217" i="2"/>
  <c r="U217" i="2"/>
  <c r="T217" i="2"/>
  <c r="S217" i="2"/>
  <c r="R217" i="2"/>
  <c r="Q217" i="2"/>
  <c r="P217" i="2"/>
  <c r="O217" i="2"/>
  <c r="N217" i="2"/>
  <c r="M217" i="2"/>
  <c r="L217" i="2"/>
  <c r="K217" i="2"/>
  <c r="J217" i="2"/>
  <c r="I217" i="2"/>
  <c r="H217" i="2"/>
  <c r="G217" i="2"/>
  <c r="F217" i="2"/>
  <c r="E217" i="2"/>
  <c r="D217" i="2"/>
  <c r="C217" i="2"/>
  <c r="B217" i="2"/>
  <c r="A217" i="2"/>
  <c r="BK216" i="2"/>
  <c r="BJ216" i="2"/>
  <c r="BI216" i="2"/>
  <c r="BH216" i="2"/>
  <c r="BG216" i="2"/>
  <c r="BF216" i="2"/>
  <c r="BE216" i="2"/>
  <c r="BD216" i="2"/>
  <c r="BC216" i="2"/>
  <c r="BB216" i="2"/>
  <c r="BA216" i="2"/>
  <c r="AZ216" i="2"/>
  <c r="AY216" i="2"/>
  <c r="AX216" i="2"/>
  <c r="AW216" i="2"/>
  <c r="AV216" i="2"/>
  <c r="AU216" i="2"/>
  <c r="AT216" i="2"/>
  <c r="AS216" i="2"/>
  <c r="AR216" i="2"/>
  <c r="AQ216" i="2"/>
  <c r="AP216" i="2"/>
  <c r="AO216" i="2"/>
  <c r="AN216" i="2"/>
  <c r="AM216" i="2"/>
  <c r="AL216" i="2"/>
  <c r="AK216" i="2"/>
  <c r="AJ216" i="2"/>
  <c r="AI216" i="2"/>
  <c r="AH216" i="2"/>
  <c r="AG216" i="2"/>
  <c r="AF216" i="2"/>
  <c r="AE216" i="2"/>
  <c r="AD216" i="2"/>
  <c r="AC216" i="2"/>
  <c r="AB216" i="2"/>
  <c r="AA216" i="2"/>
  <c r="Z216" i="2"/>
  <c r="Y216" i="2"/>
  <c r="X216" i="2"/>
  <c r="W216" i="2"/>
  <c r="V216" i="2"/>
  <c r="U216" i="2"/>
  <c r="T216" i="2"/>
  <c r="S216" i="2"/>
  <c r="R216" i="2"/>
  <c r="Q216" i="2"/>
  <c r="P216" i="2"/>
  <c r="O216" i="2"/>
  <c r="N216" i="2"/>
  <c r="M216" i="2"/>
  <c r="L216" i="2"/>
  <c r="K216" i="2"/>
  <c r="J216" i="2"/>
  <c r="I216" i="2"/>
  <c r="H216" i="2"/>
  <c r="G216" i="2"/>
  <c r="F216" i="2"/>
  <c r="E216" i="2"/>
  <c r="D216" i="2"/>
  <c r="C216" i="2"/>
  <c r="B216" i="2"/>
  <c r="A216" i="2"/>
  <c r="BK215" i="2"/>
  <c r="BJ215" i="2"/>
  <c r="BI215" i="2"/>
  <c r="BH215" i="2"/>
  <c r="BG215" i="2"/>
  <c r="BF215" i="2"/>
  <c r="BE215" i="2"/>
  <c r="BD215" i="2"/>
  <c r="BC215" i="2"/>
  <c r="BB215" i="2"/>
  <c r="BA215" i="2"/>
  <c r="AZ215" i="2"/>
  <c r="AY215" i="2"/>
  <c r="AX215" i="2"/>
  <c r="AW215" i="2"/>
  <c r="AV215" i="2"/>
  <c r="AU215" i="2"/>
  <c r="AT215" i="2"/>
  <c r="AS215" i="2"/>
  <c r="AR215" i="2"/>
  <c r="AQ215" i="2"/>
  <c r="AP215" i="2"/>
  <c r="AO215" i="2"/>
  <c r="AN215" i="2"/>
  <c r="AM215" i="2"/>
  <c r="AL215" i="2"/>
  <c r="AK215" i="2"/>
  <c r="AJ215" i="2"/>
  <c r="AI215" i="2"/>
  <c r="AH215" i="2"/>
  <c r="AG215" i="2"/>
  <c r="AF215" i="2"/>
  <c r="AE215" i="2"/>
  <c r="AD215" i="2"/>
  <c r="AC215" i="2"/>
  <c r="AB215" i="2"/>
  <c r="AA215" i="2"/>
  <c r="Z215" i="2"/>
  <c r="Y215" i="2"/>
  <c r="X215" i="2"/>
  <c r="W215" i="2"/>
  <c r="V215" i="2"/>
  <c r="U215" i="2"/>
  <c r="T215" i="2"/>
  <c r="S215" i="2"/>
  <c r="R215" i="2"/>
  <c r="Q215" i="2"/>
  <c r="P215" i="2"/>
  <c r="O215" i="2"/>
  <c r="N215" i="2"/>
  <c r="M215" i="2"/>
  <c r="L215" i="2"/>
  <c r="K215" i="2"/>
  <c r="J215" i="2"/>
  <c r="I215" i="2"/>
  <c r="H215" i="2"/>
  <c r="G215" i="2"/>
  <c r="F215" i="2"/>
  <c r="E215" i="2"/>
  <c r="D215" i="2"/>
  <c r="C215" i="2"/>
  <c r="B215" i="2"/>
  <c r="A215" i="2"/>
  <c r="BK214" i="2"/>
  <c r="BJ214" i="2"/>
  <c r="BI214" i="2"/>
  <c r="BH214" i="2"/>
  <c r="BG214" i="2"/>
  <c r="BF214" i="2"/>
  <c r="BE214" i="2"/>
  <c r="BD214" i="2"/>
  <c r="BC214" i="2"/>
  <c r="BB214" i="2"/>
  <c r="BA214" i="2"/>
  <c r="AZ214" i="2"/>
  <c r="AY214" i="2"/>
  <c r="AX214" i="2"/>
  <c r="AW214" i="2"/>
  <c r="AV214" i="2"/>
  <c r="AU214" i="2"/>
  <c r="AT214" i="2"/>
  <c r="AS214" i="2"/>
  <c r="AR214" i="2"/>
  <c r="AQ214" i="2"/>
  <c r="AP214" i="2"/>
  <c r="AO214" i="2"/>
  <c r="AN214" i="2"/>
  <c r="AM214" i="2"/>
  <c r="AL214" i="2"/>
  <c r="AK214" i="2"/>
  <c r="AJ214" i="2"/>
  <c r="AI214" i="2"/>
  <c r="AH214" i="2"/>
  <c r="AG214" i="2"/>
  <c r="AF214" i="2"/>
  <c r="AE214" i="2"/>
  <c r="AD214" i="2"/>
  <c r="AC214" i="2"/>
  <c r="AB214" i="2"/>
  <c r="AA214" i="2"/>
  <c r="Z214" i="2"/>
  <c r="Y214" i="2"/>
  <c r="X214" i="2"/>
  <c r="W214" i="2"/>
  <c r="V214" i="2"/>
  <c r="U214" i="2"/>
  <c r="T214" i="2"/>
  <c r="S214" i="2"/>
  <c r="R214" i="2"/>
  <c r="Q214" i="2"/>
  <c r="P214" i="2"/>
  <c r="O214" i="2"/>
  <c r="N214" i="2"/>
  <c r="M214" i="2"/>
  <c r="L214" i="2"/>
  <c r="K214" i="2"/>
  <c r="J214" i="2"/>
  <c r="I214" i="2"/>
  <c r="H214" i="2"/>
  <c r="G214" i="2"/>
  <c r="F214" i="2"/>
  <c r="E214" i="2"/>
  <c r="D214" i="2"/>
  <c r="C214" i="2"/>
  <c r="B214" i="2"/>
  <c r="A214" i="2"/>
  <c r="BK213" i="2"/>
  <c r="BJ213" i="2"/>
  <c r="BI213" i="2"/>
  <c r="BH213" i="2"/>
  <c r="BG213" i="2"/>
  <c r="BF213" i="2"/>
  <c r="BE213" i="2"/>
  <c r="BD213" i="2"/>
  <c r="BC213" i="2"/>
  <c r="BB213" i="2"/>
  <c r="BA213" i="2"/>
  <c r="AZ213" i="2"/>
  <c r="AY213" i="2"/>
  <c r="AX213" i="2"/>
  <c r="AW213" i="2"/>
  <c r="AV213" i="2"/>
  <c r="AU213" i="2"/>
  <c r="AT213" i="2"/>
  <c r="AS213" i="2"/>
  <c r="AR213" i="2"/>
  <c r="AQ213" i="2"/>
  <c r="AP213" i="2"/>
  <c r="AO213" i="2"/>
  <c r="AN213" i="2"/>
  <c r="AM213" i="2"/>
  <c r="AL213" i="2"/>
  <c r="AK213" i="2"/>
  <c r="AJ213" i="2"/>
  <c r="AI213" i="2"/>
  <c r="AH213" i="2"/>
  <c r="AG213" i="2"/>
  <c r="AF213" i="2"/>
  <c r="AE213" i="2"/>
  <c r="AD213" i="2"/>
  <c r="AC213" i="2"/>
  <c r="AB213" i="2"/>
  <c r="AA213" i="2"/>
  <c r="Z213" i="2"/>
  <c r="Y213" i="2"/>
  <c r="X213" i="2"/>
  <c r="W213" i="2"/>
  <c r="V213" i="2"/>
  <c r="U213" i="2"/>
  <c r="T213" i="2"/>
  <c r="S213" i="2"/>
  <c r="R213" i="2"/>
  <c r="Q213" i="2"/>
  <c r="P213" i="2"/>
  <c r="O213" i="2"/>
  <c r="N213" i="2"/>
  <c r="M213" i="2"/>
  <c r="L213" i="2"/>
  <c r="K213" i="2"/>
  <c r="J213" i="2"/>
  <c r="I213" i="2"/>
  <c r="H213" i="2"/>
  <c r="G213" i="2"/>
  <c r="F213" i="2"/>
  <c r="E213" i="2"/>
  <c r="D213" i="2"/>
  <c r="C213" i="2"/>
  <c r="B213" i="2"/>
  <c r="A213" i="2"/>
  <c r="BK212" i="2"/>
  <c r="BJ212" i="2"/>
  <c r="BI212" i="2"/>
  <c r="BH212" i="2"/>
  <c r="BG212" i="2"/>
  <c r="BF212" i="2"/>
  <c r="BE212" i="2"/>
  <c r="BD212" i="2"/>
  <c r="BC212" i="2"/>
  <c r="BB212" i="2"/>
  <c r="BA212" i="2"/>
  <c r="AZ212" i="2"/>
  <c r="AY212" i="2"/>
  <c r="AX212"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Z212" i="2"/>
  <c r="Y212" i="2"/>
  <c r="X212" i="2"/>
  <c r="W212" i="2"/>
  <c r="V212" i="2"/>
  <c r="U212" i="2"/>
  <c r="T212" i="2"/>
  <c r="S212" i="2"/>
  <c r="R212" i="2"/>
  <c r="Q212" i="2"/>
  <c r="P212" i="2"/>
  <c r="O212" i="2"/>
  <c r="N212" i="2"/>
  <c r="M212" i="2"/>
  <c r="L212" i="2"/>
  <c r="K212" i="2"/>
  <c r="J212" i="2"/>
  <c r="I212" i="2"/>
  <c r="H212" i="2"/>
  <c r="G212" i="2"/>
  <c r="F212" i="2"/>
  <c r="E212" i="2"/>
  <c r="D212" i="2"/>
  <c r="C212" i="2"/>
  <c r="B212" i="2"/>
  <c r="A212" i="2"/>
  <c r="BK211" i="2"/>
  <c r="BJ211" i="2"/>
  <c r="BI211" i="2"/>
  <c r="BH211" i="2"/>
  <c r="BG211" i="2"/>
  <c r="BF211" i="2"/>
  <c r="BE211" i="2"/>
  <c r="BD211" i="2"/>
  <c r="BC211" i="2"/>
  <c r="BB211" i="2"/>
  <c r="BA211" i="2"/>
  <c r="AZ211" i="2"/>
  <c r="AY211" i="2"/>
  <c r="AX211" i="2"/>
  <c r="AW211" i="2"/>
  <c r="AV211" i="2"/>
  <c r="AU211" i="2"/>
  <c r="AT211" i="2"/>
  <c r="AS211" i="2"/>
  <c r="AR211" i="2"/>
  <c r="AQ211" i="2"/>
  <c r="AP211" i="2"/>
  <c r="AO211" i="2"/>
  <c r="AN211" i="2"/>
  <c r="AM211" i="2"/>
  <c r="AL211" i="2"/>
  <c r="AK211" i="2"/>
  <c r="AJ211" i="2"/>
  <c r="AI211" i="2"/>
  <c r="AH211" i="2"/>
  <c r="AG211" i="2"/>
  <c r="AF211" i="2"/>
  <c r="AE211" i="2"/>
  <c r="AD211" i="2"/>
  <c r="AC211" i="2"/>
  <c r="AB211" i="2"/>
  <c r="AA211" i="2"/>
  <c r="Z211" i="2"/>
  <c r="Y211" i="2"/>
  <c r="X211" i="2"/>
  <c r="W211" i="2"/>
  <c r="V211" i="2"/>
  <c r="U211" i="2"/>
  <c r="T211" i="2"/>
  <c r="S211" i="2"/>
  <c r="R211" i="2"/>
  <c r="Q211" i="2"/>
  <c r="P211" i="2"/>
  <c r="O211" i="2"/>
  <c r="N211" i="2"/>
  <c r="M211" i="2"/>
  <c r="L211" i="2"/>
  <c r="K211" i="2"/>
  <c r="J211" i="2"/>
  <c r="I211" i="2"/>
  <c r="H211" i="2"/>
  <c r="G211" i="2"/>
  <c r="F211" i="2"/>
  <c r="E211" i="2"/>
  <c r="D211" i="2"/>
  <c r="C211" i="2"/>
  <c r="B211" i="2"/>
  <c r="A211" i="2"/>
  <c r="BK210" i="2"/>
  <c r="BJ210" i="2"/>
  <c r="BI210" i="2"/>
  <c r="BH210" i="2"/>
  <c r="BG210" i="2"/>
  <c r="BF210" i="2"/>
  <c r="BE210" i="2"/>
  <c r="BD210" i="2"/>
  <c r="BC210" i="2"/>
  <c r="BB210" i="2"/>
  <c r="BA210" i="2"/>
  <c r="AZ210" i="2"/>
  <c r="AY210" i="2"/>
  <c r="AX210" i="2"/>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C210" i="2"/>
  <c r="B210" i="2"/>
  <c r="A210" i="2"/>
  <c r="BK209" i="2"/>
  <c r="BJ209" i="2"/>
  <c r="BI209" i="2"/>
  <c r="BH209" i="2"/>
  <c r="BG209" i="2"/>
  <c r="BF209" i="2"/>
  <c r="BE209" i="2"/>
  <c r="BD209" i="2"/>
  <c r="BC209" i="2"/>
  <c r="BB209" i="2"/>
  <c r="BA209" i="2"/>
  <c r="AZ209" i="2"/>
  <c r="AY209" i="2"/>
  <c r="AX209"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C209" i="2"/>
  <c r="B209" i="2"/>
  <c r="A209" i="2"/>
  <c r="BK208" i="2"/>
  <c r="BJ208" i="2"/>
  <c r="BI208" i="2"/>
  <c r="BH208" i="2"/>
  <c r="BG208" i="2"/>
  <c r="BF208" i="2"/>
  <c r="BE208" i="2"/>
  <c r="BD208" i="2"/>
  <c r="BC208" i="2"/>
  <c r="BB208" i="2"/>
  <c r="BA208" i="2"/>
  <c r="AZ208" i="2"/>
  <c r="AY208" i="2"/>
  <c r="AX208" i="2"/>
  <c r="AW208" i="2"/>
  <c r="AV208" i="2"/>
  <c r="AU208" i="2"/>
  <c r="AT208" i="2"/>
  <c r="AS208" i="2"/>
  <c r="AR208"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C208" i="2"/>
  <c r="B208" i="2"/>
  <c r="A208" i="2"/>
  <c r="BK207" i="2"/>
  <c r="BJ207" i="2"/>
  <c r="BI207" i="2"/>
  <c r="BH207" i="2"/>
  <c r="BG207" i="2"/>
  <c r="BF207" i="2"/>
  <c r="BE207" i="2"/>
  <c r="BD207" i="2"/>
  <c r="BC207" i="2"/>
  <c r="BB207" i="2"/>
  <c r="BA207" i="2"/>
  <c r="AZ207" i="2"/>
  <c r="AY207" i="2"/>
  <c r="AX207" i="2"/>
  <c r="AW207" i="2"/>
  <c r="AV207" i="2"/>
  <c r="AU207" i="2"/>
  <c r="AT207" i="2"/>
  <c r="AS207" i="2"/>
  <c r="AR207" i="2"/>
  <c r="AQ207" i="2"/>
  <c r="AP207" i="2"/>
  <c r="AO207" i="2"/>
  <c r="AN207" i="2"/>
  <c r="AM207" i="2"/>
  <c r="AL207" i="2"/>
  <c r="AK207" i="2"/>
  <c r="AJ207" i="2"/>
  <c r="AI207" i="2"/>
  <c r="AH207" i="2"/>
  <c r="AG207" i="2"/>
  <c r="AF207" i="2"/>
  <c r="AE207" i="2"/>
  <c r="AD207" i="2"/>
  <c r="AC207" i="2"/>
  <c r="AB207" i="2"/>
  <c r="AA207" i="2"/>
  <c r="Z207" i="2"/>
  <c r="Y207" i="2"/>
  <c r="X207" i="2"/>
  <c r="W207" i="2"/>
  <c r="V207" i="2"/>
  <c r="U207" i="2"/>
  <c r="T207" i="2"/>
  <c r="S207" i="2"/>
  <c r="R207" i="2"/>
  <c r="Q207" i="2"/>
  <c r="P207" i="2"/>
  <c r="O207" i="2"/>
  <c r="N207" i="2"/>
  <c r="M207" i="2"/>
  <c r="L207" i="2"/>
  <c r="K207" i="2"/>
  <c r="J207" i="2"/>
  <c r="I207" i="2"/>
  <c r="H207" i="2"/>
  <c r="G207" i="2"/>
  <c r="F207" i="2"/>
  <c r="E207" i="2"/>
  <c r="D207" i="2"/>
  <c r="C207" i="2"/>
  <c r="B207" i="2"/>
  <c r="A207" i="2"/>
  <c r="BK206" i="2"/>
  <c r="BJ206" i="2"/>
  <c r="BI206" i="2"/>
  <c r="BH206" i="2"/>
  <c r="BG206" i="2"/>
  <c r="BF206" i="2"/>
  <c r="BE206" i="2"/>
  <c r="BD206" i="2"/>
  <c r="BC206" i="2"/>
  <c r="BB206" i="2"/>
  <c r="BA206" i="2"/>
  <c r="AZ206" i="2"/>
  <c r="AY206" i="2"/>
  <c r="AX206"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Z206" i="2"/>
  <c r="Y206" i="2"/>
  <c r="X206" i="2"/>
  <c r="W206" i="2"/>
  <c r="V206" i="2"/>
  <c r="U206" i="2"/>
  <c r="T206" i="2"/>
  <c r="S206" i="2"/>
  <c r="R206" i="2"/>
  <c r="Q206" i="2"/>
  <c r="P206" i="2"/>
  <c r="O206" i="2"/>
  <c r="N206" i="2"/>
  <c r="M206" i="2"/>
  <c r="L206" i="2"/>
  <c r="K206" i="2"/>
  <c r="J206" i="2"/>
  <c r="I206" i="2"/>
  <c r="H206" i="2"/>
  <c r="G206" i="2"/>
  <c r="F206" i="2"/>
  <c r="E206" i="2"/>
  <c r="D206" i="2"/>
  <c r="C206" i="2"/>
  <c r="B206" i="2"/>
  <c r="A206" i="2"/>
  <c r="BK205" i="2"/>
  <c r="BJ205" i="2"/>
  <c r="BI205" i="2"/>
  <c r="BH205" i="2"/>
  <c r="BG205" i="2"/>
  <c r="BF205" i="2"/>
  <c r="BE205" i="2"/>
  <c r="BD205" i="2"/>
  <c r="BC205" i="2"/>
  <c r="BB205" i="2"/>
  <c r="BA205" i="2"/>
  <c r="AZ205" i="2"/>
  <c r="AY205" i="2"/>
  <c r="AX205" i="2"/>
  <c r="AW205" i="2"/>
  <c r="AV205" i="2"/>
  <c r="AU205" i="2"/>
  <c r="AT205" i="2"/>
  <c r="AS205" i="2"/>
  <c r="AR205" i="2"/>
  <c r="AQ205" i="2"/>
  <c r="AP205" i="2"/>
  <c r="AO205" i="2"/>
  <c r="AN205" i="2"/>
  <c r="AM205" i="2"/>
  <c r="AL205" i="2"/>
  <c r="AK205" i="2"/>
  <c r="AJ205" i="2"/>
  <c r="AI205" i="2"/>
  <c r="AH205" i="2"/>
  <c r="AG205" i="2"/>
  <c r="AF205" i="2"/>
  <c r="AE205" i="2"/>
  <c r="AD205" i="2"/>
  <c r="AC205" i="2"/>
  <c r="AB205" i="2"/>
  <c r="AA205" i="2"/>
  <c r="Z205" i="2"/>
  <c r="Y205" i="2"/>
  <c r="X205" i="2"/>
  <c r="W205" i="2"/>
  <c r="V205" i="2"/>
  <c r="U205" i="2"/>
  <c r="T205" i="2"/>
  <c r="S205" i="2"/>
  <c r="R205" i="2"/>
  <c r="Q205" i="2"/>
  <c r="P205" i="2"/>
  <c r="O205" i="2"/>
  <c r="N205" i="2"/>
  <c r="M205" i="2"/>
  <c r="L205" i="2"/>
  <c r="K205" i="2"/>
  <c r="J205" i="2"/>
  <c r="I205" i="2"/>
  <c r="H205" i="2"/>
  <c r="G205" i="2"/>
  <c r="F205" i="2"/>
  <c r="E205" i="2"/>
  <c r="D205" i="2"/>
  <c r="C205" i="2"/>
  <c r="B205" i="2"/>
  <c r="A205" i="2"/>
  <c r="BK204" i="2"/>
  <c r="BJ204" i="2"/>
  <c r="BI204" i="2"/>
  <c r="BH204" i="2"/>
  <c r="BG204" i="2"/>
  <c r="BF204" i="2"/>
  <c r="BE204" i="2"/>
  <c r="BD204" i="2"/>
  <c r="BC204" i="2"/>
  <c r="BB204" i="2"/>
  <c r="BA204" i="2"/>
  <c r="AZ204" i="2"/>
  <c r="AY204" i="2"/>
  <c r="AX204" i="2"/>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Z204" i="2"/>
  <c r="Y204" i="2"/>
  <c r="X204" i="2"/>
  <c r="W204" i="2"/>
  <c r="V204" i="2"/>
  <c r="U204" i="2"/>
  <c r="T204" i="2"/>
  <c r="S204" i="2"/>
  <c r="R204" i="2"/>
  <c r="Q204" i="2"/>
  <c r="P204" i="2"/>
  <c r="O204" i="2"/>
  <c r="N204" i="2"/>
  <c r="M204" i="2"/>
  <c r="L204" i="2"/>
  <c r="K204" i="2"/>
  <c r="J204" i="2"/>
  <c r="I204" i="2"/>
  <c r="H204" i="2"/>
  <c r="G204" i="2"/>
  <c r="F204" i="2"/>
  <c r="E204" i="2"/>
  <c r="D204" i="2"/>
  <c r="C204" i="2"/>
  <c r="B204" i="2"/>
  <c r="A204" i="2"/>
  <c r="BK203" i="2"/>
  <c r="BJ203" i="2"/>
  <c r="BI203" i="2"/>
  <c r="BH203" i="2"/>
  <c r="BG203" i="2"/>
  <c r="BF203" i="2"/>
  <c r="BE203" i="2"/>
  <c r="BD203" i="2"/>
  <c r="BC203" i="2"/>
  <c r="BB203" i="2"/>
  <c r="BA203" i="2"/>
  <c r="AZ203" i="2"/>
  <c r="AY203" i="2"/>
  <c r="AX203" i="2"/>
  <c r="AW203" i="2"/>
  <c r="AV203" i="2"/>
  <c r="AU203" i="2"/>
  <c r="AT203" i="2"/>
  <c r="AS203" i="2"/>
  <c r="AR203" i="2"/>
  <c r="AQ203" i="2"/>
  <c r="AP203" i="2"/>
  <c r="AO203" i="2"/>
  <c r="AN203" i="2"/>
  <c r="AM203" i="2"/>
  <c r="AL203" i="2"/>
  <c r="AK203" i="2"/>
  <c r="AJ203" i="2"/>
  <c r="AI203" i="2"/>
  <c r="AH203" i="2"/>
  <c r="AG203" i="2"/>
  <c r="AF203" i="2"/>
  <c r="AE203" i="2"/>
  <c r="AD203" i="2"/>
  <c r="AC203" i="2"/>
  <c r="AB203" i="2"/>
  <c r="AA203" i="2"/>
  <c r="Z203" i="2"/>
  <c r="Y203" i="2"/>
  <c r="X203" i="2"/>
  <c r="W203" i="2"/>
  <c r="V203" i="2"/>
  <c r="U203" i="2"/>
  <c r="T203" i="2"/>
  <c r="S203" i="2"/>
  <c r="R203" i="2"/>
  <c r="Q203" i="2"/>
  <c r="P203" i="2"/>
  <c r="O203" i="2"/>
  <c r="N203" i="2"/>
  <c r="M203" i="2"/>
  <c r="L203" i="2"/>
  <c r="K203" i="2"/>
  <c r="J203" i="2"/>
  <c r="I203" i="2"/>
  <c r="H203" i="2"/>
  <c r="G203" i="2"/>
  <c r="F203" i="2"/>
  <c r="E203" i="2"/>
  <c r="D203" i="2"/>
  <c r="C203" i="2"/>
  <c r="B203" i="2"/>
  <c r="A203" i="2"/>
  <c r="BK202" i="2"/>
  <c r="BJ202" i="2"/>
  <c r="BI202" i="2"/>
  <c r="BH202" i="2"/>
  <c r="BG202" i="2"/>
  <c r="BF202" i="2"/>
  <c r="BE202" i="2"/>
  <c r="BD202" i="2"/>
  <c r="BC202" i="2"/>
  <c r="BB202" i="2"/>
  <c r="BA202" i="2"/>
  <c r="AZ202" i="2"/>
  <c r="AY202" i="2"/>
  <c r="AX202" i="2"/>
  <c r="AW202" i="2"/>
  <c r="AV202" i="2"/>
  <c r="AU202" i="2"/>
  <c r="AT202" i="2"/>
  <c r="AS202" i="2"/>
  <c r="AR202" i="2"/>
  <c r="AQ202" i="2"/>
  <c r="AP202" i="2"/>
  <c r="AO202" i="2"/>
  <c r="AN202" i="2"/>
  <c r="AM202" i="2"/>
  <c r="AL202" i="2"/>
  <c r="AK202" i="2"/>
  <c r="AJ202" i="2"/>
  <c r="AI202" i="2"/>
  <c r="AH202" i="2"/>
  <c r="AG202" i="2"/>
  <c r="AF202" i="2"/>
  <c r="AE202" i="2"/>
  <c r="AD202" i="2"/>
  <c r="AC202" i="2"/>
  <c r="AB202" i="2"/>
  <c r="AA202" i="2"/>
  <c r="Z202" i="2"/>
  <c r="Y202" i="2"/>
  <c r="X202" i="2"/>
  <c r="W202" i="2"/>
  <c r="V202" i="2"/>
  <c r="U202" i="2"/>
  <c r="T202" i="2"/>
  <c r="S202" i="2"/>
  <c r="R202" i="2"/>
  <c r="Q202" i="2"/>
  <c r="P202" i="2"/>
  <c r="O202" i="2"/>
  <c r="N202" i="2"/>
  <c r="M202" i="2"/>
  <c r="L202" i="2"/>
  <c r="K202" i="2"/>
  <c r="J202" i="2"/>
  <c r="I202" i="2"/>
  <c r="H202" i="2"/>
  <c r="G202" i="2"/>
  <c r="F202" i="2"/>
  <c r="E202" i="2"/>
  <c r="D202" i="2"/>
  <c r="C202" i="2"/>
  <c r="B202" i="2"/>
  <c r="A202" i="2"/>
  <c r="BK201" i="2"/>
  <c r="BJ201" i="2"/>
  <c r="BI201" i="2"/>
  <c r="BH201" i="2"/>
  <c r="BG201" i="2"/>
  <c r="BF201" i="2"/>
  <c r="BE201" i="2"/>
  <c r="BD201" i="2"/>
  <c r="BC201" i="2"/>
  <c r="BB201" i="2"/>
  <c r="BA201" i="2"/>
  <c r="AZ201" i="2"/>
  <c r="AY201" i="2"/>
  <c r="AX201" i="2"/>
  <c r="AW201" i="2"/>
  <c r="AV201" i="2"/>
  <c r="AU201" i="2"/>
  <c r="AT201" i="2"/>
  <c r="AS201" i="2"/>
  <c r="AR201" i="2"/>
  <c r="AQ201" i="2"/>
  <c r="AP201" i="2"/>
  <c r="AO201" i="2"/>
  <c r="AN201" i="2"/>
  <c r="AM201" i="2"/>
  <c r="AL201" i="2"/>
  <c r="AK201" i="2"/>
  <c r="AJ201" i="2"/>
  <c r="AI201" i="2"/>
  <c r="AH201" i="2"/>
  <c r="AG201" i="2"/>
  <c r="AF201" i="2"/>
  <c r="AE201" i="2"/>
  <c r="AD201" i="2"/>
  <c r="AC201" i="2"/>
  <c r="AB201" i="2"/>
  <c r="AA201" i="2"/>
  <c r="Z201" i="2"/>
  <c r="Y201" i="2"/>
  <c r="X201" i="2"/>
  <c r="W201" i="2"/>
  <c r="V201" i="2"/>
  <c r="U201" i="2"/>
  <c r="T201" i="2"/>
  <c r="S201" i="2"/>
  <c r="R201" i="2"/>
  <c r="Q201" i="2"/>
  <c r="P201" i="2"/>
  <c r="O201" i="2"/>
  <c r="N201" i="2"/>
  <c r="M201" i="2"/>
  <c r="L201" i="2"/>
  <c r="K201" i="2"/>
  <c r="J201" i="2"/>
  <c r="I201" i="2"/>
  <c r="H201" i="2"/>
  <c r="G201" i="2"/>
  <c r="F201" i="2"/>
  <c r="E201" i="2"/>
  <c r="D201" i="2"/>
  <c r="C201" i="2"/>
  <c r="B201" i="2"/>
  <c r="A201" i="2"/>
  <c r="BK200" i="2"/>
  <c r="BJ200" i="2"/>
  <c r="BI200" i="2"/>
  <c r="BH200" i="2"/>
  <c r="BG200" i="2"/>
  <c r="BF200" i="2"/>
  <c r="BE200" i="2"/>
  <c r="BD200" i="2"/>
  <c r="BC200" i="2"/>
  <c r="BB200" i="2"/>
  <c r="BA200" i="2"/>
  <c r="AZ200" i="2"/>
  <c r="AY200" i="2"/>
  <c r="AX200"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Z200" i="2"/>
  <c r="Y200" i="2"/>
  <c r="X200" i="2"/>
  <c r="W200" i="2"/>
  <c r="V200" i="2"/>
  <c r="U200" i="2"/>
  <c r="T200" i="2"/>
  <c r="S200" i="2"/>
  <c r="R200" i="2"/>
  <c r="Q200" i="2"/>
  <c r="P200" i="2"/>
  <c r="O200" i="2"/>
  <c r="N200" i="2"/>
  <c r="M200" i="2"/>
  <c r="L200" i="2"/>
  <c r="K200" i="2"/>
  <c r="J200" i="2"/>
  <c r="I200" i="2"/>
  <c r="H200" i="2"/>
  <c r="G200" i="2"/>
  <c r="F200" i="2"/>
  <c r="E200" i="2"/>
  <c r="D200" i="2"/>
  <c r="C200" i="2"/>
  <c r="B200" i="2"/>
  <c r="A200" i="2"/>
  <c r="BK199" i="2"/>
  <c r="BJ199" i="2"/>
  <c r="BI199" i="2"/>
  <c r="BH199" i="2"/>
  <c r="BG199" i="2"/>
  <c r="BF199" i="2"/>
  <c r="BE199" i="2"/>
  <c r="BD199" i="2"/>
  <c r="BC199" i="2"/>
  <c r="BB199" i="2"/>
  <c r="BA199" i="2"/>
  <c r="AZ199" i="2"/>
  <c r="AY199" i="2"/>
  <c r="AX199" i="2"/>
  <c r="AW199" i="2"/>
  <c r="AV199" i="2"/>
  <c r="AU199" i="2"/>
  <c r="AT199" i="2"/>
  <c r="AS199" i="2"/>
  <c r="AR199" i="2"/>
  <c r="AQ199" i="2"/>
  <c r="AP199" i="2"/>
  <c r="AO199" i="2"/>
  <c r="AN199" i="2"/>
  <c r="AM199" i="2"/>
  <c r="AL199" i="2"/>
  <c r="AK199" i="2"/>
  <c r="AJ199" i="2"/>
  <c r="AI199" i="2"/>
  <c r="AH199" i="2"/>
  <c r="AG199" i="2"/>
  <c r="AF199" i="2"/>
  <c r="AE199" i="2"/>
  <c r="AD199" i="2"/>
  <c r="AC199" i="2"/>
  <c r="AB199" i="2"/>
  <c r="AA199" i="2"/>
  <c r="Z199" i="2"/>
  <c r="Y199" i="2"/>
  <c r="X199" i="2"/>
  <c r="W199" i="2"/>
  <c r="V199" i="2"/>
  <c r="U199" i="2"/>
  <c r="T199" i="2"/>
  <c r="S199" i="2"/>
  <c r="R199" i="2"/>
  <c r="Q199" i="2"/>
  <c r="P199" i="2"/>
  <c r="O199" i="2"/>
  <c r="N199" i="2"/>
  <c r="M199" i="2"/>
  <c r="L199" i="2"/>
  <c r="K199" i="2"/>
  <c r="J199" i="2"/>
  <c r="I199" i="2"/>
  <c r="H199" i="2"/>
  <c r="G199" i="2"/>
  <c r="F199" i="2"/>
  <c r="E199" i="2"/>
  <c r="D199" i="2"/>
  <c r="C199" i="2"/>
  <c r="B199" i="2"/>
  <c r="A199" i="2"/>
  <c r="BK198" i="2"/>
  <c r="BJ198" i="2"/>
  <c r="BI198" i="2"/>
  <c r="BH198" i="2"/>
  <c r="BG198" i="2"/>
  <c r="BF198" i="2"/>
  <c r="BE198" i="2"/>
  <c r="BD198" i="2"/>
  <c r="BC198" i="2"/>
  <c r="BB198" i="2"/>
  <c r="BA198" i="2"/>
  <c r="AZ198" i="2"/>
  <c r="AY198" i="2"/>
  <c r="AX198" i="2"/>
  <c r="AW198" i="2"/>
  <c r="AV198" i="2"/>
  <c r="AU198" i="2"/>
  <c r="AT198" i="2"/>
  <c r="AS198" i="2"/>
  <c r="AR198" i="2"/>
  <c r="AQ198" i="2"/>
  <c r="AP198" i="2"/>
  <c r="AO198" i="2"/>
  <c r="AN198" i="2"/>
  <c r="AM198" i="2"/>
  <c r="AL198" i="2"/>
  <c r="AK198" i="2"/>
  <c r="AJ198" i="2"/>
  <c r="AI198" i="2"/>
  <c r="AH198" i="2"/>
  <c r="AG198" i="2"/>
  <c r="AF198" i="2"/>
  <c r="AE198" i="2"/>
  <c r="AD198" i="2"/>
  <c r="AC198" i="2"/>
  <c r="AB198" i="2"/>
  <c r="AA198" i="2"/>
  <c r="Z198" i="2"/>
  <c r="Y198" i="2"/>
  <c r="X198" i="2"/>
  <c r="W198" i="2"/>
  <c r="V198" i="2"/>
  <c r="U198" i="2"/>
  <c r="T198" i="2"/>
  <c r="S198" i="2"/>
  <c r="R198" i="2"/>
  <c r="Q198" i="2"/>
  <c r="P198" i="2"/>
  <c r="O198" i="2"/>
  <c r="N198" i="2"/>
  <c r="M198" i="2"/>
  <c r="L198" i="2"/>
  <c r="K198" i="2"/>
  <c r="J198" i="2"/>
  <c r="I198" i="2"/>
  <c r="H198" i="2"/>
  <c r="G198" i="2"/>
  <c r="F198" i="2"/>
  <c r="E198" i="2"/>
  <c r="D198" i="2"/>
  <c r="C198" i="2"/>
  <c r="B198" i="2"/>
  <c r="A198" i="2"/>
  <c r="BK197" i="2"/>
  <c r="BJ197" i="2"/>
  <c r="BI197" i="2"/>
  <c r="BH197" i="2"/>
  <c r="BG197" i="2"/>
  <c r="BF197" i="2"/>
  <c r="BE197" i="2"/>
  <c r="BD197" i="2"/>
  <c r="BC197" i="2"/>
  <c r="BB197" i="2"/>
  <c r="BA197" i="2"/>
  <c r="AZ197" i="2"/>
  <c r="AY197" i="2"/>
  <c r="AX197" i="2"/>
  <c r="AW197" i="2"/>
  <c r="AV197" i="2"/>
  <c r="AU197" i="2"/>
  <c r="AT197" i="2"/>
  <c r="AS197" i="2"/>
  <c r="AR197" i="2"/>
  <c r="AQ197" i="2"/>
  <c r="AP197" i="2"/>
  <c r="AO197" i="2"/>
  <c r="AN197" i="2"/>
  <c r="AM197" i="2"/>
  <c r="AL197" i="2"/>
  <c r="AK197" i="2"/>
  <c r="AJ197" i="2"/>
  <c r="AI197" i="2"/>
  <c r="AH197" i="2"/>
  <c r="AG197" i="2"/>
  <c r="AF197" i="2"/>
  <c r="AE197" i="2"/>
  <c r="AD197" i="2"/>
  <c r="AC197" i="2"/>
  <c r="AB197" i="2"/>
  <c r="AA197" i="2"/>
  <c r="Z197" i="2"/>
  <c r="Y197" i="2"/>
  <c r="X197" i="2"/>
  <c r="W197" i="2"/>
  <c r="V197" i="2"/>
  <c r="U197" i="2"/>
  <c r="T197" i="2"/>
  <c r="S197" i="2"/>
  <c r="R197" i="2"/>
  <c r="Q197" i="2"/>
  <c r="P197" i="2"/>
  <c r="O197" i="2"/>
  <c r="N197" i="2"/>
  <c r="M197" i="2"/>
  <c r="L197" i="2"/>
  <c r="K197" i="2"/>
  <c r="J197" i="2"/>
  <c r="I197" i="2"/>
  <c r="H197" i="2"/>
  <c r="G197" i="2"/>
  <c r="F197" i="2"/>
  <c r="E197" i="2"/>
  <c r="D197" i="2"/>
  <c r="C197" i="2"/>
  <c r="B197" i="2"/>
  <c r="A197" i="2"/>
  <c r="BK196" i="2"/>
  <c r="BJ196" i="2"/>
  <c r="BI196" i="2"/>
  <c r="BH196" i="2"/>
  <c r="BG196" i="2"/>
  <c r="BF196" i="2"/>
  <c r="BE196" i="2"/>
  <c r="BD196" i="2"/>
  <c r="BC196" i="2"/>
  <c r="BB196" i="2"/>
  <c r="BA196" i="2"/>
  <c r="AZ196" i="2"/>
  <c r="AY196" i="2"/>
  <c r="AX196" i="2"/>
  <c r="AW196" i="2"/>
  <c r="AV196" i="2"/>
  <c r="AU196" i="2"/>
  <c r="AT196" i="2"/>
  <c r="AS196" i="2"/>
  <c r="AR196" i="2"/>
  <c r="AQ196" i="2"/>
  <c r="AP196" i="2"/>
  <c r="AO196" i="2"/>
  <c r="AN196" i="2"/>
  <c r="AM196" i="2"/>
  <c r="AL196" i="2"/>
  <c r="AK196" i="2"/>
  <c r="AJ196" i="2"/>
  <c r="AI196" i="2"/>
  <c r="AH196" i="2"/>
  <c r="AG196" i="2"/>
  <c r="AF196" i="2"/>
  <c r="AE196" i="2"/>
  <c r="AD196" i="2"/>
  <c r="AC196" i="2"/>
  <c r="AB196" i="2"/>
  <c r="AA196" i="2"/>
  <c r="Z196" i="2"/>
  <c r="Y196" i="2"/>
  <c r="X196" i="2"/>
  <c r="W196" i="2"/>
  <c r="V196" i="2"/>
  <c r="U196" i="2"/>
  <c r="T196" i="2"/>
  <c r="S196" i="2"/>
  <c r="R196" i="2"/>
  <c r="Q196" i="2"/>
  <c r="P196" i="2"/>
  <c r="O196" i="2"/>
  <c r="N196" i="2"/>
  <c r="M196" i="2"/>
  <c r="L196" i="2"/>
  <c r="K196" i="2"/>
  <c r="J196" i="2"/>
  <c r="I196" i="2"/>
  <c r="H196" i="2"/>
  <c r="G196" i="2"/>
  <c r="F196" i="2"/>
  <c r="E196" i="2"/>
  <c r="D196" i="2"/>
  <c r="C196" i="2"/>
  <c r="B196" i="2"/>
  <c r="A196" i="2"/>
  <c r="BK195" i="2"/>
  <c r="BJ195" i="2"/>
  <c r="BI195" i="2"/>
  <c r="BH195" i="2"/>
  <c r="BG195" i="2"/>
  <c r="BF195" i="2"/>
  <c r="BE195" i="2"/>
  <c r="BD195" i="2"/>
  <c r="BC195" i="2"/>
  <c r="BB195" i="2"/>
  <c r="BA195" i="2"/>
  <c r="AZ195" i="2"/>
  <c r="AY195" i="2"/>
  <c r="AX195" i="2"/>
  <c r="AW195" i="2"/>
  <c r="AV195" i="2"/>
  <c r="AU195" i="2"/>
  <c r="AT195" i="2"/>
  <c r="AS195" i="2"/>
  <c r="AR195" i="2"/>
  <c r="AQ195" i="2"/>
  <c r="AP195" i="2"/>
  <c r="AO195" i="2"/>
  <c r="AN195" i="2"/>
  <c r="AM195" i="2"/>
  <c r="AL195" i="2"/>
  <c r="AK195" i="2"/>
  <c r="AJ195" i="2"/>
  <c r="AI195" i="2"/>
  <c r="AH195" i="2"/>
  <c r="AG195" i="2"/>
  <c r="AF195" i="2"/>
  <c r="AE195" i="2"/>
  <c r="AD195" i="2"/>
  <c r="AC195" i="2"/>
  <c r="AB195" i="2"/>
  <c r="AA195" i="2"/>
  <c r="Z195" i="2"/>
  <c r="Y195" i="2"/>
  <c r="X195" i="2"/>
  <c r="W195" i="2"/>
  <c r="V195" i="2"/>
  <c r="U195" i="2"/>
  <c r="T195" i="2"/>
  <c r="S195" i="2"/>
  <c r="R195" i="2"/>
  <c r="Q195" i="2"/>
  <c r="P195" i="2"/>
  <c r="O195" i="2"/>
  <c r="N195" i="2"/>
  <c r="M195" i="2"/>
  <c r="L195" i="2"/>
  <c r="K195" i="2"/>
  <c r="J195" i="2"/>
  <c r="I195" i="2"/>
  <c r="H195" i="2"/>
  <c r="G195" i="2"/>
  <c r="F195" i="2"/>
  <c r="E195" i="2"/>
  <c r="D195" i="2"/>
  <c r="C195" i="2"/>
  <c r="B195" i="2"/>
  <c r="A195" i="2"/>
  <c r="BK194" i="2"/>
  <c r="BJ194" i="2"/>
  <c r="BI194" i="2"/>
  <c r="BH194" i="2"/>
  <c r="BG194" i="2"/>
  <c r="BF194" i="2"/>
  <c r="BE194" i="2"/>
  <c r="BD194" i="2"/>
  <c r="BC194" i="2"/>
  <c r="BB194" i="2"/>
  <c r="BA194" i="2"/>
  <c r="AZ194" i="2"/>
  <c r="AY194" i="2"/>
  <c r="AX194"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Z194" i="2"/>
  <c r="Y194" i="2"/>
  <c r="X194" i="2"/>
  <c r="W194" i="2"/>
  <c r="V194" i="2"/>
  <c r="U194" i="2"/>
  <c r="T194" i="2"/>
  <c r="S194" i="2"/>
  <c r="R194" i="2"/>
  <c r="Q194" i="2"/>
  <c r="P194" i="2"/>
  <c r="O194" i="2"/>
  <c r="N194" i="2"/>
  <c r="M194" i="2"/>
  <c r="L194" i="2"/>
  <c r="K194" i="2"/>
  <c r="J194" i="2"/>
  <c r="I194" i="2"/>
  <c r="H194" i="2"/>
  <c r="G194" i="2"/>
  <c r="F194" i="2"/>
  <c r="E194" i="2"/>
  <c r="D194" i="2"/>
  <c r="C194" i="2"/>
  <c r="B194" i="2"/>
  <c r="A194" i="2"/>
  <c r="BK193" i="2"/>
  <c r="BJ193" i="2"/>
  <c r="BI193" i="2"/>
  <c r="BH193" i="2"/>
  <c r="BG193" i="2"/>
  <c r="BF193" i="2"/>
  <c r="BE193" i="2"/>
  <c r="BD193" i="2"/>
  <c r="BC193" i="2"/>
  <c r="BB193" i="2"/>
  <c r="BA193" i="2"/>
  <c r="AZ193" i="2"/>
  <c r="AY193" i="2"/>
  <c r="AX193" i="2"/>
  <c r="AW193" i="2"/>
  <c r="AV193" i="2"/>
  <c r="AU193" i="2"/>
  <c r="AT193" i="2"/>
  <c r="AS193" i="2"/>
  <c r="AR193" i="2"/>
  <c r="AQ193" i="2"/>
  <c r="AP193" i="2"/>
  <c r="AO193" i="2"/>
  <c r="AN193" i="2"/>
  <c r="AM193" i="2"/>
  <c r="AL193" i="2"/>
  <c r="AK193" i="2"/>
  <c r="AJ193" i="2"/>
  <c r="AI193" i="2"/>
  <c r="AH193" i="2"/>
  <c r="AG193" i="2"/>
  <c r="AF193" i="2"/>
  <c r="AE193" i="2"/>
  <c r="AD193" i="2"/>
  <c r="AC193" i="2"/>
  <c r="AB193" i="2"/>
  <c r="AA193" i="2"/>
  <c r="Z193" i="2"/>
  <c r="Y193" i="2"/>
  <c r="X193" i="2"/>
  <c r="W193" i="2"/>
  <c r="V193" i="2"/>
  <c r="U193" i="2"/>
  <c r="T193" i="2"/>
  <c r="S193" i="2"/>
  <c r="R193" i="2"/>
  <c r="Q193" i="2"/>
  <c r="P193" i="2"/>
  <c r="O193" i="2"/>
  <c r="N193" i="2"/>
  <c r="M193" i="2"/>
  <c r="L193" i="2"/>
  <c r="K193" i="2"/>
  <c r="J193" i="2"/>
  <c r="I193" i="2"/>
  <c r="H193" i="2"/>
  <c r="G193" i="2"/>
  <c r="F193" i="2"/>
  <c r="E193" i="2"/>
  <c r="D193" i="2"/>
  <c r="C193" i="2"/>
  <c r="B193" i="2"/>
  <c r="A193" i="2"/>
  <c r="BK192" i="2"/>
  <c r="BJ192" i="2"/>
  <c r="BI192" i="2"/>
  <c r="BH192" i="2"/>
  <c r="BG192" i="2"/>
  <c r="BF192" i="2"/>
  <c r="BE192" i="2"/>
  <c r="BD192" i="2"/>
  <c r="BC192" i="2"/>
  <c r="BB192" i="2"/>
  <c r="BA192" i="2"/>
  <c r="AZ192" i="2"/>
  <c r="AY192" i="2"/>
  <c r="AX192" i="2"/>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Z192" i="2"/>
  <c r="Y192" i="2"/>
  <c r="X192" i="2"/>
  <c r="W192" i="2"/>
  <c r="V192" i="2"/>
  <c r="U192" i="2"/>
  <c r="T192" i="2"/>
  <c r="S192" i="2"/>
  <c r="R192" i="2"/>
  <c r="Q192" i="2"/>
  <c r="P192" i="2"/>
  <c r="O192" i="2"/>
  <c r="N192" i="2"/>
  <c r="M192" i="2"/>
  <c r="L192" i="2"/>
  <c r="K192" i="2"/>
  <c r="J192" i="2"/>
  <c r="I192" i="2"/>
  <c r="H192" i="2"/>
  <c r="G192" i="2"/>
  <c r="F192" i="2"/>
  <c r="E192" i="2"/>
  <c r="D192" i="2"/>
  <c r="C192" i="2"/>
  <c r="B192" i="2"/>
  <c r="A192" i="2"/>
  <c r="BK191" i="2"/>
  <c r="BJ191" i="2"/>
  <c r="BI191" i="2"/>
  <c r="BH191" i="2"/>
  <c r="BG191" i="2"/>
  <c r="BF191" i="2"/>
  <c r="BE191" i="2"/>
  <c r="BD191" i="2"/>
  <c r="BC191" i="2"/>
  <c r="BB191" i="2"/>
  <c r="BA191" i="2"/>
  <c r="AZ191" i="2"/>
  <c r="AY191" i="2"/>
  <c r="AX191" i="2"/>
  <c r="AW191" i="2"/>
  <c r="AV191" i="2"/>
  <c r="AU191" i="2"/>
  <c r="AT191" i="2"/>
  <c r="AS191" i="2"/>
  <c r="AR191" i="2"/>
  <c r="AQ191" i="2"/>
  <c r="AP191" i="2"/>
  <c r="AO191" i="2"/>
  <c r="AN191" i="2"/>
  <c r="AM191" i="2"/>
  <c r="AL191" i="2"/>
  <c r="AK191" i="2"/>
  <c r="AJ191" i="2"/>
  <c r="AI191" i="2"/>
  <c r="AH191" i="2"/>
  <c r="AG191" i="2"/>
  <c r="AF191" i="2"/>
  <c r="AE191" i="2"/>
  <c r="AD191" i="2"/>
  <c r="AC191" i="2"/>
  <c r="AB191" i="2"/>
  <c r="AA191" i="2"/>
  <c r="Z191" i="2"/>
  <c r="Y191" i="2"/>
  <c r="X191" i="2"/>
  <c r="W191" i="2"/>
  <c r="V191" i="2"/>
  <c r="U191" i="2"/>
  <c r="T191" i="2"/>
  <c r="S191" i="2"/>
  <c r="R191" i="2"/>
  <c r="Q191" i="2"/>
  <c r="P191" i="2"/>
  <c r="O191" i="2"/>
  <c r="N191" i="2"/>
  <c r="M191" i="2"/>
  <c r="L191" i="2"/>
  <c r="K191" i="2"/>
  <c r="J191" i="2"/>
  <c r="I191" i="2"/>
  <c r="H191" i="2"/>
  <c r="G191" i="2"/>
  <c r="F191" i="2"/>
  <c r="E191" i="2"/>
  <c r="D191" i="2"/>
  <c r="C191" i="2"/>
  <c r="B191" i="2"/>
  <c r="A191" i="2"/>
  <c r="BK190" i="2"/>
  <c r="BJ190" i="2"/>
  <c r="BI190" i="2"/>
  <c r="BH190" i="2"/>
  <c r="BG190" i="2"/>
  <c r="BF190" i="2"/>
  <c r="BE190" i="2"/>
  <c r="BD190" i="2"/>
  <c r="BC190" i="2"/>
  <c r="BB190" i="2"/>
  <c r="BA190" i="2"/>
  <c r="AZ190" i="2"/>
  <c r="AY190" i="2"/>
  <c r="AX190" i="2"/>
  <c r="AW190" i="2"/>
  <c r="AV190" i="2"/>
  <c r="AU190" i="2"/>
  <c r="AT190" i="2"/>
  <c r="AS190" i="2"/>
  <c r="AR190" i="2"/>
  <c r="AQ190" i="2"/>
  <c r="AP190" i="2"/>
  <c r="AO190" i="2"/>
  <c r="AN190" i="2"/>
  <c r="AM190" i="2"/>
  <c r="AL190" i="2"/>
  <c r="AK190" i="2"/>
  <c r="AJ190" i="2"/>
  <c r="AI190" i="2"/>
  <c r="AH190" i="2"/>
  <c r="AG190" i="2"/>
  <c r="AF190" i="2"/>
  <c r="AE190" i="2"/>
  <c r="AD190" i="2"/>
  <c r="AC190" i="2"/>
  <c r="AB190" i="2"/>
  <c r="AA190" i="2"/>
  <c r="Z190" i="2"/>
  <c r="Y190" i="2"/>
  <c r="X190" i="2"/>
  <c r="W190" i="2"/>
  <c r="V190" i="2"/>
  <c r="U190" i="2"/>
  <c r="T190" i="2"/>
  <c r="S190" i="2"/>
  <c r="R190" i="2"/>
  <c r="Q190" i="2"/>
  <c r="P190" i="2"/>
  <c r="O190" i="2"/>
  <c r="N190" i="2"/>
  <c r="M190" i="2"/>
  <c r="L190" i="2"/>
  <c r="K190" i="2"/>
  <c r="J190" i="2"/>
  <c r="I190" i="2"/>
  <c r="H190" i="2"/>
  <c r="G190" i="2"/>
  <c r="F190" i="2"/>
  <c r="E190" i="2"/>
  <c r="D190" i="2"/>
  <c r="C190" i="2"/>
  <c r="B190" i="2"/>
  <c r="A190" i="2"/>
  <c r="BK189" i="2"/>
  <c r="BJ189" i="2"/>
  <c r="BI189" i="2"/>
  <c r="BH189" i="2"/>
  <c r="BG189" i="2"/>
  <c r="BF189" i="2"/>
  <c r="BE189" i="2"/>
  <c r="BD189" i="2"/>
  <c r="BC189" i="2"/>
  <c r="BB189" i="2"/>
  <c r="BA189" i="2"/>
  <c r="AZ189" i="2"/>
  <c r="AY189" i="2"/>
  <c r="AX189" i="2"/>
  <c r="AW189" i="2"/>
  <c r="AV189" i="2"/>
  <c r="AU189" i="2"/>
  <c r="AT189" i="2"/>
  <c r="AS189" i="2"/>
  <c r="AR189" i="2"/>
  <c r="AQ189" i="2"/>
  <c r="AP189" i="2"/>
  <c r="AO189" i="2"/>
  <c r="AN189" i="2"/>
  <c r="AM189" i="2"/>
  <c r="AL189" i="2"/>
  <c r="AK189" i="2"/>
  <c r="AJ189" i="2"/>
  <c r="AI189" i="2"/>
  <c r="AH189" i="2"/>
  <c r="AG189" i="2"/>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D189" i="2"/>
  <c r="C189" i="2"/>
  <c r="B189" i="2"/>
  <c r="A189" i="2"/>
  <c r="BK188" i="2"/>
  <c r="BJ188" i="2"/>
  <c r="BI188" i="2"/>
  <c r="BH188" i="2"/>
  <c r="BG188" i="2"/>
  <c r="BF188" i="2"/>
  <c r="BE188" i="2"/>
  <c r="BD188" i="2"/>
  <c r="BC188" i="2"/>
  <c r="BB188" i="2"/>
  <c r="BA188" i="2"/>
  <c r="AZ188" i="2"/>
  <c r="AY188" i="2"/>
  <c r="AX188"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D188" i="2"/>
  <c r="C188" i="2"/>
  <c r="B188" i="2"/>
  <c r="A188" i="2"/>
  <c r="BK187" i="2"/>
  <c r="BJ187" i="2"/>
  <c r="BI187" i="2"/>
  <c r="BH187" i="2"/>
  <c r="BG187" i="2"/>
  <c r="BF187" i="2"/>
  <c r="BE187" i="2"/>
  <c r="BD187" i="2"/>
  <c r="BC187" i="2"/>
  <c r="BB187" i="2"/>
  <c r="BA187" i="2"/>
  <c r="AZ187" i="2"/>
  <c r="AY187" i="2"/>
  <c r="AX187" i="2"/>
  <c r="AW187" i="2"/>
  <c r="AV187" i="2"/>
  <c r="AU187" i="2"/>
  <c r="AT187" i="2"/>
  <c r="AS187" i="2"/>
  <c r="AR187" i="2"/>
  <c r="AQ187" i="2"/>
  <c r="AP187" i="2"/>
  <c r="AO187" i="2"/>
  <c r="AN187" i="2"/>
  <c r="AM187" i="2"/>
  <c r="AL187" i="2"/>
  <c r="AK187" i="2"/>
  <c r="AJ187" i="2"/>
  <c r="AI187" i="2"/>
  <c r="AH187"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F187" i="2"/>
  <c r="E187" i="2"/>
  <c r="D187" i="2"/>
  <c r="C187" i="2"/>
  <c r="B187" i="2"/>
  <c r="A187" i="2"/>
  <c r="BK186" i="2"/>
  <c r="BJ186" i="2"/>
  <c r="BI186" i="2"/>
  <c r="BH186" i="2"/>
  <c r="BG186" i="2"/>
  <c r="BF186" i="2"/>
  <c r="BE186" i="2"/>
  <c r="BD186" i="2"/>
  <c r="BC186" i="2"/>
  <c r="BB186" i="2"/>
  <c r="BA186" i="2"/>
  <c r="AZ186" i="2"/>
  <c r="AY186" i="2"/>
  <c r="AX186" i="2"/>
  <c r="AW186" i="2"/>
  <c r="AV186" i="2"/>
  <c r="AU186" i="2"/>
  <c r="AT186" i="2"/>
  <c r="AS186" i="2"/>
  <c r="AR186" i="2"/>
  <c r="AQ186" i="2"/>
  <c r="AP186" i="2"/>
  <c r="AO186" i="2"/>
  <c r="AN186" i="2"/>
  <c r="AM186" i="2"/>
  <c r="AL186" i="2"/>
  <c r="AK186" i="2"/>
  <c r="AJ186" i="2"/>
  <c r="AI186" i="2"/>
  <c r="AH186" i="2"/>
  <c r="AG186" i="2"/>
  <c r="AF186" i="2"/>
  <c r="AE186" i="2"/>
  <c r="AD186" i="2"/>
  <c r="AC186" i="2"/>
  <c r="AB186" i="2"/>
  <c r="AA186" i="2"/>
  <c r="Z186" i="2"/>
  <c r="Y186" i="2"/>
  <c r="X186" i="2"/>
  <c r="W186" i="2"/>
  <c r="V186" i="2"/>
  <c r="U186" i="2"/>
  <c r="T186" i="2"/>
  <c r="S186" i="2"/>
  <c r="R186" i="2"/>
  <c r="Q186" i="2"/>
  <c r="P186" i="2"/>
  <c r="O186" i="2"/>
  <c r="N186" i="2"/>
  <c r="M186" i="2"/>
  <c r="L186" i="2"/>
  <c r="K186" i="2"/>
  <c r="J186" i="2"/>
  <c r="I186" i="2"/>
  <c r="H186" i="2"/>
  <c r="G186" i="2"/>
  <c r="F186" i="2"/>
  <c r="E186" i="2"/>
  <c r="D186" i="2"/>
  <c r="C186" i="2"/>
  <c r="B186" i="2"/>
  <c r="A186" i="2"/>
  <c r="BK185" i="2"/>
  <c r="BJ185" i="2"/>
  <c r="BI185" i="2"/>
  <c r="BH185" i="2"/>
  <c r="BG185" i="2"/>
  <c r="BF185" i="2"/>
  <c r="BE185" i="2"/>
  <c r="BD185" i="2"/>
  <c r="BC185" i="2"/>
  <c r="BB185" i="2"/>
  <c r="BA185" i="2"/>
  <c r="AZ185" i="2"/>
  <c r="AY185" i="2"/>
  <c r="AX185"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T185" i="2"/>
  <c r="S185" i="2"/>
  <c r="R185" i="2"/>
  <c r="Q185" i="2"/>
  <c r="P185" i="2"/>
  <c r="O185" i="2"/>
  <c r="N185" i="2"/>
  <c r="M185" i="2"/>
  <c r="L185" i="2"/>
  <c r="K185" i="2"/>
  <c r="J185" i="2"/>
  <c r="I185" i="2"/>
  <c r="H185" i="2"/>
  <c r="G185" i="2"/>
  <c r="F185" i="2"/>
  <c r="E185" i="2"/>
  <c r="D185" i="2"/>
  <c r="C185" i="2"/>
  <c r="B185" i="2"/>
  <c r="A185" i="2"/>
  <c r="BK184" i="2"/>
  <c r="BJ184" i="2"/>
  <c r="BI184" i="2"/>
  <c r="BH184" i="2"/>
  <c r="BG184" i="2"/>
  <c r="BF184" i="2"/>
  <c r="BE184" i="2"/>
  <c r="BD184" i="2"/>
  <c r="BC184" i="2"/>
  <c r="BB184" i="2"/>
  <c r="BA184" i="2"/>
  <c r="AZ184" i="2"/>
  <c r="AY184" i="2"/>
  <c r="AX184" i="2"/>
  <c r="AW184" i="2"/>
  <c r="AV184" i="2"/>
  <c r="AU184" i="2"/>
  <c r="AT184" i="2"/>
  <c r="AS184" i="2"/>
  <c r="AR184" i="2"/>
  <c r="AQ184" i="2"/>
  <c r="AP184" i="2"/>
  <c r="AO184" i="2"/>
  <c r="AN184" i="2"/>
  <c r="AM184" i="2"/>
  <c r="AL184" i="2"/>
  <c r="AK184" i="2"/>
  <c r="AJ184" i="2"/>
  <c r="AI184" i="2"/>
  <c r="AH184" i="2"/>
  <c r="AG184" i="2"/>
  <c r="AF184" i="2"/>
  <c r="AE184" i="2"/>
  <c r="AD184" i="2"/>
  <c r="AC184" i="2"/>
  <c r="AB184" i="2"/>
  <c r="AA184" i="2"/>
  <c r="Z184" i="2"/>
  <c r="Y184" i="2"/>
  <c r="X184" i="2"/>
  <c r="W184" i="2"/>
  <c r="V184" i="2"/>
  <c r="U184" i="2"/>
  <c r="T184" i="2"/>
  <c r="S184" i="2"/>
  <c r="R184" i="2"/>
  <c r="Q184" i="2"/>
  <c r="P184" i="2"/>
  <c r="O184" i="2"/>
  <c r="N184" i="2"/>
  <c r="M184" i="2"/>
  <c r="L184" i="2"/>
  <c r="K184" i="2"/>
  <c r="J184" i="2"/>
  <c r="I184" i="2"/>
  <c r="H184" i="2"/>
  <c r="G184" i="2"/>
  <c r="F184" i="2"/>
  <c r="E184" i="2"/>
  <c r="D184" i="2"/>
  <c r="C184" i="2"/>
  <c r="B184" i="2"/>
  <c r="A184" i="2"/>
  <c r="BK183" i="2"/>
  <c r="BJ183" i="2"/>
  <c r="BI183" i="2"/>
  <c r="BH183" i="2"/>
  <c r="BG183" i="2"/>
  <c r="BF183" i="2"/>
  <c r="BE183" i="2"/>
  <c r="BD183" i="2"/>
  <c r="BC183" i="2"/>
  <c r="BB183" i="2"/>
  <c r="BA183" i="2"/>
  <c r="AZ183" i="2"/>
  <c r="AY183" i="2"/>
  <c r="AX183" i="2"/>
  <c r="AW183" i="2"/>
  <c r="AV183" i="2"/>
  <c r="AU183" i="2"/>
  <c r="AT183" i="2"/>
  <c r="AS183" i="2"/>
  <c r="AR183" i="2"/>
  <c r="AQ183" i="2"/>
  <c r="AP183" i="2"/>
  <c r="AO183" i="2"/>
  <c r="AN183" i="2"/>
  <c r="AM183" i="2"/>
  <c r="AL183" i="2"/>
  <c r="AK183" i="2"/>
  <c r="AJ183" i="2"/>
  <c r="AI183" i="2"/>
  <c r="AH183" i="2"/>
  <c r="AG183" i="2"/>
  <c r="AF183" i="2"/>
  <c r="AE183" i="2"/>
  <c r="AD183" i="2"/>
  <c r="AC183" i="2"/>
  <c r="AB183" i="2"/>
  <c r="AA183" i="2"/>
  <c r="Z183" i="2"/>
  <c r="Y183" i="2"/>
  <c r="X183" i="2"/>
  <c r="W183" i="2"/>
  <c r="V183" i="2"/>
  <c r="U183" i="2"/>
  <c r="T183" i="2"/>
  <c r="S183" i="2"/>
  <c r="R183" i="2"/>
  <c r="Q183" i="2"/>
  <c r="P183" i="2"/>
  <c r="O183" i="2"/>
  <c r="N183" i="2"/>
  <c r="M183" i="2"/>
  <c r="L183" i="2"/>
  <c r="K183" i="2"/>
  <c r="J183" i="2"/>
  <c r="I183" i="2"/>
  <c r="H183" i="2"/>
  <c r="G183" i="2"/>
  <c r="F183" i="2"/>
  <c r="E183" i="2"/>
  <c r="D183" i="2"/>
  <c r="C183" i="2"/>
  <c r="B183" i="2"/>
  <c r="A183" i="2"/>
  <c r="BK182" i="2"/>
  <c r="BJ182" i="2"/>
  <c r="BI182" i="2"/>
  <c r="BH182" i="2"/>
  <c r="BG182" i="2"/>
  <c r="BF182" i="2"/>
  <c r="BE182" i="2"/>
  <c r="BD182" i="2"/>
  <c r="BC182" i="2"/>
  <c r="BB182" i="2"/>
  <c r="BA182" i="2"/>
  <c r="AZ182" i="2"/>
  <c r="AY182" i="2"/>
  <c r="AX182"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Z182" i="2"/>
  <c r="Y182" i="2"/>
  <c r="X182" i="2"/>
  <c r="W182" i="2"/>
  <c r="V182" i="2"/>
  <c r="U182" i="2"/>
  <c r="T182" i="2"/>
  <c r="S182" i="2"/>
  <c r="R182" i="2"/>
  <c r="Q182" i="2"/>
  <c r="P182" i="2"/>
  <c r="O182" i="2"/>
  <c r="N182" i="2"/>
  <c r="M182" i="2"/>
  <c r="L182" i="2"/>
  <c r="K182" i="2"/>
  <c r="J182" i="2"/>
  <c r="I182" i="2"/>
  <c r="H182" i="2"/>
  <c r="G182" i="2"/>
  <c r="F182" i="2"/>
  <c r="E182" i="2"/>
  <c r="D182" i="2"/>
  <c r="C182" i="2"/>
  <c r="B182" i="2"/>
  <c r="A182" i="2"/>
  <c r="BK181" i="2"/>
  <c r="BJ181" i="2"/>
  <c r="BI181" i="2"/>
  <c r="BH181" i="2"/>
  <c r="BG181" i="2"/>
  <c r="BF181" i="2"/>
  <c r="BE181" i="2"/>
  <c r="BD181" i="2"/>
  <c r="BC181" i="2"/>
  <c r="BB181" i="2"/>
  <c r="BA181" i="2"/>
  <c r="AZ181" i="2"/>
  <c r="AY181" i="2"/>
  <c r="AX181" i="2"/>
  <c r="AW181" i="2"/>
  <c r="AV181" i="2"/>
  <c r="AU181" i="2"/>
  <c r="AT181" i="2"/>
  <c r="AS181" i="2"/>
  <c r="AR181" i="2"/>
  <c r="AQ181" i="2"/>
  <c r="AP181" i="2"/>
  <c r="AO181" i="2"/>
  <c r="AN181" i="2"/>
  <c r="AM181" i="2"/>
  <c r="AL181" i="2"/>
  <c r="AK181" i="2"/>
  <c r="AJ181" i="2"/>
  <c r="AI181" i="2"/>
  <c r="AH181" i="2"/>
  <c r="AG181" i="2"/>
  <c r="AF181" i="2"/>
  <c r="AE181" i="2"/>
  <c r="AD181" i="2"/>
  <c r="AC181" i="2"/>
  <c r="AB181" i="2"/>
  <c r="AA181" i="2"/>
  <c r="Z181" i="2"/>
  <c r="Y181" i="2"/>
  <c r="X181" i="2"/>
  <c r="W181" i="2"/>
  <c r="V181" i="2"/>
  <c r="U181" i="2"/>
  <c r="T181" i="2"/>
  <c r="S181" i="2"/>
  <c r="R181" i="2"/>
  <c r="Q181" i="2"/>
  <c r="P181" i="2"/>
  <c r="O181" i="2"/>
  <c r="N181" i="2"/>
  <c r="M181" i="2"/>
  <c r="L181" i="2"/>
  <c r="K181" i="2"/>
  <c r="J181" i="2"/>
  <c r="I181" i="2"/>
  <c r="H181" i="2"/>
  <c r="G181" i="2"/>
  <c r="F181" i="2"/>
  <c r="E181" i="2"/>
  <c r="D181" i="2"/>
  <c r="C181" i="2"/>
  <c r="B181" i="2"/>
  <c r="A181" i="2"/>
  <c r="BK180" i="2"/>
  <c r="BJ180" i="2"/>
  <c r="BI180" i="2"/>
  <c r="BH180" i="2"/>
  <c r="BG180" i="2"/>
  <c r="BF180" i="2"/>
  <c r="BE180" i="2"/>
  <c r="BD180" i="2"/>
  <c r="BC180" i="2"/>
  <c r="BB180" i="2"/>
  <c r="BA180" i="2"/>
  <c r="AZ180" i="2"/>
  <c r="AY180" i="2"/>
  <c r="AX180" i="2"/>
  <c r="AW180" i="2"/>
  <c r="AV180" i="2"/>
  <c r="AU180" i="2"/>
  <c r="AT180" i="2"/>
  <c r="AS180" i="2"/>
  <c r="AR180" i="2"/>
  <c r="AQ180" i="2"/>
  <c r="AP180" i="2"/>
  <c r="AO180" i="2"/>
  <c r="AN180" i="2"/>
  <c r="AM180" i="2"/>
  <c r="AL180" i="2"/>
  <c r="AK180" i="2"/>
  <c r="AJ180" i="2"/>
  <c r="AI180" i="2"/>
  <c r="AH180" i="2"/>
  <c r="AG180" i="2"/>
  <c r="AF180" i="2"/>
  <c r="AE180" i="2"/>
  <c r="AD180" i="2"/>
  <c r="AC180" i="2"/>
  <c r="AB180" i="2"/>
  <c r="AA180" i="2"/>
  <c r="Z180" i="2"/>
  <c r="Y180" i="2"/>
  <c r="X180" i="2"/>
  <c r="W180" i="2"/>
  <c r="V180" i="2"/>
  <c r="U180" i="2"/>
  <c r="T180" i="2"/>
  <c r="S180" i="2"/>
  <c r="R180" i="2"/>
  <c r="Q180" i="2"/>
  <c r="P180" i="2"/>
  <c r="O180" i="2"/>
  <c r="N180" i="2"/>
  <c r="M180" i="2"/>
  <c r="L180" i="2"/>
  <c r="K180" i="2"/>
  <c r="J180" i="2"/>
  <c r="I180" i="2"/>
  <c r="H180" i="2"/>
  <c r="G180" i="2"/>
  <c r="F180" i="2"/>
  <c r="E180" i="2"/>
  <c r="D180" i="2"/>
  <c r="C180" i="2"/>
  <c r="B180" i="2"/>
  <c r="A180" i="2"/>
  <c r="BK179" i="2"/>
  <c r="BJ179" i="2"/>
  <c r="BI179" i="2"/>
  <c r="BH179" i="2"/>
  <c r="BG179" i="2"/>
  <c r="BF179" i="2"/>
  <c r="BE179" i="2"/>
  <c r="BD179" i="2"/>
  <c r="BC179" i="2"/>
  <c r="BB179" i="2"/>
  <c r="BA179" i="2"/>
  <c r="AZ179" i="2"/>
  <c r="AY179" i="2"/>
  <c r="AX179" i="2"/>
  <c r="AW179" i="2"/>
  <c r="AV179" i="2"/>
  <c r="AU179" i="2"/>
  <c r="AT179" i="2"/>
  <c r="AS179" i="2"/>
  <c r="AR179" i="2"/>
  <c r="AQ179" i="2"/>
  <c r="AP179" i="2"/>
  <c r="AO179" i="2"/>
  <c r="AN179" i="2"/>
  <c r="AM179" i="2"/>
  <c r="AL179" i="2"/>
  <c r="AK179" i="2"/>
  <c r="AJ179" i="2"/>
  <c r="AI179" i="2"/>
  <c r="AH179" i="2"/>
  <c r="AG179" i="2"/>
  <c r="AF179" i="2"/>
  <c r="AE179" i="2"/>
  <c r="AD179" i="2"/>
  <c r="AC179" i="2"/>
  <c r="AB179" i="2"/>
  <c r="AA179" i="2"/>
  <c r="Z179" i="2"/>
  <c r="Y179" i="2"/>
  <c r="X179" i="2"/>
  <c r="W179" i="2"/>
  <c r="V179" i="2"/>
  <c r="U179" i="2"/>
  <c r="T179" i="2"/>
  <c r="S179" i="2"/>
  <c r="R179" i="2"/>
  <c r="Q179" i="2"/>
  <c r="P179" i="2"/>
  <c r="O179" i="2"/>
  <c r="N179" i="2"/>
  <c r="M179" i="2"/>
  <c r="L179" i="2"/>
  <c r="K179" i="2"/>
  <c r="J179" i="2"/>
  <c r="I179" i="2"/>
  <c r="H179" i="2"/>
  <c r="G179" i="2"/>
  <c r="F179" i="2"/>
  <c r="E179" i="2"/>
  <c r="D179" i="2"/>
  <c r="C179" i="2"/>
  <c r="B179" i="2"/>
  <c r="A179" i="2"/>
  <c r="BK178" i="2"/>
  <c r="BJ178" i="2"/>
  <c r="BI178" i="2"/>
  <c r="BH178" i="2"/>
  <c r="BG178" i="2"/>
  <c r="BF178" i="2"/>
  <c r="BE178" i="2"/>
  <c r="BD178" i="2"/>
  <c r="BC178" i="2"/>
  <c r="BB178" i="2"/>
  <c r="BA178" i="2"/>
  <c r="AZ178" i="2"/>
  <c r="AY178" i="2"/>
  <c r="AX178" i="2"/>
  <c r="AW178" i="2"/>
  <c r="AV178" i="2"/>
  <c r="AU178" i="2"/>
  <c r="AT178" i="2"/>
  <c r="AS178" i="2"/>
  <c r="AR178" i="2"/>
  <c r="AQ178" i="2"/>
  <c r="AP178" i="2"/>
  <c r="AO178" i="2"/>
  <c r="AN178" i="2"/>
  <c r="AM178" i="2"/>
  <c r="AL178" i="2"/>
  <c r="AK178" i="2"/>
  <c r="AJ178" i="2"/>
  <c r="AI178" i="2"/>
  <c r="AH178" i="2"/>
  <c r="AG178" i="2"/>
  <c r="AF178" i="2"/>
  <c r="AE178" i="2"/>
  <c r="AD178" i="2"/>
  <c r="AC178" i="2"/>
  <c r="AB178" i="2"/>
  <c r="AA178" i="2"/>
  <c r="Z178" i="2"/>
  <c r="Y178" i="2"/>
  <c r="X178" i="2"/>
  <c r="W178" i="2"/>
  <c r="V178" i="2"/>
  <c r="U178" i="2"/>
  <c r="T178" i="2"/>
  <c r="S178" i="2"/>
  <c r="R178" i="2"/>
  <c r="Q178" i="2"/>
  <c r="P178" i="2"/>
  <c r="O178" i="2"/>
  <c r="N178" i="2"/>
  <c r="M178" i="2"/>
  <c r="L178" i="2"/>
  <c r="K178" i="2"/>
  <c r="J178" i="2"/>
  <c r="I178" i="2"/>
  <c r="H178" i="2"/>
  <c r="G178" i="2"/>
  <c r="F178" i="2"/>
  <c r="E178" i="2"/>
  <c r="D178" i="2"/>
  <c r="C178" i="2"/>
  <c r="B178" i="2"/>
  <c r="A178" i="2"/>
  <c r="BK177" i="2"/>
  <c r="BJ177" i="2"/>
  <c r="BI177" i="2"/>
  <c r="BH177" i="2"/>
  <c r="BG177" i="2"/>
  <c r="BF177" i="2"/>
  <c r="BE177" i="2"/>
  <c r="BD177" i="2"/>
  <c r="BC177" i="2"/>
  <c r="BB177" i="2"/>
  <c r="BA177" i="2"/>
  <c r="AZ177" i="2"/>
  <c r="AY177" i="2"/>
  <c r="AX177" i="2"/>
  <c r="AW177" i="2"/>
  <c r="AV177" i="2"/>
  <c r="AU177" i="2"/>
  <c r="AT177" i="2"/>
  <c r="AS177" i="2"/>
  <c r="AR177" i="2"/>
  <c r="AQ177" i="2"/>
  <c r="AP177" i="2"/>
  <c r="AO177" i="2"/>
  <c r="AN177" i="2"/>
  <c r="AM177" i="2"/>
  <c r="AL177" i="2"/>
  <c r="AK177" i="2"/>
  <c r="AJ177" i="2"/>
  <c r="AI177" i="2"/>
  <c r="AH177" i="2"/>
  <c r="AG177" i="2"/>
  <c r="AF177" i="2"/>
  <c r="AE177" i="2"/>
  <c r="AD177" i="2"/>
  <c r="AC177" i="2"/>
  <c r="AB177" i="2"/>
  <c r="AA177" i="2"/>
  <c r="Z177" i="2"/>
  <c r="Y177" i="2"/>
  <c r="X177" i="2"/>
  <c r="W177" i="2"/>
  <c r="V177" i="2"/>
  <c r="U177" i="2"/>
  <c r="T177" i="2"/>
  <c r="S177" i="2"/>
  <c r="R177" i="2"/>
  <c r="Q177" i="2"/>
  <c r="P177" i="2"/>
  <c r="O177" i="2"/>
  <c r="N177" i="2"/>
  <c r="M177" i="2"/>
  <c r="L177" i="2"/>
  <c r="K177" i="2"/>
  <c r="J177" i="2"/>
  <c r="I177" i="2"/>
  <c r="H177" i="2"/>
  <c r="G177" i="2"/>
  <c r="F177" i="2"/>
  <c r="E177" i="2"/>
  <c r="D177" i="2"/>
  <c r="C177" i="2"/>
  <c r="B177" i="2"/>
  <c r="A177" i="2"/>
  <c r="BK176" i="2"/>
  <c r="BJ176" i="2"/>
  <c r="BI176" i="2"/>
  <c r="BH176" i="2"/>
  <c r="BG176" i="2"/>
  <c r="BF176" i="2"/>
  <c r="BE176" i="2"/>
  <c r="BD176" i="2"/>
  <c r="BC176" i="2"/>
  <c r="BB176" i="2"/>
  <c r="BA176" i="2"/>
  <c r="AZ176" i="2"/>
  <c r="AY176" i="2"/>
  <c r="AX176"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Z176" i="2"/>
  <c r="Y176" i="2"/>
  <c r="X176" i="2"/>
  <c r="W176" i="2"/>
  <c r="V176" i="2"/>
  <c r="U176" i="2"/>
  <c r="T176" i="2"/>
  <c r="S176" i="2"/>
  <c r="R176" i="2"/>
  <c r="Q176" i="2"/>
  <c r="P176" i="2"/>
  <c r="O176" i="2"/>
  <c r="N176" i="2"/>
  <c r="M176" i="2"/>
  <c r="L176" i="2"/>
  <c r="K176" i="2"/>
  <c r="J176" i="2"/>
  <c r="I176" i="2"/>
  <c r="H176" i="2"/>
  <c r="G176" i="2"/>
  <c r="F176" i="2"/>
  <c r="E176" i="2"/>
  <c r="D176" i="2"/>
  <c r="C176" i="2"/>
  <c r="B176" i="2"/>
  <c r="A176" i="2"/>
  <c r="BK175" i="2"/>
  <c r="BJ175" i="2"/>
  <c r="BI175" i="2"/>
  <c r="BH175" i="2"/>
  <c r="BG175" i="2"/>
  <c r="BF175" i="2"/>
  <c r="BE175" i="2"/>
  <c r="BD175" i="2"/>
  <c r="BC175" i="2"/>
  <c r="BB175" i="2"/>
  <c r="BA175" i="2"/>
  <c r="AZ175" i="2"/>
  <c r="AY175" i="2"/>
  <c r="AX175" i="2"/>
  <c r="AW175" i="2"/>
  <c r="AV175" i="2"/>
  <c r="AU175" i="2"/>
  <c r="AT175" i="2"/>
  <c r="AS175" i="2"/>
  <c r="AR175" i="2"/>
  <c r="AQ175" i="2"/>
  <c r="AP175" i="2"/>
  <c r="AO175" i="2"/>
  <c r="AN175" i="2"/>
  <c r="AM175" i="2"/>
  <c r="AL175" i="2"/>
  <c r="AK175" i="2"/>
  <c r="AJ175" i="2"/>
  <c r="AI175" i="2"/>
  <c r="AH175" i="2"/>
  <c r="AG175" i="2"/>
  <c r="AF175" i="2"/>
  <c r="AE175" i="2"/>
  <c r="AD175" i="2"/>
  <c r="AC175" i="2"/>
  <c r="AB175" i="2"/>
  <c r="AA175" i="2"/>
  <c r="Z175" i="2"/>
  <c r="Y175" i="2"/>
  <c r="X175" i="2"/>
  <c r="W175" i="2"/>
  <c r="V175" i="2"/>
  <c r="U175" i="2"/>
  <c r="T175" i="2"/>
  <c r="S175" i="2"/>
  <c r="R175" i="2"/>
  <c r="Q175" i="2"/>
  <c r="P175" i="2"/>
  <c r="O175" i="2"/>
  <c r="N175" i="2"/>
  <c r="M175" i="2"/>
  <c r="L175" i="2"/>
  <c r="K175" i="2"/>
  <c r="J175" i="2"/>
  <c r="I175" i="2"/>
  <c r="H175" i="2"/>
  <c r="G175" i="2"/>
  <c r="F175" i="2"/>
  <c r="E175" i="2"/>
  <c r="D175" i="2"/>
  <c r="C175" i="2"/>
  <c r="B175" i="2"/>
  <c r="A175" i="2"/>
  <c r="BK174" i="2"/>
  <c r="BJ174" i="2"/>
  <c r="BI174" i="2"/>
  <c r="BH174" i="2"/>
  <c r="BG174" i="2"/>
  <c r="BF174" i="2"/>
  <c r="BE174" i="2"/>
  <c r="BD174" i="2"/>
  <c r="BC174" i="2"/>
  <c r="BB174" i="2"/>
  <c r="BA174" i="2"/>
  <c r="AZ174" i="2"/>
  <c r="AY174" i="2"/>
  <c r="AX174" i="2"/>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Z174" i="2"/>
  <c r="Y174" i="2"/>
  <c r="X174" i="2"/>
  <c r="W174" i="2"/>
  <c r="V174" i="2"/>
  <c r="U174" i="2"/>
  <c r="T174" i="2"/>
  <c r="S174" i="2"/>
  <c r="R174" i="2"/>
  <c r="Q174" i="2"/>
  <c r="P174" i="2"/>
  <c r="O174" i="2"/>
  <c r="N174" i="2"/>
  <c r="M174" i="2"/>
  <c r="L174" i="2"/>
  <c r="K174" i="2"/>
  <c r="J174" i="2"/>
  <c r="I174" i="2"/>
  <c r="H174" i="2"/>
  <c r="G174" i="2"/>
  <c r="F174" i="2"/>
  <c r="E174" i="2"/>
  <c r="D174" i="2"/>
  <c r="C174" i="2"/>
  <c r="B174" i="2"/>
  <c r="A174" i="2"/>
  <c r="BK173" i="2"/>
  <c r="BJ173" i="2"/>
  <c r="BI173" i="2"/>
  <c r="BH173" i="2"/>
  <c r="BG173" i="2"/>
  <c r="BF173" i="2"/>
  <c r="BE173" i="2"/>
  <c r="BD173" i="2"/>
  <c r="BC173" i="2"/>
  <c r="BB173" i="2"/>
  <c r="BA173" i="2"/>
  <c r="AZ173" i="2"/>
  <c r="AY173" i="2"/>
  <c r="AX173" i="2"/>
  <c r="AW173" i="2"/>
  <c r="AV173" i="2"/>
  <c r="AU173" i="2"/>
  <c r="AT173" i="2"/>
  <c r="AS173" i="2"/>
  <c r="AR173" i="2"/>
  <c r="AQ173" i="2"/>
  <c r="AP173" i="2"/>
  <c r="AO173" i="2"/>
  <c r="AN173" i="2"/>
  <c r="AM173" i="2"/>
  <c r="AL173" i="2"/>
  <c r="AK173" i="2"/>
  <c r="AJ173" i="2"/>
  <c r="AI173" i="2"/>
  <c r="AH173" i="2"/>
  <c r="AG173" i="2"/>
  <c r="AF173" i="2"/>
  <c r="AE173" i="2"/>
  <c r="AD173" i="2"/>
  <c r="AC173" i="2"/>
  <c r="AB173" i="2"/>
  <c r="AA173" i="2"/>
  <c r="Z173" i="2"/>
  <c r="Y173" i="2"/>
  <c r="X173" i="2"/>
  <c r="W173" i="2"/>
  <c r="V173" i="2"/>
  <c r="U173" i="2"/>
  <c r="T173" i="2"/>
  <c r="S173" i="2"/>
  <c r="R173" i="2"/>
  <c r="Q173" i="2"/>
  <c r="P173" i="2"/>
  <c r="O173" i="2"/>
  <c r="N173" i="2"/>
  <c r="M173" i="2"/>
  <c r="L173" i="2"/>
  <c r="K173" i="2"/>
  <c r="J173" i="2"/>
  <c r="I173" i="2"/>
  <c r="H173" i="2"/>
  <c r="G173" i="2"/>
  <c r="F173" i="2"/>
  <c r="E173" i="2"/>
  <c r="D173" i="2"/>
  <c r="C173" i="2"/>
  <c r="B173" i="2"/>
  <c r="A173" i="2"/>
  <c r="BK172" i="2"/>
  <c r="BJ172" i="2"/>
  <c r="BI172" i="2"/>
  <c r="BH172" i="2"/>
  <c r="BG172" i="2"/>
  <c r="BF172" i="2"/>
  <c r="BE172" i="2"/>
  <c r="BD172" i="2"/>
  <c r="BC172" i="2"/>
  <c r="BB172" i="2"/>
  <c r="BA172" i="2"/>
  <c r="AZ172" i="2"/>
  <c r="AY172" i="2"/>
  <c r="AX172" i="2"/>
  <c r="AW172" i="2"/>
  <c r="AV172" i="2"/>
  <c r="AU172" i="2"/>
  <c r="AT172" i="2"/>
  <c r="AS172" i="2"/>
  <c r="AR172" i="2"/>
  <c r="AQ172" i="2"/>
  <c r="AP172" i="2"/>
  <c r="AO172" i="2"/>
  <c r="AN172" i="2"/>
  <c r="AM172" i="2"/>
  <c r="AL172" i="2"/>
  <c r="AK172" i="2"/>
  <c r="AJ172" i="2"/>
  <c r="AI172" i="2"/>
  <c r="AH172" i="2"/>
  <c r="AG172" i="2"/>
  <c r="AF172" i="2"/>
  <c r="AE172" i="2"/>
  <c r="AD172" i="2"/>
  <c r="AC172" i="2"/>
  <c r="AB172" i="2"/>
  <c r="AA172" i="2"/>
  <c r="Z172" i="2"/>
  <c r="Y172" i="2"/>
  <c r="X172" i="2"/>
  <c r="W172" i="2"/>
  <c r="V172" i="2"/>
  <c r="U172" i="2"/>
  <c r="T172" i="2"/>
  <c r="S172" i="2"/>
  <c r="R172" i="2"/>
  <c r="Q172" i="2"/>
  <c r="P172" i="2"/>
  <c r="O172" i="2"/>
  <c r="N172" i="2"/>
  <c r="M172" i="2"/>
  <c r="L172" i="2"/>
  <c r="K172" i="2"/>
  <c r="J172" i="2"/>
  <c r="I172" i="2"/>
  <c r="H172" i="2"/>
  <c r="G172" i="2"/>
  <c r="F172" i="2"/>
  <c r="E172" i="2"/>
  <c r="D172" i="2"/>
  <c r="C172" i="2"/>
  <c r="B172" i="2"/>
  <c r="A172" i="2"/>
  <c r="BK171" i="2"/>
  <c r="BJ171" i="2"/>
  <c r="BI171" i="2"/>
  <c r="BH171" i="2"/>
  <c r="BG171" i="2"/>
  <c r="BF171" i="2"/>
  <c r="BE171" i="2"/>
  <c r="BD171" i="2"/>
  <c r="BC171" i="2"/>
  <c r="BB171" i="2"/>
  <c r="BA171" i="2"/>
  <c r="AZ171" i="2"/>
  <c r="AY171" i="2"/>
  <c r="AX171" i="2"/>
  <c r="AW171" i="2"/>
  <c r="AV171" i="2"/>
  <c r="AU171" i="2"/>
  <c r="AT171" i="2"/>
  <c r="AS171" i="2"/>
  <c r="AR171" i="2"/>
  <c r="AQ171" i="2"/>
  <c r="AP171" i="2"/>
  <c r="AO171" i="2"/>
  <c r="AN171" i="2"/>
  <c r="AM171" i="2"/>
  <c r="AL171" i="2"/>
  <c r="AK171" i="2"/>
  <c r="AJ171" i="2"/>
  <c r="AI171" i="2"/>
  <c r="AH171" i="2"/>
  <c r="AG171" i="2"/>
  <c r="AF171" i="2"/>
  <c r="AE171" i="2"/>
  <c r="AD171" i="2"/>
  <c r="AC171" i="2"/>
  <c r="AB171" i="2"/>
  <c r="AA171" i="2"/>
  <c r="Z171" i="2"/>
  <c r="Y171" i="2"/>
  <c r="X171" i="2"/>
  <c r="W171" i="2"/>
  <c r="V171" i="2"/>
  <c r="U171" i="2"/>
  <c r="T171" i="2"/>
  <c r="S171" i="2"/>
  <c r="R171" i="2"/>
  <c r="Q171" i="2"/>
  <c r="P171" i="2"/>
  <c r="O171" i="2"/>
  <c r="N171" i="2"/>
  <c r="M171" i="2"/>
  <c r="L171" i="2"/>
  <c r="K171" i="2"/>
  <c r="J171" i="2"/>
  <c r="I171" i="2"/>
  <c r="H171" i="2"/>
  <c r="G171" i="2"/>
  <c r="F171" i="2"/>
  <c r="E171" i="2"/>
  <c r="D171" i="2"/>
  <c r="C171" i="2"/>
  <c r="B171" i="2"/>
  <c r="A171" i="2"/>
  <c r="BK170" i="2"/>
  <c r="BJ170" i="2"/>
  <c r="BI170" i="2"/>
  <c r="BH170" i="2"/>
  <c r="BG170" i="2"/>
  <c r="BF170" i="2"/>
  <c r="BE170" i="2"/>
  <c r="BD170" i="2"/>
  <c r="BC170" i="2"/>
  <c r="BB170" i="2"/>
  <c r="BA170" i="2"/>
  <c r="AZ170" i="2"/>
  <c r="AY170" i="2"/>
  <c r="AX170"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T170" i="2"/>
  <c r="S170" i="2"/>
  <c r="R170" i="2"/>
  <c r="Q170" i="2"/>
  <c r="P170" i="2"/>
  <c r="O170" i="2"/>
  <c r="N170" i="2"/>
  <c r="M170" i="2"/>
  <c r="L170" i="2"/>
  <c r="K170" i="2"/>
  <c r="J170" i="2"/>
  <c r="I170" i="2"/>
  <c r="H170" i="2"/>
  <c r="G170" i="2"/>
  <c r="F170" i="2"/>
  <c r="E170" i="2"/>
  <c r="D170" i="2"/>
  <c r="C170" i="2"/>
  <c r="B170" i="2"/>
  <c r="A170" i="2"/>
  <c r="BK169" i="2"/>
  <c r="BJ169" i="2"/>
  <c r="BI169" i="2"/>
  <c r="BH169" i="2"/>
  <c r="BG169" i="2"/>
  <c r="BF169" i="2"/>
  <c r="BE169" i="2"/>
  <c r="BD169" i="2"/>
  <c r="BC169" i="2"/>
  <c r="BB169" i="2"/>
  <c r="BA169" i="2"/>
  <c r="AZ169" i="2"/>
  <c r="AY169" i="2"/>
  <c r="AX169" i="2"/>
  <c r="AW169" i="2"/>
  <c r="AV169" i="2"/>
  <c r="AU169" i="2"/>
  <c r="AT169" i="2"/>
  <c r="AS169" i="2"/>
  <c r="AR169" i="2"/>
  <c r="AQ169" i="2"/>
  <c r="AP169" i="2"/>
  <c r="AO169" i="2"/>
  <c r="AN169" i="2"/>
  <c r="AM169" i="2"/>
  <c r="AL169" i="2"/>
  <c r="AK169" i="2"/>
  <c r="AJ169" i="2"/>
  <c r="AI169" i="2"/>
  <c r="AH169" i="2"/>
  <c r="AG169" i="2"/>
  <c r="AF169" i="2"/>
  <c r="AE169" i="2"/>
  <c r="AD169" i="2"/>
  <c r="AC169" i="2"/>
  <c r="AB169" i="2"/>
  <c r="AA169" i="2"/>
  <c r="Z169" i="2"/>
  <c r="Y169" i="2"/>
  <c r="X169" i="2"/>
  <c r="W169" i="2"/>
  <c r="V169" i="2"/>
  <c r="U169" i="2"/>
  <c r="T169" i="2"/>
  <c r="S169" i="2"/>
  <c r="R169" i="2"/>
  <c r="Q169" i="2"/>
  <c r="P169" i="2"/>
  <c r="O169" i="2"/>
  <c r="N169" i="2"/>
  <c r="M169" i="2"/>
  <c r="L169" i="2"/>
  <c r="K169" i="2"/>
  <c r="J169" i="2"/>
  <c r="I169" i="2"/>
  <c r="H169" i="2"/>
  <c r="G169" i="2"/>
  <c r="F169" i="2"/>
  <c r="E169" i="2"/>
  <c r="D169" i="2"/>
  <c r="C169" i="2"/>
  <c r="B169" i="2"/>
  <c r="A169" i="2"/>
  <c r="BK168" i="2"/>
  <c r="BJ168" i="2"/>
  <c r="BI168" i="2"/>
  <c r="BH168" i="2"/>
  <c r="BG168" i="2"/>
  <c r="BF168" i="2"/>
  <c r="BE168" i="2"/>
  <c r="BD168" i="2"/>
  <c r="BC168" i="2"/>
  <c r="BB168" i="2"/>
  <c r="BA168" i="2"/>
  <c r="AZ168" i="2"/>
  <c r="AY168" i="2"/>
  <c r="AX168" i="2"/>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R168" i="2"/>
  <c r="Q168" i="2"/>
  <c r="P168" i="2"/>
  <c r="O168" i="2"/>
  <c r="N168" i="2"/>
  <c r="M168" i="2"/>
  <c r="L168" i="2"/>
  <c r="K168" i="2"/>
  <c r="J168" i="2"/>
  <c r="I168" i="2"/>
  <c r="H168" i="2"/>
  <c r="G168" i="2"/>
  <c r="F168" i="2"/>
  <c r="E168" i="2"/>
  <c r="D168" i="2"/>
  <c r="C168" i="2"/>
  <c r="B168" i="2"/>
  <c r="A168" i="2"/>
  <c r="BK167" i="2"/>
  <c r="BJ167" i="2"/>
  <c r="BI167" i="2"/>
  <c r="BH167" i="2"/>
  <c r="BG167" i="2"/>
  <c r="BF167" i="2"/>
  <c r="BE167" i="2"/>
  <c r="BD167" i="2"/>
  <c r="BC167" i="2"/>
  <c r="BB167" i="2"/>
  <c r="BA167" i="2"/>
  <c r="AZ167" i="2"/>
  <c r="AY167" i="2"/>
  <c r="AX167"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T167" i="2"/>
  <c r="S167" i="2"/>
  <c r="R167" i="2"/>
  <c r="Q167" i="2"/>
  <c r="P167" i="2"/>
  <c r="O167" i="2"/>
  <c r="N167" i="2"/>
  <c r="M167" i="2"/>
  <c r="L167" i="2"/>
  <c r="K167" i="2"/>
  <c r="J167" i="2"/>
  <c r="I167" i="2"/>
  <c r="H167" i="2"/>
  <c r="G167" i="2"/>
  <c r="F167" i="2"/>
  <c r="E167" i="2"/>
  <c r="D167" i="2"/>
  <c r="C167" i="2"/>
  <c r="B167" i="2"/>
  <c r="A167" i="2"/>
  <c r="BK166" i="2"/>
  <c r="BJ166" i="2"/>
  <c r="BI166" i="2"/>
  <c r="BH166" i="2"/>
  <c r="BG166" i="2"/>
  <c r="BF166" i="2"/>
  <c r="BE166" i="2"/>
  <c r="BD166" i="2"/>
  <c r="BC166" i="2"/>
  <c r="BB166" i="2"/>
  <c r="BA166" i="2"/>
  <c r="AZ166" i="2"/>
  <c r="AY166" i="2"/>
  <c r="AX166" i="2"/>
  <c r="AW166" i="2"/>
  <c r="AV166" i="2"/>
  <c r="AU166" i="2"/>
  <c r="AT166" i="2"/>
  <c r="AS166" i="2"/>
  <c r="AR166" i="2"/>
  <c r="AQ166" i="2"/>
  <c r="AP166" i="2"/>
  <c r="AO166" i="2"/>
  <c r="AN166" i="2"/>
  <c r="AM166" i="2"/>
  <c r="AL166" i="2"/>
  <c r="AK166" i="2"/>
  <c r="AJ166" i="2"/>
  <c r="AI166" i="2"/>
  <c r="AH166" i="2"/>
  <c r="AG166" i="2"/>
  <c r="AF166" i="2"/>
  <c r="AE166" i="2"/>
  <c r="AD166" i="2"/>
  <c r="AC166" i="2"/>
  <c r="AB166" i="2"/>
  <c r="AA166" i="2"/>
  <c r="Z166" i="2"/>
  <c r="Y166" i="2"/>
  <c r="X166" i="2"/>
  <c r="W166" i="2"/>
  <c r="V166" i="2"/>
  <c r="U166" i="2"/>
  <c r="T166" i="2"/>
  <c r="S166" i="2"/>
  <c r="R166" i="2"/>
  <c r="Q166" i="2"/>
  <c r="P166" i="2"/>
  <c r="O166" i="2"/>
  <c r="N166" i="2"/>
  <c r="M166" i="2"/>
  <c r="L166" i="2"/>
  <c r="K166" i="2"/>
  <c r="J166" i="2"/>
  <c r="I166" i="2"/>
  <c r="H166" i="2"/>
  <c r="G166" i="2"/>
  <c r="F166" i="2"/>
  <c r="E166" i="2"/>
  <c r="D166" i="2"/>
  <c r="C166" i="2"/>
  <c r="B166" i="2"/>
  <c r="A166" i="2"/>
  <c r="BK165" i="2"/>
  <c r="BJ165" i="2"/>
  <c r="BI165" i="2"/>
  <c r="BH165" i="2"/>
  <c r="BG165" i="2"/>
  <c r="BF165" i="2"/>
  <c r="BE165" i="2"/>
  <c r="BD165" i="2"/>
  <c r="BC165" i="2"/>
  <c r="BB165" i="2"/>
  <c r="BA165" i="2"/>
  <c r="AZ165" i="2"/>
  <c r="AY165" i="2"/>
  <c r="AX165" i="2"/>
  <c r="AW165" i="2"/>
  <c r="AV165" i="2"/>
  <c r="AU165" i="2"/>
  <c r="AT165" i="2"/>
  <c r="AS165" i="2"/>
  <c r="AR165" i="2"/>
  <c r="AQ165" i="2"/>
  <c r="AP165" i="2"/>
  <c r="AO165" i="2"/>
  <c r="AN165" i="2"/>
  <c r="AM165" i="2"/>
  <c r="AL165" i="2"/>
  <c r="AK165" i="2"/>
  <c r="AJ165" i="2"/>
  <c r="AI165" i="2"/>
  <c r="AH165" i="2"/>
  <c r="AG165" i="2"/>
  <c r="AF165" i="2"/>
  <c r="AE165" i="2"/>
  <c r="AD165" i="2"/>
  <c r="AC165" i="2"/>
  <c r="AB165" i="2"/>
  <c r="AA165" i="2"/>
  <c r="Z165" i="2"/>
  <c r="Y165" i="2"/>
  <c r="X165" i="2"/>
  <c r="W165" i="2"/>
  <c r="V165" i="2"/>
  <c r="U165" i="2"/>
  <c r="T165" i="2"/>
  <c r="S165" i="2"/>
  <c r="R165" i="2"/>
  <c r="Q165" i="2"/>
  <c r="P165" i="2"/>
  <c r="O165" i="2"/>
  <c r="N165" i="2"/>
  <c r="M165" i="2"/>
  <c r="L165" i="2"/>
  <c r="K165" i="2"/>
  <c r="J165" i="2"/>
  <c r="I165" i="2"/>
  <c r="H165" i="2"/>
  <c r="G165" i="2"/>
  <c r="F165" i="2"/>
  <c r="E165" i="2"/>
  <c r="D165" i="2"/>
  <c r="C165" i="2"/>
  <c r="B165" i="2"/>
  <c r="A165" i="2"/>
  <c r="BK164" i="2"/>
  <c r="BJ164" i="2"/>
  <c r="BI164" i="2"/>
  <c r="BH164" i="2"/>
  <c r="BG164" i="2"/>
  <c r="BF164" i="2"/>
  <c r="BE164" i="2"/>
  <c r="BD164" i="2"/>
  <c r="BC164" i="2"/>
  <c r="BB164" i="2"/>
  <c r="BA164" i="2"/>
  <c r="AZ164" i="2"/>
  <c r="AY164" i="2"/>
  <c r="AX164"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T164" i="2"/>
  <c r="S164" i="2"/>
  <c r="R164" i="2"/>
  <c r="Q164" i="2"/>
  <c r="P164" i="2"/>
  <c r="O164" i="2"/>
  <c r="N164" i="2"/>
  <c r="M164" i="2"/>
  <c r="L164" i="2"/>
  <c r="K164" i="2"/>
  <c r="J164" i="2"/>
  <c r="I164" i="2"/>
  <c r="H164" i="2"/>
  <c r="G164" i="2"/>
  <c r="F164" i="2"/>
  <c r="E164" i="2"/>
  <c r="D164" i="2"/>
  <c r="C164" i="2"/>
  <c r="B164" i="2"/>
  <c r="A164" i="2"/>
  <c r="BK163" i="2"/>
  <c r="BJ163" i="2"/>
  <c r="BI163" i="2"/>
  <c r="BH163" i="2"/>
  <c r="BG163" i="2"/>
  <c r="BF163" i="2"/>
  <c r="BE163" i="2"/>
  <c r="BD163" i="2"/>
  <c r="BC163" i="2"/>
  <c r="BB163" i="2"/>
  <c r="BA163" i="2"/>
  <c r="AZ163" i="2"/>
  <c r="AY163" i="2"/>
  <c r="AX163" i="2"/>
  <c r="AW163" i="2"/>
  <c r="AV163" i="2"/>
  <c r="AU163" i="2"/>
  <c r="AT163" i="2"/>
  <c r="AS163" i="2"/>
  <c r="AR163" i="2"/>
  <c r="AQ163" i="2"/>
  <c r="AP163" i="2"/>
  <c r="AO163" i="2"/>
  <c r="AN163" i="2"/>
  <c r="AM163" i="2"/>
  <c r="AL163" i="2"/>
  <c r="AK163" i="2"/>
  <c r="AJ163" i="2"/>
  <c r="AI163" i="2"/>
  <c r="AH163" i="2"/>
  <c r="AG163" i="2"/>
  <c r="AF163" i="2"/>
  <c r="AE163" i="2"/>
  <c r="AD163" i="2"/>
  <c r="AC163" i="2"/>
  <c r="AB163" i="2"/>
  <c r="AA163" i="2"/>
  <c r="Z163" i="2"/>
  <c r="Y163" i="2"/>
  <c r="X163" i="2"/>
  <c r="W163" i="2"/>
  <c r="V163" i="2"/>
  <c r="U163" i="2"/>
  <c r="T163" i="2"/>
  <c r="S163" i="2"/>
  <c r="R163" i="2"/>
  <c r="Q163" i="2"/>
  <c r="P163" i="2"/>
  <c r="O163" i="2"/>
  <c r="N163" i="2"/>
  <c r="M163" i="2"/>
  <c r="L163" i="2"/>
  <c r="K163" i="2"/>
  <c r="J163" i="2"/>
  <c r="I163" i="2"/>
  <c r="H163" i="2"/>
  <c r="G163" i="2"/>
  <c r="F163" i="2"/>
  <c r="E163" i="2"/>
  <c r="D163" i="2"/>
  <c r="C163" i="2"/>
  <c r="B163" i="2"/>
  <c r="A163" i="2"/>
  <c r="BK162" i="2"/>
  <c r="BJ162" i="2"/>
  <c r="BI162" i="2"/>
  <c r="BH162" i="2"/>
  <c r="BG162" i="2"/>
  <c r="BF162" i="2"/>
  <c r="BE162" i="2"/>
  <c r="BD162" i="2"/>
  <c r="BC162" i="2"/>
  <c r="BB162" i="2"/>
  <c r="BA162" i="2"/>
  <c r="AZ162" i="2"/>
  <c r="AY162" i="2"/>
  <c r="AX162" i="2"/>
  <c r="AW162" i="2"/>
  <c r="AV162" i="2"/>
  <c r="AU162" i="2"/>
  <c r="AT162" i="2"/>
  <c r="AS162" i="2"/>
  <c r="AR162"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C162" i="2"/>
  <c r="B162" i="2"/>
  <c r="A162" i="2"/>
  <c r="BK161" i="2"/>
  <c r="BJ161" i="2"/>
  <c r="BI161" i="2"/>
  <c r="BH161" i="2"/>
  <c r="BG161" i="2"/>
  <c r="BF161" i="2"/>
  <c r="BE161" i="2"/>
  <c r="BD161" i="2"/>
  <c r="BC161" i="2"/>
  <c r="BB161" i="2"/>
  <c r="BA161" i="2"/>
  <c r="AZ161" i="2"/>
  <c r="AY161" i="2"/>
  <c r="AX161"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C161" i="2"/>
  <c r="B161" i="2"/>
  <c r="A161" i="2"/>
  <c r="BK160" i="2"/>
  <c r="BJ160" i="2"/>
  <c r="BI160" i="2"/>
  <c r="BH160" i="2"/>
  <c r="BG160" i="2"/>
  <c r="BF160" i="2"/>
  <c r="BE160" i="2"/>
  <c r="BD160" i="2"/>
  <c r="BC160" i="2"/>
  <c r="BB160" i="2"/>
  <c r="BA160" i="2"/>
  <c r="AZ160" i="2"/>
  <c r="AY160" i="2"/>
  <c r="AX160" i="2"/>
  <c r="AW160" i="2"/>
  <c r="AV160" i="2"/>
  <c r="AU160" i="2"/>
  <c r="AT160" i="2"/>
  <c r="AS160" i="2"/>
  <c r="AR160" i="2"/>
  <c r="AQ160" i="2"/>
  <c r="AP160" i="2"/>
  <c r="AO160"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C160" i="2"/>
  <c r="B160" i="2"/>
  <c r="A160" i="2"/>
  <c r="BK159" i="2"/>
  <c r="BJ159" i="2"/>
  <c r="BI159" i="2"/>
  <c r="BH159" i="2"/>
  <c r="BG159" i="2"/>
  <c r="BF159" i="2"/>
  <c r="BE159" i="2"/>
  <c r="BD159" i="2"/>
  <c r="BC159" i="2"/>
  <c r="BB159" i="2"/>
  <c r="BA159" i="2"/>
  <c r="AZ159" i="2"/>
  <c r="AY159" i="2"/>
  <c r="AX159" i="2"/>
  <c r="AW159" i="2"/>
  <c r="AV159" i="2"/>
  <c r="AU159" i="2"/>
  <c r="AT159" i="2"/>
  <c r="AS159" i="2"/>
  <c r="AR159" i="2"/>
  <c r="AQ159" i="2"/>
  <c r="AP159" i="2"/>
  <c r="AO159" i="2"/>
  <c r="AN159" i="2"/>
  <c r="AM159" i="2"/>
  <c r="AL159" i="2"/>
  <c r="AK159" i="2"/>
  <c r="AJ159" i="2"/>
  <c r="AI159" i="2"/>
  <c r="AH159" i="2"/>
  <c r="AG159" i="2"/>
  <c r="AF159" i="2"/>
  <c r="AE159" i="2"/>
  <c r="AD159" i="2"/>
  <c r="AC159" i="2"/>
  <c r="AB159" i="2"/>
  <c r="AA159" i="2"/>
  <c r="Z159" i="2"/>
  <c r="Y159" i="2"/>
  <c r="X159" i="2"/>
  <c r="W159" i="2"/>
  <c r="V159" i="2"/>
  <c r="U159" i="2"/>
  <c r="T159" i="2"/>
  <c r="S159" i="2"/>
  <c r="R159" i="2"/>
  <c r="Q159" i="2"/>
  <c r="P159" i="2"/>
  <c r="O159" i="2"/>
  <c r="N159" i="2"/>
  <c r="M159" i="2"/>
  <c r="L159" i="2"/>
  <c r="K159" i="2"/>
  <c r="J159" i="2"/>
  <c r="I159" i="2"/>
  <c r="H159" i="2"/>
  <c r="G159" i="2"/>
  <c r="F159" i="2"/>
  <c r="E159" i="2"/>
  <c r="D159" i="2"/>
  <c r="C159" i="2"/>
  <c r="B159" i="2"/>
  <c r="A159" i="2"/>
  <c r="BK158" i="2"/>
  <c r="BJ158" i="2"/>
  <c r="BI158" i="2"/>
  <c r="BH158" i="2"/>
  <c r="BG158" i="2"/>
  <c r="BF158" i="2"/>
  <c r="BE158" i="2"/>
  <c r="BD158" i="2"/>
  <c r="BC158" i="2"/>
  <c r="BB158" i="2"/>
  <c r="BA158" i="2"/>
  <c r="AZ158" i="2"/>
  <c r="AY158" i="2"/>
  <c r="AX158"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T158" i="2"/>
  <c r="S158" i="2"/>
  <c r="R158" i="2"/>
  <c r="Q158" i="2"/>
  <c r="P158" i="2"/>
  <c r="O158" i="2"/>
  <c r="N158" i="2"/>
  <c r="M158" i="2"/>
  <c r="L158" i="2"/>
  <c r="K158" i="2"/>
  <c r="J158" i="2"/>
  <c r="I158" i="2"/>
  <c r="H158" i="2"/>
  <c r="G158" i="2"/>
  <c r="F158" i="2"/>
  <c r="E158" i="2"/>
  <c r="D158" i="2"/>
  <c r="C158" i="2"/>
  <c r="B158" i="2"/>
  <c r="A158" i="2"/>
  <c r="BK157" i="2"/>
  <c r="BJ157" i="2"/>
  <c r="BI157" i="2"/>
  <c r="BH157" i="2"/>
  <c r="BG157" i="2"/>
  <c r="BF157" i="2"/>
  <c r="BE157" i="2"/>
  <c r="BD157" i="2"/>
  <c r="BC157" i="2"/>
  <c r="BB157" i="2"/>
  <c r="BA157" i="2"/>
  <c r="AZ157" i="2"/>
  <c r="AY157" i="2"/>
  <c r="AX157" i="2"/>
  <c r="AW157" i="2"/>
  <c r="AV157" i="2"/>
  <c r="AU157" i="2"/>
  <c r="AT157" i="2"/>
  <c r="AS157" i="2"/>
  <c r="AR157" i="2"/>
  <c r="AQ157" i="2"/>
  <c r="AP157" i="2"/>
  <c r="AO157" i="2"/>
  <c r="AN157" i="2"/>
  <c r="AM157" i="2"/>
  <c r="AL157" i="2"/>
  <c r="AK157" i="2"/>
  <c r="AJ157" i="2"/>
  <c r="AI157" i="2"/>
  <c r="AH157" i="2"/>
  <c r="AG157" i="2"/>
  <c r="AF157" i="2"/>
  <c r="AE157" i="2"/>
  <c r="AD157" i="2"/>
  <c r="AC157" i="2"/>
  <c r="AB157" i="2"/>
  <c r="AA157" i="2"/>
  <c r="Z157" i="2"/>
  <c r="Y157" i="2"/>
  <c r="X157" i="2"/>
  <c r="W157" i="2"/>
  <c r="V157" i="2"/>
  <c r="U157" i="2"/>
  <c r="T157" i="2"/>
  <c r="S157" i="2"/>
  <c r="R157" i="2"/>
  <c r="Q157" i="2"/>
  <c r="P157" i="2"/>
  <c r="O157" i="2"/>
  <c r="N157" i="2"/>
  <c r="M157" i="2"/>
  <c r="L157" i="2"/>
  <c r="K157" i="2"/>
  <c r="J157" i="2"/>
  <c r="I157" i="2"/>
  <c r="H157" i="2"/>
  <c r="G157" i="2"/>
  <c r="F157" i="2"/>
  <c r="E157" i="2"/>
  <c r="D157" i="2"/>
  <c r="C157" i="2"/>
  <c r="B157" i="2"/>
  <c r="A157" i="2"/>
  <c r="BK156" i="2"/>
  <c r="BJ156" i="2"/>
  <c r="BI156" i="2"/>
  <c r="BH156" i="2"/>
  <c r="BG156" i="2"/>
  <c r="BF156" i="2"/>
  <c r="BE156" i="2"/>
  <c r="BD156" i="2"/>
  <c r="BC156" i="2"/>
  <c r="BB156" i="2"/>
  <c r="BA156" i="2"/>
  <c r="AZ156" i="2"/>
  <c r="AY156" i="2"/>
  <c r="AX156" i="2"/>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A156" i="2"/>
  <c r="BK155" i="2"/>
  <c r="BJ155" i="2"/>
  <c r="BI155" i="2"/>
  <c r="BH155" i="2"/>
  <c r="BG155" i="2"/>
  <c r="BF155" i="2"/>
  <c r="BE155" i="2"/>
  <c r="BD155" i="2"/>
  <c r="BC155" i="2"/>
  <c r="BB155" i="2"/>
  <c r="BA155" i="2"/>
  <c r="AZ155" i="2"/>
  <c r="AY155" i="2"/>
  <c r="AX155"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T155" i="2"/>
  <c r="S155" i="2"/>
  <c r="R155" i="2"/>
  <c r="Q155" i="2"/>
  <c r="P155" i="2"/>
  <c r="O155" i="2"/>
  <c r="N155" i="2"/>
  <c r="M155" i="2"/>
  <c r="L155" i="2"/>
  <c r="K155" i="2"/>
  <c r="J155" i="2"/>
  <c r="I155" i="2"/>
  <c r="H155" i="2"/>
  <c r="G155" i="2"/>
  <c r="F155" i="2"/>
  <c r="E155" i="2"/>
  <c r="D155" i="2"/>
  <c r="C155" i="2"/>
  <c r="B155" i="2"/>
  <c r="A155" i="2"/>
  <c r="BK154" i="2"/>
  <c r="BJ154" i="2"/>
  <c r="BI154" i="2"/>
  <c r="BH154" i="2"/>
  <c r="BG154" i="2"/>
  <c r="BF154" i="2"/>
  <c r="BE154" i="2"/>
  <c r="BD154" i="2"/>
  <c r="BC154" i="2"/>
  <c r="BB154" i="2"/>
  <c r="BA154" i="2"/>
  <c r="AZ154" i="2"/>
  <c r="AY154" i="2"/>
  <c r="AX154" i="2"/>
  <c r="AW154" i="2"/>
  <c r="AV154" i="2"/>
  <c r="AU154" i="2"/>
  <c r="AT154" i="2"/>
  <c r="AS154" i="2"/>
  <c r="AR154" i="2"/>
  <c r="AQ154" i="2"/>
  <c r="AP154" i="2"/>
  <c r="AO154" i="2"/>
  <c r="AN154" i="2"/>
  <c r="AM154" i="2"/>
  <c r="AL154" i="2"/>
  <c r="AK154" i="2"/>
  <c r="AJ154" i="2"/>
  <c r="AI154" i="2"/>
  <c r="AH154" i="2"/>
  <c r="AG154" i="2"/>
  <c r="AF154" i="2"/>
  <c r="AE154" i="2"/>
  <c r="AD154" i="2"/>
  <c r="AC154" i="2"/>
  <c r="AB154" i="2"/>
  <c r="AA154" i="2"/>
  <c r="Z154" i="2"/>
  <c r="Y154" i="2"/>
  <c r="X154" i="2"/>
  <c r="W154" i="2"/>
  <c r="V154" i="2"/>
  <c r="U154" i="2"/>
  <c r="T154" i="2"/>
  <c r="S154" i="2"/>
  <c r="R154" i="2"/>
  <c r="Q154" i="2"/>
  <c r="P154" i="2"/>
  <c r="O154" i="2"/>
  <c r="N154" i="2"/>
  <c r="M154" i="2"/>
  <c r="L154" i="2"/>
  <c r="K154" i="2"/>
  <c r="J154" i="2"/>
  <c r="I154" i="2"/>
  <c r="H154" i="2"/>
  <c r="G154" i="2"/>
  <c r="F154" i="2"/>
  <c r="E154" i="2"/>
  <c r="D154" i="2"/>
  <c r="C154" i="2"/>
  <c r="B154" i="2"/>
  <c r="A154" i="2"/>
  <c r="BK153" i="2"/>
  <c r="BJ153" i="2"/>
  <c r="BI153" i="2"/>
  <c r="BH153" i="2"/>
  <c r="BG153" i="2"/>
  <c r="BF153" i="2"/>
  <c r="BE153" i="2"/>
  <c r="BD153" i="2"/>
  <c r="BC153" i="2"/>
  <c r="BB153" i="2"/>
  <c r="BA153" i="2"/>
  <c r="AZ153" i="2"/>
  <c r="AY153" i="2"/>
  <c r="AX153" i="2"/>
  <c r="AW153" i="2"/>
  <c r="AV153" i="2"/>
  <c r="AU153" i="2"/>
  <c r="AT153" i="2"/>
  <c r="AS153" i="2"/>
  <c r="AR153" i="2"/>
  <c r="AQ153" i="2"/>
  <c r="AP153" i="2"/>
  <c r="AO153" i="2"/>
  <c r="AN153" i="2"/>
  <c r="AM153" i="2"/>
  <c r="AL153" i="2"/>
  <c r="AK153" i="2"/>
  <c r="AJ153" i="2"/>
  <c r="AI153" i="2"/>
  <c r="AH153" i="2"/>
  <c r="AG153" i="2"/>
  <c r="AF153" i="2"/>
  <c r="AE153" i="2"/>
  <c r="AD153" i="2"/>
  <c r="AC153" i="2"/>
  <c r="AB153" i="2"/>
  <c r="AA153" i="2"/>
  <c r="Z153" i="2"/>
  <c r="Y153" i="2"/>
  <c r="X153" i="2"/>
  <c r="W153" i="2"/>
  <c r="V153" i="2"/>
  <c r="U153" i="2"/>
  <c r="T153" i="2"/>
  <c r="S153" i="2"/>
  <c r="R153" i="2"/>
  <c r="Q153" i="2"/>
  <c r="P153" i="2"/>
  <c r="O153" i="2"/>
  <c r="N153" i="2"/>
  <c r="M153" i="2"/>
  <c r="L153" i="2"/>
  <c r="K153" i="2"/>
  <c r="J153" i="2"/>
  <c r="I153" i="2"/>
  <c r="H153" i="2"/>
  <c r="G153" i="2"/>
  <c r="F153" i="2"/>
  <c r="E153" i="2"/>
  <c r="D153" i="2"/>
  <c r="C153" i="2"/>
  <c r="B153" i="2"/>
  <c r="A153" i="2"/>
  <c r="BK152" i="2"/>
  <c r="BJ152" i="2"/>
  <c r="BI152" i="2"/>
  <c r="BH152" i="2"/>
  <c r="BG152" i="2"/>
  <c r="BF152" i="2"/>
  <c r="BE152" i="2"/>
  <c r="BD152" i="2"/>
  <c r="BC152" i="2"/>
  <c r="BB152" i="2"/>
  <c r="BA152" i="2"/>
  <c r="AZ152" i="2"/>
  <c r="AY152" i="2"/>
  <c r="AX152"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T152" i="2"/>
  <c r="S152" i="2"/>
  <c r="R152" i="2"/>
  <c r="Q152" i="2"/>
  <c r="P152" i="2"/>
  <c r="O152" i="2"/>
  <c r="N152" i="2"/>
  <c r="M152" i="2"/>
  <c r="L152" i="2"/>
  <c r="K152" i="2"/>
  <c r="J152" i="2"/>
  <c r="I152" i="2"/>
  <c r="H152" i="2"/>
  <c r="G152" i="2"/>
  <c r="F152" i="2"/>
  <c r="E152" i="2"/>
  <c r="D152" i="2"/>
  <c r="C152" i="2"/>
  <c r="B152" i="2"/>
  <c r="A152" i="2"/>
  <c r="BK151" i="2"/>
  <c r="BJ151" i="2"/>
  <c r="BI151" i="2"/>
  <c r="BH151" i="2"/>
  <c r="BG151" i="2"/>
  <c r="BF151" i="2"/>
  <c r="BE151" i="2"/>
  <c r="BD151" i="2"/>
  <c r="BC151" i="2"/>
  <c r="BB151" i="2"/>
  <c r="BA151" i="2"/>
  <c r="AZ151" i="2"/>
  <c r="AY151" i="2"/>
  <c r="AX151" i="2"/>
  <c r="AW151" i="2"/>
  <c r="AV151" i="2"/>
  <c r="AU151" i="2"/>
  <c r="AT151" i="2"/>
  <c r="AS151" i="2"/>
  <c r="AR151" i="2"/>
  <c r="AQ151" i="2"/>
  <c r="AP151" i="2"/>
  <c r="AO151" i="2"/>
  <c r="AN151" i="2"/>
  <c r="AM151" i="2"/>
  <c r="AL151" i="2"/>
  <c r="AK151" i="2"/>
  <c r="AJ151" i="2"/>
  <c r="AI151" i="2"/>
  <c r="AH151" i="2"/>
  <c r="AG151" i="2"/>
  <c r="AF151" i="2"/>
  <c r="AE151" i="2"/>
  <c r="AD151" i="2"/>
  <c r="AC151" i="2"/>
  <c r="AB151" i="2"/>
  <c r="AA151" i="2"/>
  <c r="Z151" i="2"/>
  <c r="Y151" i="2"/>
  <c r="X151" i="2"/>
  <c r="W151" i="2"/>
  <c r="V151" i="2"/>
  <c r="U151" i="2"/>
  <c r="T151" i="2"/>
  <c r="S151" i="2"/>
  <c r="R151" i="2"/>
  <c r="Q151" i="2"/>
  <c r="P151" i="2"/>
  <c r="O151" i="2"/>
  <c r="N151" i="2"/>
  <c r="M151" i="2"/>
  <c r="L151" i="2"/>
  <c r="K151" i="2"/>
  <c r="J151" i="2"/>
  <c r="I151" i="2"/>
  <c r="H151" i="2"/>
  <c r="G151" i="2"/>
  <c r="F151" i="2"/>
  <c r="E151" i="2"/>
  <c r="D151" i="2"/>
  <c r="C151" i="2"/>
  <c r="B151" i="2"/>
  <c r="A151" i="2"/>
  <c r="BK150" i="2"/>
  <c r="BJ150" i="2"/>
  <c r="BI150" i="2"/>
  <c r="BH150" i="2"/>
  <c r="BG150" i="2"/>
  <c r="BF150" i="2"/>
  <c r="BE150" i="2"/>
  <c r="BD150" i="2"/>
  <c r="BC150" i="2"/>
  <c r="BB150" i="2"/>
  <c r="BA150" i="2"/>
  <c r="AZ150" i="2"/>
  <c r="AY150" i="2"/>
  <c r="AX150" i="2"/>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A150" i="2"/>
  <c r="BK149" i="2"/>
  <c r="BJ149" i="2"/>
  <c r="BI149" i="2"/>
  <c r="BH149" i="2"/>
  <c r="BG149" i="2"/>
  <c r="BF149" i="2"/>
  <c r="BE149" i="2"/>
  <c r="BD149" i="2"/>
  <c r="BC149" i="2"/>
  <c r="BB149" i="2"/>
  <c r="BA149" i="2"/>
  <c r="AZ149" i="2"/>
  <c r="AY149" i="2"/>
  <c r="AX149"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T149" i="2"/>
  <c r="S149" i="2"/>
  <c r="R149" i="2"/>
  <c r="Q149" i="2"/>
  <c r="P149" i="2"/>
  <c r="O149" i="2"/>
  <c r="N149" i="2"/>
  <c r="M149" i="2"/>
  <c r="L149" i="2"/>
  <c r="K149" i="2"/>
  <c r="J149" i="2"/>
  <c r="I149" i="2"/>
  <c r="H149" i="2"/>
  <c r="G149" i="2"/>
  <c r="F149" i="2"/>
  <c r="E149" i="2"/>
  <c r="D149" i="2"/>
  <c r="C149" i="2"/>
  <c r="B149" i="2"/>
  <c r="A149" i="2"/>
  <c r="BK148" i="2"/>
  <c r="BJ148" i="2"/>
  <c r="BI148" i="2"/>
  <c r="BH148" i="2"/>
  <c r="BG148" i="2"/>
  <c r="BF148" i="2"/>
  <c r="BE148" i="2"/>
  <c r="BD148" i="2"/>
  <c r="BC148" i="2"/>
  <c r="BB148" i="2"/>
  <c r="BA148" i="2"/>
  <c r="AZ148" i="2"/>
  <c r="AY148" i="2"/>
  <c r="AX148" i="2"/>
  <c r="AW148" i="2"/>
  <c r="AV148" i="2"/>
  <c r="AU148" i="2"/>
  <c r="AT148" i="2"/>
  <c r="AS148" i="2"/>
  <c r="AR148" i="2"/>
  <c r="AQ148" i="2"/>
  <c r="AP148" i="2"/>
  <c r="AO148" i="2"/>
  <c r="AN148" i="2"/>
  <c r="AM148" i="2"/>
  <c r="AL148" i="2"/>
  <c r="AK148" i="2"/>
  <c r="AJ148" i="2"/>
  <c r="AI148" i="2"/>
  <c r="AH148" i="2"/>
  <c r="AG148" i="2"/>
  <c r="AF148" i="2"/>
  <c r="AE148" i="2"/>
  <c r="AD148" i="2"/>
  <c r="AC148" i="2"/>
  <c r="AB148" i="2"/>
  <c r="AA148" i="2"/>
  <c r="Z148" i="2"/>
  <c r="Y148" i="2"/>
  <c r="X148" i="2"/>
  <c r="W148" i="2"/>
  <c r="V148" i="2"/>
  <c r="U148" i="2"/>
  <c r="T148" i="2"/>
  <c r="S148" i="2"/>
  <c r="R148" i="2"/>
  <c r="Q148" i="2"/>
  <c r="P148" i="2"/>
  <c r="O148" i="2"/>
  <c r="N148" i="2"/>
  <c r="M148" i="2"/>
  <c r="L148" i="2"/>
  <c r="K148" i="2"/>
  <c r="J148" i="2"/>
  <c r="I148" i="2"/>
  <c r="H148" i="2"/>
  <c r="G148" i="2"/>
  <c r="F148" i="2"/>
  <c r="E148" i="2"/>
  <c r="D148" i="2"/>
  <c r="C148" i="2"/>
  <c r="B148" i="2"/>
  <c r="A148" i="2"/>
  <c r="BK147" i="2"/>
  <c r="BJ147" i="2"/>
  <c r="BI147" i="2"/>
  <c r="BH147" i="2"/>
  <c r="BG147" i="2"/>
  <c r="BF147" i="2"/>
  <c r="BE147" i="2"/>
  <c r="BD147" i="2"/>
  <c r="BC147" i="2"/>
  <c r="BB147" i="2"/>
  <c r="BA147" i="2"/>
  <c r="AZ147" i="2"/>
  <c r="AY147" i="2"/>
  <c r="AX147" i="2"/>
  <c r="AW147" i="2"/>
  <c r="AV147" i="2"/>
  <c r="AU147" i="2"/>
  <c r="AT147" i="2"/>
  <c r="AS147" i="2"/>
  <c r="AR147" i="2"/>
  <c r="AQ147" i="2"/>
  <c r="AP147" i="2"/>
  <c r="AO147" i="2"/>
  <c r="AN147" i="2"/>
  <c r="AM147" i="2"/>
  <c r="AL147" i="2"/>
  <c r="AK147" i="2"/>
  <c r="AJ147" i="2"/>
  <c r="AI147" i="2"/>
  <c r="AH147" i="2"/>
  <c r="AG147" i="2"/>
  <c r="AF147" i="2"/>
  <c r="AE147" i="2"/>
  <c r="AD147" i="2"/>
  <c r="AC147" i="2"/>
  <c r="AB147" i="2"/>
  <c r="AA147" i="2"/>
  <c r="Z147" i="2"/>
  <c r="Y147" i="2"/>
  <c r="X147" i="2"/>
  <c r="W147" i="2"/>
  <c r="V147" i="2"/>
  <c r="U147" i="2"/>
  <c r="T147" i="2"/>
  <c r="S147" i="2"/>
  <c r="R147" i="2"/>
  <c r="Q147" i="2"/>
  <c r="P147" i="2"/>
  <c r="O147" i="2"/>
  <c r="N147" i="2"/>
  <c r="M147" i="2"/>
  <c r="L147" i="2"/>
  <c r="K147" i="2"/>
  <c r="J147" i="2"/>
  <c r="I147" i="2"/>
  <c r="H147" i="2"/>
  <c r="G147" i="2"/>
  <c r="F147" i="2"/>
  <c r="E147" i="2"/>
  <c r="D147" i="2"/>
  <c r="C147" i="2"/>
  <c r="B147" i="2"/>
  <c r="A147" i="2"/>
  <c r="BK146" i="2"/>
  <c r="BJ146" i="2"/>
  <c r="BI146" i="2"/>
  <c r="BH146" i="2"/>
  <c r="BG146" i="2"/>
  <c r="BF146" i="2"/>
  <c r="BE146" i="2"/>
  <c r="BD146" i="2"/>
  <c r="BC146" i="2"/>
  <c r="BB146" i="2"/>
  <c r="BA146" i="2"/>
  <c r="AZ146"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E146" i="2"/>
  <c r="D146" i="2"/>
  <c r="C146" i="2"/>
  <c r="B146" i="2"/>
  <c r="A146" i="2"/>
  <c r="BK145" i="2"/>
  <c r="BJ145" i="2"/>
  <c r="BI145" i="2"/>
  <c r="BH145" i="2"/>
  <c r="BG145" i="2"/>
  <c r="BF145" i="2"/>
  <c r="BE145" i="2"/>
  <c r="BD145" i="2"/>
  <c r="BC145" i="2"/>
  <c r="BB145" i="2"/>
  <c r="BA145" i="2"/>
  <c r="AZ145" i="2"/>
  <c r="AY145" i="2"/>
  <c r="AX145" i="2"/>
  <c r="AW145" i="2"/>
  <c r="AV145" i="2"/>
  <c r="AU145" i="2"/>
  <c r="AT145" i="2"/>
  <c r="AS145" i="2"/>
  <c r="AR145" i="2"/>
  <c r="AQ145" i="2"/>
  <c r="AP145" i="2"/>
  <c r="AO145" i="2"/>
  <c r="AN145" i="2"/>
  <c r="AM145" i="2"/>
  <c r="AL145" i="2"/>
  <c r="AK145" i="2"/>
  <c r="AJ145" i="2"/>
  <c r="AI145" i="2"/>
  <c r="AH145" i="2"/>
  <c r="AG145" i="2"/>
  <c r="AF145" i="2"/>
  <c r="AE145" i="2"/>
  <c r="AD145" i="2"/>
  <c r="AC145" i="2"/>
  <c r="AB145" i="2"/>
  <c r="AA145" i="2"/>
  <c r="Z145" i="2"/>
  <c r="Y145" i="2"/>
  <c r="X145" i="2"/>
  <c r="W145" i="2"/>
  <c r="V145" i="2"/>
  <c r="U145" i="2"/>
  <c r="T145" i="2"/>
  <c r="S145" i="2"/>
  <c r="R145" i="2"/>
  <c r="Q145" i="2"/>
  <c r="P145" i="2"/>
  <c r="O145" i="2"/>
  <c r="N145" i="2"/>
  <c r="M145" i="2"/>
  <c r="L145" i="2"/>
  <c r="K145" i="2"/>
  <c r="J145" i="2"/>
  <c r="I145" i="2"/>
  <c r="H145" i="2"/>
  <c r="G145" i="2"/>
  <c r="F145" i="2"/>
  <c r="E145" i="2"/>
  <c r="D145" i="2"/>
  <c r="C145" i="2"/>
  <c r="B145" i="2"/>
  <c r="A145" i="2"/>
  <c r="BK144" i="2"/>
  <c r="BJ144" i="2"/>
  <c r="BI144" i="2"/>
  <c r="BH144" i="2"/>
  <c r="BG144" i="2"/>
  <c r="BF144" i="2"/>
  <c r="BE144" i="2"/>
  <c r="BD144" i="2"/>
  <c r="BC144" i="2"/>
  <c r="BB144" i="2"/>
  <c r="BA144" i="2"/>
  <c r="AZ144" i="2"/>
  <c r="AY144" i="2"/>
  <c r="AX144" i="2"/>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E144" i="2"/>
  <c r="D144" i="2"/>
  <c r="C144" i="2"/>
  <c r="B144" i="2"/>
  <c r="A144" i="2"/>
  <c r="BK143" i="2"/>
  <c r="BJ143" i="2"/>
  <c r="BI143" i="2"/>
  <c r="BH143" i="2"/>
  <c r="BG143" i="2"/>
  <c r="BF143" i="2"/>
  <c r="BE143" i="2"/>
  <c r="BD143" i="2"/>
  <c r="BC143" i="2"/>
  <c r="BB143" i="2"/>
  <c r="BA143" i="2"/>
  <c r="AZ143" i="2"/>
  <c r="AY143" i="2"/>
  <c r="AX143"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T143" i="2"/>
  <c r="S143" i="2"/>
  <c r="R143" i="2"/>
  <c r="Q143" i="2"/>
  <c r="P143" i="2"/>
  <c r="O143" i="2"/>
  <c r="N143" i="2"/>
  <c r="M143" i="2"/>
  <c r="L143" i="2"/>
  <c r="K143" i="2"/>
  <c r="J143" i="2"/>
  <c r="I143" i="2"/>
  <c r="H143" i="2"/>
  <c r="G143" i="2"/>
  <c r="F143" i="2"/>
  <c r="E143" i="2"/>
  <c r="D143" i="2"/>
  <c r="C143" i="2"/>
  <c r="B143" i="2"/>
  <c r="A143" i="2"/>
  <c r="BK142" i="2"/>
  <c r="BJ142" i="2"/>
  <c r="BI142" i="2"/>
  <c r="BH142" i="2"/>
  <c r="BG142" i="2"/>
  <c r="BF142" i="2"/>
  <c r="BE142" i="2"/>
  <c r="BD142" i="2"/>
  <c r="BC142" i="2"/>
  <c r="BB142" i="2"/>
  <c r="BA142" i="2"/>
  <c r="AZ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Z142" i="2"/>
  <c r="Y142" i="2"/>
  <c r="X142" i="2"/>
  <c r="W142" i="2"/>
  <c r="V142" i="2"/>
  <c r="U142" i="2"/>
  <c r="T142" i="2"/>
  <c r="S142" i="2"/>
  <c r="R142" i="2"/>
  <c r="Q142" i="2"/>
  <c r="P142" i="2"/>
  <c r="O142" i="2"/>
  <c r="N142" i="2"/>
  <c r="M142" i="2"/>
  <c r="L142" i="2"/>
  <c r="K142" i="2"/>
  <c r="J142" i="2"/>
  <c r="I142" i="2"/>
  <c r="H142" i="2"/>
  <c r="G142" i="2"/>
  <c r="F142" i="2"/>
  <c r="E142" i="2"/>
  <c r="D142" i="2"/>
  <c r="C142" i="2"/>
  <c r="B142" i="2"/>
  <c r="A142" i="2"/>
  <c r="BK141" i="2"/>
  <c r="BJ141" i="2"/>
  <c r="BI141" i="2"/>
  <c r="BH141" i="2"/>
  <c r="BG141" i="2"/>
  <c r="BF141" i="2"/>
  <c r="BE141" i="2"/>
  <c r="BD141" i="2"/>
  <c r="BC141" i="2"/>
  <c r="BB141" i="2"/>
  <c r="BA141" i="2"/>
  <c r="AZ141" i="2"/>
  <c r="AY141" i="2"/>
  <c r="AX141" i="2"/>
  <c r="AW141" i="2"/>
  <c r="AV141" i="2"/>
  <c r="AU141" i="2"/>
  <c r="AT141" i="2"/>
  <c r="AS141" i="2"/>
  <c r="AR141" i="2"/>
  <c r="AQ141" i="2"/>
  <c r="AP141" i="2"/>
  <c r="AO141" i="2"/>
  <c r="AN141" i="2"/>
  <c r="AM141" i="2"/>
  <c r="AL141" i="2"/>
  <c r="AK141" i="2"/>
  <c r="AJ141" i="2"/>
  <c r="AI141" i="2"/>
  <c r="AH141" i="2"/>
  <c r="AG141" i="2"/>
  <c r="AF141" i="2"/>
  <c r="AE141" i="2"/>
  <c r="AD141" i="2"/>
  <c r="AC141" i="2"/>
  <c r="AB141" i="2"/>
  <c r="AA141" i="2"/>
  <c r="Z141" i="2"/>
  <c r="Y141" i="2"/>
  <c r="X141" i="2"/>
  <c r="W141" i="2"/>
  <c r="V141" i="2"/>
  <c r="U141" i="2"/>
  <c r="T141" i="2"/>
  <c r="S141" i="2"/>
  <c r="R141" i="2"/>
  <c r="Q141" i="2"/>
  <c r="P141" i="2"/>
  <c r="O141" i="2"/>
  <c r="N141" i="2"/>
  <c r="M141" i="2"/>
  <c r="L141" i="2"/>
  <c r="K141" i="2"/>
  <c r="J141" i="2"/>
  <c r="I141" i="2"/>
  <c r="H141" i="2"/>
  <c r="G141" i="2"/>
  <c r="F141" i="2"/>
  <c r="E141" i="2"/>
  <c r="D141" i="2"/>
  <c r="C141" i="2"/>
  <c r="B141" i="2"/>
  <c r="A141" i="2"/>
  <c r="BK140" i="2"/>
  <c r="BJ140" i="2"/>
  <c r="BI140" i="2"/>
  <c r="BH140" i="2"/>
  <c r="BG140" i="2"/>
  <c r="BF140" i="2"/>
  <c r="BE140" i="2"/>
  <c r="BD140" i="2"/>
  <c r="BC140" i="2"/>
  <c r="BB140" i="2"/>
  <c r="BA140" i="2"/>
  <c r="AZ140"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C140" i="2"/>
  <c r="B140" i="2"/>
  <c r="A140" i="2"/>
  <c r="BK139" i="2"/>
  <c r="BJ139" i="2"/>
  <c r="BI139" i="2"/>
  <c r="BH139" i="2"/>
  <c r="BG139" i="2"/>
  <c r="BF139" i="2"/>
  <c r="BE139" i="2"/>
  <c r="BD139" i="2"/>
  <c r="BC139" i="2"/>
  <c r="BB139" i="2"/>
  <c r="BA139" i="2"/>
  <c r="AZ139" i="2"/>
  <c r="AY139" i="2"/>
  <c r="AX139" i="2"/>
  <c r="AW139" i="2"/>
  <c r="AV139" i="2"/>
  <c r="AU139" i="2"/>
  <c r="AT139" i="2"/>
  <c r="AS139" i="2"/>
  <c r="AR139" i="2"/>
  <c r="AQ139" i="2"/>
  <c r="AP139" i="2"/>
  <c r="AO139" i="2"/>
  <c r="AN139" i="2"/>
  <c r="AM139" i="2"/>
  <c r="AL139" i="2"/>
  <c r="AK139" i="2"/>
  <c r="AJ139" i="2"/>
  <c r="AI139" i="2"/>
  <c r="AH139" i="2"/>
  <c r="AG139" i="2"/>
  <c r="AF139" i="2"/>
  <c r="AE139" i="2"/>
  <c r="AD139" i="2"/>
  <c r="AC139" i="2"/>
  <c r="AB139" i="2"/>
  <c r="AA139" i="2"/>
  <c r="Z139" i="2"/>
  <c r="Y139" i="2"/>
  <c r="X139" i="2"/>
  <c r="W139" i="2"/>
  <c r="V139" i="2"/>
  <c r="U139" i="2"/>
  <c r="T139" i="2"/>
  <c r="S139" i="2"/>
  <c r="R139" i="2"/>
  <c r="Q139" i="2"/>
  <c r="P139" i="2"/>
  <c r="O139" i="2"/>
  <c r="N139" i="2"/>
  <c r="M139" i="2"/>
  <c r="L139" i="2"/>
  <c r="K139" i="2"/>
  <c r="J139" i="2"/>
  <c r="I139" i="2"/>
  <c r="H139" i="2"/>
  <c r="G139" i="2"/>
  <c r="F139" i="2"/>
  <c r="E139" i="2"/>
  <c r="D139" i="2"/>
  <c r="C139" i="2"/>
  <c r="B139" i="2"/>
  <c r="A139" i="2"/>
  <c r="BK138" i="2"/>
  <c r="BJ138" i="2"/>
  <c r="BI138" i="2"/>
  <c r="BH138" i="2"/>
  <c r="BG138" i="2"/>
  <c r="BF138" i="2"/>
  <c r="BE138" i="2"/>
  <c r="BD138" i="2"/>
  <c r="BC138" i="2"/>
  <c r="BB138" i="2"/>
  <c r="BA138" i="2"/>
  <c r="AZ138" i="2"/>
  <c r="AY138" i="2"/>
  <c r="AX138" i="2"/>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A138" i="2"/>
  <c r="BK137" i="2"/>
  <c r="BJ137" i="2"/>
  <c r="BI137" i="2"/>
  <c r="BH137" i="2"/>
  <c r="BG137" i="2"/>
  <c r="BF137" i="2"/>
  <c r="BE137" i="2"/>
  <c r="BD137" i="2"/>
  <c r="BC137" i="2"/>
  <c r="BB137" i="2"/>
  <c r="BA137" i="2"/>
  <c r="AZ137" i="2"/>
  <c r="AY137" i="2"/>
  <c r="AX137"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T137" i="2"/>
  <c r="S137" i="2"/>
  <c r="R137" i="2"/>
  <c r="Q137" i="2"/>
  <c r="P137" i="2"/>
  <c r="O137" i="2"/>
  <c r="N137" i="2"/>
  <c r="M137" i="2"/>
  <c r="L137" i="2"/>
  <c r="K137" i="2"/>
  <c r="J137" i="2"/>
  <c r="I137" i="2"/>
  <c r="H137" i="2"/>
  <c r="G137" i="2"/>
  <c r="F137" i="2"/>
  <c r="E137" i="2"/>
  <c r="D137" i="2"/>
  <c r="C137" i="2"/>
  <c r="B137" i="2"/>
  <c r="A137" i="2"/>
  <c r="BK136" i="2"/>
  <c r="BJ136" i="2"/>
  <c r="BI136" i="2"/>
  <c r="BH136" i="2"/>
  <c r="BG136" i="2"/>
  <c r="BF136" i="2"/>
  <c r="BE136" i="2"/>
  <c r="BD136" i="2"/>
  <c r="BC136" i="2"/>
  <c r="BB136" i="2"/>
  <c r="BA136" i="2"/>
  <c r="AZ136" i="2"/>
  <c r="AY136" i="2"/>
  <c r="AX136" i="2"/>
  <c r="AW136" i="2"/>
  <c r="AV136" i="2"/>
  <c r="AU136" i="2"/>
  <c r="AT136" i="2"/>
  <c r="AS136" i="2"/>
  <c r="AR136" i="2"/>
  <c r="AQ136" i="2"/>
  <c r="AP136" i="2"/>
  <c r="AO136" i="2"/>
  <c r="AN136" i="2"/>
  <c r="AM136" i="2"/>
  <c r="AL136" i="2"/>
  <c r="AK136" i="2"/>
  <c r="AJ136" i="2"/>
  <c r="AI136" i="2"/>
  <c r="AH136"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C136" i="2"/>
  <c r="B136" i="2"/>
  <c r="A136" i="2"/>
  <c r="BK135" i="2"/>
  <c r="BJ135" i="2"/>
  <c r="BI135" i="2"/>
  <c r="BH135" i="2"/>
  <c r="BG135" i="2"/>
  <c r="BF135" i="2"/>
  <c r="BE135" i="2"/>
  <c r="BD135" i="2"/>
  <c r="BC135" i="2"/>
  <c r="BB135" i="2"/>
  <c r="BA135" i="2"/>
  <c r="AZ135" i="2"/>
  <c r="AY135" i="2"/>
  <c r="AX135" i="2"/>
  <c r="AW135" i="2"/>
  <c r="AV135" i="2"/>
  <c r="AU135" i="2"/>
  <c r="AT135" i="2"/>
  <c r="AS135" i="2"/>
  <c r="AR135" i="2"/>
  <c r="AQ135" i="2"/>
  <c r="AP135" i="2"/>
  <c r="AO135" i="2"/>
  <c r="AN135" i="2"/>
  <c r="AM135" i="2"/>
  <c r="AL135" i="2"/>
  <c r="AK135" i="2"/>
  <c r="AJ135" i="2"/>
  <c r="AI135" i="2"/>
  <c r="AH135" i="2"/>
  <c r="AG135" i="2"/>
  <c r="AF135" i="2"/>
  <c r="AE135" i="2"/>
  <c r="AD135" i="2"/>
  <c r="AC135" i="2"/>
  <c r="AB135" i="2"/>
  <c r="AA135" i="2"/>
  <c r="Z135" i="2"/>
  <c r="Y135" i="2"/>
  <c r="X135" i="2"/>
  <c r="W135" i="2"/>
  <c r="V135" i="2"/>
  <c r="U135" i="2"/>
  <c r="T135" i="2"/>
  <c r="S135" i="2"/>
  <c r="R135" i="2"/>
  <c r="Q135" i="2"/>
  <c r="P135" i="2"/>
  <c r="O135" i="2"/>
  <c r="N135" i="2"/>
  <c r="M135" i="2"/>
  <c r="L135" i="2"/>
  <c r="K135" i="2"/>
  <c r="J135" i="2"/>
  <c r="I135" i="2"/>
  <c r="H135" i="2"/>
  <c r="G135" i="2"/>
  <c r="F135" i="2"/>
  <c r="E135" i="2"/>
  <c r="D135" i="2"/>
  <c r="C135" i="2"/>
  <c r="B135" i="2"/>
  <c r="A135" i="2"/>
  <c r="BK134" i="2"/>
  <c r="BJ134" i="2"/>
  <c r="BI134" i="2"/>
  <c r="BH134" i="2"/>
  <c r="BG134" i="2"/>
  <c r="BF134" i="2"/>
  <c r="BE134" i="2"/>
  <c r="BD134" i="2"/>
  <c r="BC134" i="2"/>
  <c r="BB134" i="2"/>
  <c r="BA134" i="2"/>
  <c r="AZ134"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E134" i="2"/>
  <c r="D134" i="2"/>
  <c r="C134" i="2"/>
  <c r="B134" i="2"/>
  <c r="A134" i="2"/>
  <c r="BK133" i="2"/>
  <c r="BJ133" i="2"/>
  <c r="BI133" i="2"/>
  <c r="BH133" i="2"/>
  <c r="BG133" i="2"/>
  <c r="BF133" i="2"/>
  <c r="BE133" i="2"/>
  <c r="BD133" i="2"/>
  <c r="BC133" i="2"/>
  <c r="BB133" i="2"/>
  <c r="BA133" i="2"/>
  <c r="AZ133" i="2"/>
  <c r="AY133" i="2"/>
  <c r="AX133" i="2"/>
  <c r="AW133" i="2"/>
  <c r="AV133" i="2"/>
  <c r="AU133" i="2"/>
  <c r="AT133" i="2"/>
  <c r="AS133" i="2"/>
  <c r="AR133" i="2"/>
  <c r="AQ133" i="2"/>
  <c r="AP133" i="2"/>
  <c r="AO133" i="2"/>
  <c r="AN133" i="2"/>
  <c r="AM133" i="2"/>
  <c r="AL133" i="2"/>
  <c r="AK133" i="2"/>
  <c r="AJ133" i="2"/>
  <c r="AI133" i="2"/>
  <c r="AH133" i="2"/>
  <c r="AG133" i="2"/>
  <c r="AF133" i="2"/>
  <c r="AE133" i="2"/>
  <c r="AD133" i="2"/>
  <c r="AC133" i="2"/>
  <c r="AB133" i="2"/>
  <c r="AA133" i="2"/>
  <c r="Z133" i="2"/>
  <c r="Y133" i="2"/>
  <c r="X133" i="2"/>
  <c r="W133" i="2"/>
  <c r="V133" i="2"/>
  <c r="U133" i="2"/>
  <c r="T133" i="2"/>
  <c r="S133" i="2"/>
  <c r="R133" i="2"/>
  <c r="Q133" i="2"/>
  <c r="P133" i="2"/>
  <c r="O133" i="2"/>
  <c r="N133" i="2"/>
  <c r="M133" i="2"/>
  <c r="L133" i="2"/>
  <c r="K133" i="2"/>
  <c r="J133" i="2"/>
  <c r="I133" i="2"/>
  <c r="H133" i="2"/>
  <c r="G133" i="2"/>
  <c r="F133" i="2"/>
  <c r="E133" i="2"/>
  <c r="D133" i="2"/>
  <c r="C133" i="2"/>
  <c r="B133" i="2"/>
  <c r="A133" i="2"/>
  <c r="BK132" i="2"/>
  <c r="BJ132" i="2"/>
  <c r="BI132" i="2"/>
  <c r="BH132" i="2"/>
  <c r="BG132" i="2"/>
  <c r="BF132" i="2"/>
  <c r="BE132" i="2"/>
  <c r="BD132" i="2"/>
  <c r="BC132" i="2"/>
  <c r="BB132" i="2"/>
  <c r="BA132" i="2"/>
  <c r="AZ132" i="2"/>
  <c r="AY132" i="2"/>
  <c r="AX132" i="2"/>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A132" i="2"/>
  <c r="BK131" i="2"/>
  <c r="BJ131" i="2"/>
  <c r="BI131" i="2"/>
  <c r="BH131" i="2"/>
  <c r="BG131" i="2"/>
  <c r="BF131" i="2"/>
  <c r="BE131" i="2"/>
  <c r="BD131" i="2"/>
  <c r="BC131" i="2"/>
  <c r="BB131" i="2"/>
  <c r="BA131" i="2"/>
  <c r="AZ131" i="2"/>
  <c r="AY131" i="2"/>
  <c r="AX131"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T131" i="2"/>
  <c r="S131" i="2"/>
  <c r="R131" i="2"/>
  <c r="Q131" i="2"/>
  <c r="P131" i="2"/>
  <c r="O131" i="2"/>
  <c r="N131" i="2"/>
  <c r="M131" i="2"/>
  <c r="L131" i="2"/>
  <c r="K131" i="2"/>
  <c r="J131" i="2"/>
  <c r="I131" i="2"/>
  <c r="H131" i="2"/>
  <c r="G131" i="2"/>
  <c r="F131" i="2"/>
  <c r="E131" i="2"/>
  <c r="D131" i="2"/>
  <c r="C131" i="2"/>
  <c r="B131" i="2"/>
  <c r="A131" i="2"/>
  <c r="BK130" i="2"/>
  <c r="BJ130" i="2"/>
  <c r="BI130" i="2"/>
  <c r="BH130" i="2"/>
  <c r="BG130" i="2"/>
  <c r="BF130" i="2"/>
  <c r="BE130" i="2"/>
  <c r="BD130" i="2"/>
  <c r="BC130" i="2"/>
  <c r="BB130" i="2"/>
  <c r="BA130" i="2"/>
  <c r="AZ130" i="2"/>
  <c r="AY130" i="2"/>
  <c r="AX130" i="2"/>
  <c r="AW130" i="2"/>
  <c r="AV130" i="2"/>
  <c r="AU130" i="2"/>
  <c r="AT130" i="2"/>
  <c r="AS130" i="2"/>
  <c r="AR130" i="2"/>
  <c r="AQ130" i="2"/>
  <c r="AP130" i="2"/>
  <c r="AO130" i="2"/>
  <c r="AN130" i="2"/>
  <c r="AM130" i="2"/>
  <c r="AL130" i="2"/>
  <c r="AK130" i="2"/>
  <c r="AJ130" i="2"/>
  <c r="AI130" i="2"/>
  <c r="AH130" i="2"/>
  <c r="AG130" i="2"/>
  <c r="AF130" i="2"/>
  <c r="AE130" i="2"/>
  <c r="AD130" i="2"/>
  <c r="AC130" i="2"/>
  <c r="AB130" i="2"/>
  <c r="AA130" i="2"/>
  <c r="Z130" i="2"/>
  <c r="Y130" i="2"/>
  <c r="X130" i="2"/>
  <c r="W130" i="2"/>
  <c r="V130" i="2"/>
  <c r="U130" i="2"/>
  <c r="T130" i="2"/>
  <c r="S130" i="2"/>
  <c r="R130" i="2"/>
  <c r="Q130" i="2"/>
  <c r="P130" i="2"/>
  <c r="O130" i="2"/>
  <c r="N130" i="2"/>
  <c r="M130" i="2"/>
  <c r="L130" i="2"/>
  <c r="K130" i="2"/>
  <c r="J130" i="2"/>
  <c r="I130" i="2"/>
  <c r="H130" i="2"/>
  <c r="G130" i="2"/>
  <c r="F130" i="2"/>
  <c r="E130" i="2"/>
  <c r="D130" i="2"/>
  <c r="C130" i="2"/>
  <c r="B130" i="2"/>
  <c r="A130" i="2"/>
  <c r="BK129" i="2"/>
  <c r="BJ129" i="2"/>
  <c r="BI129" i="2"/>
  <c r="BH129" i="2"/>
  <c r="BG129" i="2"/>
  <c r="BF129" i="2"/>
  <c r="BE129" i="2"/>
  <c r="BD129" i="2"/>
  <c r="BC129" i="2"/>
  <c r="BB129" i="2"/>
  <c r="BA129" i="2"/>
  <c r="AZ129" i="2"/>
  <c r="AY129" i="2"/>
  <c r="AX129" i="2"/>
  <c r="AW129"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H129" i="2"/>
  <c r="G129" i="2"/>
  <c r="F129" i="2"/>
  <c r="E129" i="2"/>
  <c r="D129" i="2"/>
  <c r="C129" i="2"/>
  <c r="B129" i="2"/>
  <c r="A129" i="2"/>
  <c r="BK128" i="2"/>
  <c r="BJ128" i="2"/>
  <c r="BI128" i="2"/>
  <c r="BH128" i="2"/>
  <c r="BG128" i="2"/>
  <c r="BF128" i="2"/>
  <c r="BE128" i="2"/>
  <c r="BD128" i="2"/>
  <c r="BC128" i="2"/>
  <c r="BB128" i="2"/>
  <c r="BA128" i="2"/>
  <c r="AZ128"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H128" i="2"/>
  <c r="G128" i="2"/>
  <c r="F128" i="2"/>
  <c r="E128" i="2"/>
  <c r="D128" i="2"/>
  <c r="C128" i="2"/>
  <c r="B128" i="2"/>
  <c r="A128" i="2"/>
  <c r="BK127" i="2"/>
  <c r="BJ127" i="2"/>
  <c r="BI127" i="2"/>
  <c r="BH127" i="2"/>
  <c r="BG127" i="2"/>
  <c r="BF127" i="2"/>
  <c r="BE127" i="2"/>
  <c r="BD127" i="2"/>
  <c r="BC127" i="2"/>
  <c r="BB127" i="2"/>
  <c r="BA127" i="2"/>
  <c r="AZ127" i="2"/>
  <c r="AY127" i="2"/>
  <c r="AX127" i="2"/>
  <c r="AW127" i="2"/>
  <c r="AV127" i="2"/>
  <c r="AU127" i="2"/>
  <c r="AT127" i="2"/>
  <c r="AS127" i="2"/>
  <c r="AR127" i="2"/>
  <c r="AQ127" i="2"/>
  <c r="AP127" i="2"/>
  <c r="AO127" i="2"/>
  <c r="AN127" i="2"/>
  <c r="AM127" i="2"/>
  <c r="AL127" i="2"/>
  <c r="AK127" i="2"/>
  <c r="AJ127" i="2"/>
  <c r="AI127" i="2"/>
  <c r="AH127" i="2"/>
  <c r="AG127" i="2"/>
  <c r="AF127" i="2"/>
  <c r="AE127" i="2"/>
  <c r="AD127" i="2"/>
  <c r="AC127" i="2"/>
  <c r="AB127" i="2"/>
  <c r="AA127" i="2"/>
  <c r="Z127" i="2"/>
  <c r="Y127" i="2"/>
  <c r="X127" i="2"/>
  <c r="W127" i="2"/>
  <c r="V127" i="2"/>
  <c r="U127" i="2"/>
  <c r="T127" i="2"/>
  <c r="S127" i="2"/>
  <c r="R127" i="2"/>
  <c r="Q127" i="2"/>
  <c r="P127" i="2"/>
  <c r="O127" i="2"/>
  <c r="N127" i="2"/>
  <c r="M127" i="2"/>
  <c r="L127" i="2"/>
  <c r="K127" i="2"/>
  <c r="J127" i="2"/>
  <c r="I127" i="2"/>
  <c r="H127" i="2"/>
  <c r="G127" i="2"/>
  <c r="F127" i="2"/>
  <c r="E127" i="2"/>
  <c r="D127" i="2"/>
  <c r="C127" i="2"/>
  <c r="B127" i="2"/>
  <c r="A127" i="2"/>
  <c r="BK126" i="2"/>
  <c r="BJ126" i="2"/>
  <c r="BI126" i="2"/>
  <c r="BH126" i="2"/>
  <c r="BG126" i="2"/>
  <c r="BF126" i="2"/>
  <c r="BE126" i="2"/>
  <c r="BD126" i="2"/>
  <c r="BC126" i="2"/>
  <c r="BB126" i="2"/>
  <c r="BA126" i="2"/>
  <c r="AZ126" i="2"/>
  <c r="AY126" i="2"/>
  <c r="AX126" i="2"/>
  <c r="AW126" i="2"/>
  <c r="AV126" i="2"/>
  <c r="AU126" i="2"/>
  <c r="AT126" i="2"/>
  <c r="AS126" i="2"/>
  <c r="AR126" i="2"/>
  <c r="AQ126" i="2"/>
  <c r="AP126" i="2"/>
  <c r="AO126" i="2"/>
  <c r="AN126" i="2"/>
  <c r="AM126" i="2"/>
  <c r="AL126" i="2"/>
  <c r="AK126" i="2"/>
  <c r="AJ126" i="2"/>
  <c r="AI126" i="2"/>
  <c r="AH126" i="2"/>
  <c r="AG126" i="2"/>
  <c r="AF126" i="2"/>
  <c r="AE126" i="2"/>
  <c r="AD126" i="2"/>
  <c r="AC126" i="2"/>
  <c r="AB126" i="2"/>
  <c r="AA126" i="2"/>
  <c r="Z126" i="2"/>
  <c r="Y126" i="2"/>
  <c r="X126" i="2"/>
  <c r="W126" i="2"/>
  <c r="V126" i="2"/>
  <c r="U126" i="2"/>
  <c r="T126" i="2"/>
  <c r="S126" i="2"/>
  <c r="R126" i="2"/>
  <c r="Q126" i="2"/>
  <c r="P126" i="2"/>
  <c r="O126" i="2"/>
  <c r="N126" i="2"/>
  <c r="M126" i="2"/>
  <c r="L126" i="2"/>
  <c r="K126" i="2"/>
  <c r="J126" i="2"/>
  <c r="I126" i="2"/>
  <c r="H126" i="2"/>
  <c r="G126" i="2"/>
  <c r="F126" i="2"/>
  <c r="E126" i="2"/>
  <c r="D126" i="2"/>
  <c r="C126" i="2"/>
  <c r="B126" i="2"/>
  <c r="A126" i="2"/>
  <c r="BK125" i="2"/>
  <c r="BJ125" i="2"/>
  <c r="BI125" i="2"/>
  <c r="BH125" i="2"/>
  <c r="BG125" i="2"/>
  <c r="BF125" i="2"/>
  <c r="BE125" i="2"/>
  <c r="BD125" i="2"/>
  <c r="BC125" i="2"/>
  <c r="BB125" i="2"/>
  <c r="BA125" i="2"/>
  <c r="AZ125" i="2"/>
  <c r="AY125" i="2"/>
  <c r="AX125"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T125" i="2"/>
  <c r="S125" i="2"/>
  <c r="R125" i="2"/>
  <c r="Q125" i="2"/>
  <c r="P125" i="2"/>
  <c r="O125" i="2"/>
  <c r="N125" i="2"/>
  <c r="M125" i="2"/>
  <c r="L125" i="2"/>
  <c r="K125" i="2"/>
  <c r="J125" i="2"/>
  <c r="I125" i="2"/>
  <c r="H125" i="2"/>
  <c r="G125" i="2"/>
  <c r="F125" i="2"/>
  <c r="E125" i="2"/>
  <c r="D125" i="2"/>
  <c r="C125" i="2"/>
  <c r="B125" i="2"/>
  <c r="A125" i="2"/>
  <c r="BK124" i="2"/>
  <c r="BJ124" i="2"/>
  <c r="BI124" i="2"/>
  <c r="BH124" i="2"/>
  <c r="BG124" i="2"/>
  <c r="BF124" i="2"/>
  <c r="BE124" i="2"/>
  <c r="BD124" i="2"/>
  <c r="BC124" i="2"/>
  <c r="BB124" i="2"/>
  <c r="BA124" i="2"/>
  <c r="AZ124" i="2"/>
  <c r="AY124" i="2"/>
  <c r="AX124" i="2"/>
  <c r="AW124" i="2"/>
  <c r="AV124" i="2"/>
  <c r="AU124" i="2"/>
  <c r="AT124" i="2"/>
  <c r="AS124" i="2"/>
  <c r="AR124" i="2"/>
  <c r="AQ124" i="2"/>
  <c r="AP124" i="2"/>
  <c r="AO124" i="2"/>
  <c r="AN124" i="2"/>
  <c r="AM124" i="2"/>
  <c r="AL124" i="2"/>
  <c r="AK124" i="2"/>
  <c r="AJ124" i="2"/>
  <c r="AI124" i="2"/>
  <c r="AH124" i="2"/>
  <c r="AG124" i="2"/>
  <c r="AF124" i="2"/>
  <c r="AE124" i="2"/>
  <c r="AD124" i="2"/>
  <c r="AC124" i="2"/>
  <c r="AB124" i="2"/>
  <c r="AA124" i="2"/>
  <c r="Z124" i="2"/>
  <c r="Y124" i="2"/>
  <c r="X124" i="2"/>
  <c r="W124" i="2"/>
  <c r="V124" i="2"/>
  <c r="U124" i="2"/>
  <c r="T124" i="2"/>
  <c r="S124" i="2"/>
  <c r="R124" i="2"/>
  <c r="Q124" i="2"/>
  <c r="P124" i="2"/>
  <c r="O124" i="2"/>
  <c r="N124" i="2"/>
  <c r="M124" i="2"/>
  <c r="L124" i="2"/>
  <c r="K124" i="2"/>
  <c r="J124" i="2"/>
  <c r="I124" i="2"/>
  <c r="H124" i="2"/>
  <c r="G124" i="2"/>
  <c r="F124" i="2"/>
  <c r="E124" i="2"/>
  <c r="D124" i="2"/>
  <c r="C124" i="2"/>
  <c r="B124" i="2"/>
  <c r="A124" i="2"/>
  <c r="BK123" i="2"/>
  <c r="BJ123" i="2"/>
  <c r="BI123" i="2"/>
  <c r="BH123" i="2"/>
  <c r="BG123" i="2"/>
  <c r="BF123" i="2"/>
  <c r="BE123" i="2"/>
  <c r="BD123" i="2"/>
  <c r="BC123" i="2"/>
  <c r="BB123" i="2"/>
  <c r="BA123" i="2"/>
  <c r="AZ123" i="2"/>
  <c r="AY123" i="2"/>
  <c r="AX123" i="2"/>
  <c r="AW123" i="2"/>
  <c r="AV123" i="2"/>
  <c r="AU123" i="2"/>
  <c r="AT123" i="2"/>
  <c r="AS123" i="2"/>
  <c r="AR123" i="2"/>
  <c r="AQ123" i="2"/>
  <c r="AP123" i="2"/>
  <c r="AO123" i="2"/>
  <c r="AN123" i="2"/>
  <c r="AM123" i="2"/>
  <c r="AL123" i="2"/>
  <c r="AK123" i="2"/>
  <c r="AJ123" i="2"/>
  <c r="AI123" i="2"/>
  <c r="AH123" i="2"/>
  <c r="AG123" i="2"/>
  <c r="AF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A123" i="2"/>
  <c r="BK122" i="2"/>
  <c r="BJ122" i="2"/>
  <c r="BI122" i="2"/>
  <c r="BH122" i="2"/>
  <c r="BG122" i="2"/>
  <c r="BF122" i="2"/>
  <c r="BE122" i="2"/>
  <c r="BD122" i="2"/>
  <c r="BC122" i="2"/>
  <c r="BB122" i="2"/>
  <c r="BA122" i="2"/>
  <c r="AZ122" i="2"/>
  <c r="AY122" i="2"/>
  <c r="AX122"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B122" i="2"/>
  <c r="A122" i="2"/>
  <c r="BK121" i="2"/>
  <c r="BJ121" i="2"/>
  <c r="BI121" i="2"/>
  <c r="BH121" i="2"/>
  <c r="BG121" i="2"/>
  <c r="BF121" i="2"/>
  <c r="BE121" i="2"/>
  <c r="BD121" i="2"/>
  <c r="BC121" i="2"/>
  <c r="BB121" i="2"/>
  <c r="BA121" i="2"/>
  <c r="AZ121" i="2"/>
  <c r="AY121" i="2"/>
  <c r="AX121" i="2"/>
  <c r="AW121" i="2"/>
  <c r="AV121" i="2"/>
  <c r="AU121" i="2"/>
  <c r="AT121" i="2"/>
  <c r="AS121" i="2"/>
  <c r="AR121" i="2"/>
  <c r="AQ121" i="2"/>
  <c r="AP121" i="2"/>
  <c r="AO121" i="2"/>
  <c r="AN121" i="2"/>
  <c r="AM121" i="2"/>
  <c r="AL121" i="2"/>
  <c r="AK121" i="2"/>
  <c r="AJ121" i="2"/>
  <c r="AI121" i="2"/>
  <c r="AH121" i="2"/>
  <c r="AG121" i="2"/>
  <c r="AF121" i="2"/>
  <c r="AE121" i="2"/>
  <c r="AD121" i="2"/>
  <c r="AC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121" i="2"/>
  <c r="BK120" i="2"/>
  <c r="BJ120" i="2"/>
  <c r="BI120" i="2"/>
  <c r="BH120" i="2"/>
  <c r="BG120" i="2"/>
  <c r="BF120" i="2"/>
  <c r="BE120" i="2"/>
  <c r="BD120" i="2"/>
  <c r="BC120" i="2"/>
  <c r="BB120" i="2"/>
  <c r="BA120" i="2"/>
  <c r="AZ120" i="2"/>
  <c r="AY120" i="2"/>
  <c r="AX120"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120" i="2"/>
  <c r="BK119" i="2"/>
  <c r="BJ119" i="2"/>
  <c r="BI119" i="2"/>
  <c r="BH119" i="2"/>
  <c r="BG119" i="2"/>
  <c r="BF119" i="2"/>
  <c r="BE119" i="2"/>
  <c r="BD119" i="2"/>
  <c r="BC119" i="2"/>
  <c r="BB119" i="2"/>
  <c r="BA119" i="2"/>
  <c r="AZ119" i="2"/>
  <c r="AY119" i="2"/>
  <c r="AX119"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T119" i="2"/>
  <c r="S119" i="2"/>
  <c r="R119" i="2"/>
  <c r="Q119" i="2"/>
  <c r="P119" i="2"/>
  <c r="O119" i="2"/>
  <c r="N119" i="2"/>
  <c r="M119" i="2"/>
  <c r="L119" i="2"/>
  <c r="K119" i="2"/>
  <c r="J119" i="2"/>
  <c r="I119" i="2"/>
  <c r="H119" i="2"/>
  <c r="G119" i="2"/>
  <c r="F119" i="2"/>
  <c r="E119" i="2"/>
  <c r="D119" i="2"/>
  <c r="C119" i="2"/>
  <c r="B119" i="2"/>
  <c r="A119" i="2"/>
  <c r="BK118" i="2"/>
  <c r="BJ118" i="2"/>
  <c r="BI118" i="2"/>
  <c r="BH118" i="2"/>
  <c r="BG118" i="2"/>
  <c r="BF118" i="2"/>
  <c r="BE118" i="2"/>
  <c r="BD118" i="2"/>
  <c r="BC118" i="2"/>
  <c r="BB118" i="2"/>
  <c r="BA118" i="2"/>
  <c r="AZ118" i="2"/>
  <c r="AY118" i="2"/>
  <c r="AX118" i="2"/>
  <c r="AW118" i="2"/>
  <c r="AV118" i="2"/>
  <c r="AU118" i="2"/>
  <c r="AT118" i="2"/>
  <c r="AS118" i="2"/>
  <c r="AR118" i="2"/>
  <c r="AQ118" i="2"/>
  <c r="AP118" i="2"/>
  <c r="AO118" i="2"/>
  <c r="AN118" i="2"/>
  <c r="AM118" i="2"/>
  <c r="AL118" i="2"/>
  <c r="AK118" i="2"/>
  <c r="AJ118" i="2"/>
  <c r="AI118" i="2"/>
  <c r="AH118" i="2"/>
  <c r="AG118" i="2"/>
  <c r="AF118" i="2"/>
  <c r="AE118" i="2"/>
  <c r="AD118" i="2"/>
  <c r="AC118" i="2"/>
  <c r="AB118" i="2"/>
  <c r="AA118"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A118" i="2"/>
  <c r="BK117" i="2"/>
  <c r="BJ117" i="2"/>
  <c r="BI117" i="2"/>
  <c r="BH117" i="2"/>
  <c r="BG117" i="2"/>
  <c r="BF117" i="2"/>
  <c r="BE117" i="2"/>
  <c r="BD117" i="2"/>
  <c r="BC117" i="2"/>
  <c r="BB117" i="2"/>
  <c r="BA117" i="2"/>
  <c r="AZ117" i="2"/>
  <c r="AY117" i="2"/>
  <c r="AX117" i="2"/>
  <c r="AW117" i="2"/>
  <c r="AV117" i="2"/>
  <c r="AU117" i="2"/>
  <c r="AT117" i="2"/>
  <c r="AS117" i="2"/>
  <c r="AR117" i="2"/>
  <c r="AQ117" i="2"/>
  <c r="AP117" i="2"/>
  <c r="AO117" i="2"/>
  <c r="AN117" i="2"/>
  <c r="AM117" i="2"/>
  <c r="AL117" i="2"/>
  <c r="AK117" i="2"/>
  <c r="AJ117" i="2"/>
  <c r="AI117" i="2"/>
  <c r="AH117" i="2"/>
  <c r="AG117" i="2"/>
  <c r="AF117" i="2"/>
  <c r="AE117" i="2"/>
  <c r="AD117" i="2"/>
  <c r="AC117" i="2"/>
  <c r="AB117" i="2"/>
  <c r="AA117" i="2"/>
  <c r="Z117" i="2"/>
  <c r="Y117" i="2"/>
  <c r="X117" i="2"/>
  <c r="W117" i="2"/>
  <c r="V117" i="2"/>
  <c r="U117" i="2"/>
  <c r="T117" i="2"/>
  <c r="S117" i="2"/>
  <c r="R117" i="2"/>
  <c r="Q117" i="2"/>
  <c r="P117" i="2"/>
  <c r="O117" i="2"/>
  <c r="N117" i="2"/>
  <c r="M117" i="2"/>
  <c r="L117" i="2"/>
  <c r="K117" i="2"/>
  <c r="J117" i="2"/>
  <c r="I117" i="2"/>
  <c r="H117" i="2"/>
  <c r="G117" i="2"/>
  <c r="F117" i="2"/>
  <c r="E117" i="2"/>
  <c r="D117" i="2"/>
  <c r="C117" i="2"/>
  <c r="B117" i="2"/>
  <c r="A117" i="2"/>
  <c r="BK116" i="2"/>
  <c r="BJ116" i="2"/>
  <c r="BI116" i="2"/>
  <c r="BH116" i="2"/>
  <c r="BG116" i="2"/>
  <c r="BF116" i="2"/>
  <c r="BE116" i="2"/>
  <c r="BD116" i="2"/>
  <c r="BC116" i="2"/>
  <c r="BB116" i="2"/>
  <c r="BA116" i="2"/>
  <c r="AZ116"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R116" i="2"/>
  <c r="Q116" i="2"/>
  <c r="P116" i="2"/>
  <c r="O116" i="2"/>
  <c r="N116" i="2"/>
  <c r="M116" i="2"/>
  <c r="L116" i="2"/>
  <c r="K116" i="2"/>
  <c r="J116" i="2"/>
  <c r="I116" i="2"/>
  <c r="H116" i="2"/>
  <c r="G116" i="2"/>
  <c r="F116" i="2"/>
  <c r="E116" i="2"/>
  <c r="D116" i="2"/>
  <c r="C116" i="2"/>
  <c r="B116" i="2"/>
  <c r="A116" i="2"/>
  <c r="BK115" i="2"/>
  <c r="BJ115" i="2"/>
  <c r="BI115" i="2"/>
  <c r="BH115" i="2"/>
  <c r="BG115" i="2"/>
  <c r="BF115" i="2"/>
  <c r="BE115" i="2"/>
  <c r="BD115" i="2"/>
  <c r="BC115" i="2"/>
  <c r="BB115" i="2"/>
  <c r="BA115" i="2"/>
  <c r="AZ115" i="2"/>
  <c r="AY115" i="2"/>
  <c r="AX115" i="2"/>
  <c r="AW115" i="2"/>
  <c r="AV115" i="2"/>
  <c r="AU115" i="2"/>
  <c r="AT115" i="2"/>
  <c r="AS115" i="2"/>
  <c r="AR115" i="2"/>
  <c r="AQ115" i="2"/>
  <c r="AP115" i="2"/>
  <c r="AO115" i="2"/>
  <c r="AN115" i="2"/>
  <c r="AM115" i="2"/>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B115" i="2"/>
  <c r="A115" i="2"/>
  <c r="BK114" i="2"/>
  <c r="BJ114" i="2"/>
  <c r="BI114" i="2"/>
  <c r="BH114" i="2"/>
  <c r="BG114" i="2"/>
  <c r="BF114" i="2"/>
  <c r="BE114" i="2"/>
  <c r="BD114" i="2"/>
  <c r="BC114" i="2"/>
  <c r="BB114" i="2"/>
  <c r="BA114" i="2"/>
  <c r="AZ114" i="2"/>
  <c r="AY114" i="2"/>
  <c r="AX114"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14" i="2"/>
  <c r="B114" i="2"/>
  <c r="A114" i="2"/>
  <c r="BK113" i="2"/>
  <c r="BJ113" i="2"/>
  <c r="BI113" i="2"/>
  <c r="BH113" i="2"/>
  <c r="BG113" i="2"/>
  <c r="BF113" i="2"/>
  <c r="BE113" i="2"/>
  <c r="BD113" i="2"/>
  <c r="BC113" i="2"/>
  <c r="BB113" i="2"/>
  <c r="BA113" i="2"/>
  <c r="AZ113" i="2"/>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C113" i="2"/>
  <c r="B113" i="2"/>
  <c r="A113" i="2"/>
  <c r="BK112" i="2"/>
  <c r="BJ112" i="2"/>
  <c r="BI112" i="2"/>
  <c r="BH112" i="2"/>
  <c r="BG112" i="2"/>
  <c r="BF112" i="2"/>
  <c r="BE112" i="2"/>
  <c r="BD112" i="2"/>
  <c r="BC112" i="2"/>
  <c r="BB112" i="2"/>
  <c r="BA112" i="2"/>
  <c r="AZ112" i="2"/>
  <c r="AY112" i="2"/>
  <c r="AX112" i="2"/>
  <c r="AW112" i="2"/>
  <c r="AV112" i="2"/>
  <c r="AU112" i="2"/>
  <c r="AT112" i="2"/>
  <c r="AS112" i="2"/>
  <c r="AR112"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C112" i="2"/>
  <c r="B112" i="2"/>
  <c r="A112" i="2"/>
  <c r="BK111" i="2"/>
  <c r="BJ111" i="2"/>
  <c r="BI111" i="2"/>
  <c r="BH111" i="2"/>
  <c r="BG111" i="2"/>
  <c r="BF111" i="2"/>
  <c r="BE111" i="2"/>
  <c r="BD111" i="2"/>
  <c r="BC111" i="2"/>
  <c r="BB111" i="2"/>
  <c r="BA111" i="2"/>
  <c r="AZ111" i="2"/>
  <c r="AY111" i="2"/>
  <c r="AX111" i="2"/>
  <c r="AW111" i="2"/>
  <c r="AV111" i="2"/>
  <c r="AU111" i="2"/>
  <c r="AT111" i="2"/>
  <c r="AS111" i="2"/>
  <c r="AR111"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C111" i="2"/>
  <c r="B111" i="2"/>
  <c r="A111" i="2"/>
  <c r="BK110" i="2"/>
  <c r="BJ110" i="2"/>
  <c r="BI110" i="2"/>
  <c r="BH110" i="2"/>
  <c r="BG110" i="2"/>
  <c r="BF110" i="2"/>
  <c r="BE110" i="2"/>
  <c r="BD110" i="2"/>
  <c r="BC110" i="2"/>
  <c r="BB110" i="2"/>
  <c r="BA110" i="2"/>
  <c r="AZ110"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T110" i="2"/>
  <c r="S110" i="2"/>
  <c r="R110" i="2"/>
  <c r="Q110" i="2"/>
  <c r="P110" i="2"/>
  <c r="O110" i="2"/>
  <c r="N110" i="2"/>
  <c r="M110" i="2"/>
  <c r="L110" i="2"/>
  <c r="K110" i="2"/>
  <c r="J110" i="2"/>
  <c r="I110" i="2"/>
  <c r="H110" i="2"/>
  <c r="G110" i="2"/>
  <c r="F110" i="2"/>
  <c r="E110" i="2"/>
  <c r="D110" i="2"/>
  <c r="C110" i="2"/>
  <c r="B110" i="2"/>
  <c r="A110" i="2"/>
  <c r="BK109" i="2"/>
  <c r="BJ109" i="2"/>
  <c r="BI109" i="2"/>
  <c r="BH109" i="2"/>
  <c r="BG109" i="2"/>
  <c r="BF109" i="2"/>
  <c r="BE109" i="2"/>
  <c r="BD109" i="2"/>
  <c r="BC109" i="2"/>
  <c r="BB109" i="2"/>
  <c r="BA109" i="2"/>
  <c r="AZ109" i="2"/>
  <c r="AY109" i="2"/>
  <c r="AX109" i="2"/>
  <c r="AW109" i="2"/>
  <c r="AV109" i="2"/>
  <c r="AU109" i="2"/>
  <c r="AT109" i="2"/>
  <c r="AS109" i="2"/>
  <c r="AR109" i="2"/>
  <c r="AQ109" i="2"/>
  <c r="AP109" i="2"/>
  <c r="AO109" i="2"/>
  <c r="AN109" i="2"/>
  <c r="AM109" i="2"/>
  <c r="AL109" i="2"/>
  <c r="AK109" i="2"/>
  <c r="AJ109" i="2"/>
  <c r="AI109" i="2"/>
  <c r="AH109" i="2"/>
  <c r="AG109" i="2"/>
  <c r="AF109" i="2"/>
  <c r="AE109" i="2"/>
  <c r="AD109" i="2"/>
  <c r="AC109" i="2"/>
  <c r="AB109" i="2"/>
  <c r="AA109" i="2"/>
  <c r="Z109" i="2"/>
  <c r="Y109" i="2"/>
  <c r="X109" i="2"/>
  <c r="W109" i="2"/>
  <c r="V109" i="2"/>
  <c r="U109" i="2"/>
  <c r="T109" i="2"/>
  <c r="S109" i="2"/>
  <c r="R109" i="2"/>
  <c r="Q109" i="2"/>
  <c r="P109" i="2"/>
  <c r="O109" i="2"/>
  <c r="N109" i="2"/>
  <c r="M109" i="2"/>
  <c r="L109" i="2"/>
  <c r="K109" i="2"/>
  <c r="J109" i="2"/>
  <c r="I109" i="2"/>
  <c r="H109" i="2"/>
  <c r="G109" i="2"/>
  <c r="F109" i="2"/>
  <c r="E109" i="2"/>
  <c r="D109" i="2"/>
  <c r="C109" i="2"/>
  <c r="B109" i="2"/>
  <c r="A109"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D108" i="2"/>
  <c r="C108" i="2"/>
  <c r="B108" i="2"/>
  <c r="A108" i="2"/>
  <c r="BK107" i="2"/>
  <c r="BJ107" i="2"/>
  <c r="BI107" i="2"/>
  <c r="BH107" i="2"/>
  <c r="BG107" i="2"/>
  <c r="BF107" i="2"/>
  <c r="BE107" i="2"/>
  <c r="BD107" i="2"/>
  <c r="BC107" i="2"/>
  <c r="BB107" i="2"/>
  <c r="BA107" i="2"/>
  <c r="AZ107"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D107" i="2"/>
  <c r="C107" i="2"/>
  <c r="B107" i="2"/>
  <c r="A107" i="2"/>
  <c r="BK106" i="2"/>
  <c r="BJ106" i="2"/>
  <c r="BI106" i="2"/>
  <c r="BH106" i="2"/>
  <c r="BG106" i="2"/>
  <c r="BF106" i="2"/>
  <c r="BE106" i="2"/>
  <c r="BD106" i="2"/>
  <c r="BC106" i="2"/>
  <c r="BB106" i="2"/>
  <c r="BA106" i="2"/>
  <c r="AZ106" i="2"/>
  <c r="AY106" i="2"/>
  <c r="AX106" i="2"/>
  <c r="AW106" i="2"/>
  <c r="AV106" i="2"/>
  <c r="AU106" i="2"/>
  <c r="AT106" i="2"/>
  <c r="AS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P106" i="2"/>
  <c r="O106" i="2"/>
  <c r="N106" i="2"/>
  <c r="M106" i="2"/>
  <c r="L106" i="2"/>
  <c r="K106" i="2"/>
  <c r="J106" i="2"/>
  <c r="I106" i="2"/>
  <c r="H106" i="2"/>
  <c r="G106" i="2"/>
  <c r="F106" i="2"/>
  <c r="E106" i="2"/>
  <c r="D106" i="2"/>
  <c r="C106" i="2"/>
  <c r="B106" i="2"/>
  <c r="A106" i="2"/>
  <c r="BK105" i="2"/>
  <c r="BJ105" i="2"/>
  <c r="BI105" i="2"/>
  <c r="BH105" i="2"/>
  <c r="BG105" i="2"/>
  <c r="BF105" i="2"/>
  <c r="BE105" i="2"/>
  <c r="BD105" i="2"/>
  <c r="BC105" i="2"/>
  <c r="BB105" i="2"/>
  <c r="BA105" i="2"/>
  <c r="AZ105" i="2"/>
  <c r="AY105" i="2"/>
  <c r="AX105"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R105" i="2"/>
  <c r="Q105" i="2"/>
  <c r="P105" i="2"/>
  <c r="O105" i="2"/>
  <c r="N105" i="2"/>
  <c r="M105" i="2"/>
  <c r="L105" i="2"/>
  <c r="K105" i="2"/>
  <c r="J105" i="2"/>
  <c r="I105" i="2"/>
  <c r="H105" i="2"/>
  <c r="G105" i="2"/>
  <c r="F105" i="2"/>
  <c r="E105" i="2"/>
  <c r="D105" i="2"/>
  <c r="C105" i="2"/>
  <c r="B105" i="2"/>
  <c r="A105" i="2"/>
  <c r="BK104" i="2"/>
  <c r="BJ104" i="2"/>
  <c r="BI104" i="2"/>
  <c r="BH104" i="2"/>
  <c r="BG104" i="2"/>
  <c r="BF104" i="2"/>
  <c r="BE104" i="2"/>
  <c r="BD104" i="2"/>
  <c r="BC104" i="2"/>
  <c r="BB104" i="2"/>
  <c r="BA104" i="2"/>
  <c r="AZ104"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D104" i="2"/>
  <c r="C104" i="2"/>
  <c r="B104" i="2"/>
  <c r="A104" i="2"/>
  <c r="BK103" i="2"/>
  <c r="BJ103" i="2"/>
  <c r="BI103" i="2"/>
  <c r="BH103" i="2"/>
  <c r="BG103" i="2"/>
  <c r="BF103" i="2"/>
  <c r="BE103" i="2"/>
  <c r="BD103" i="2"/>
  <c r="BC103" i="2"/>
  <c r="BB103" i="2"/>
  <c r="BA103" i="2"/>
  <c r="AZ103" i="2"/>
  <c r="AY103" i="2"/>
  <c r="AX103" i="2"/>
  <c r="AW103" i="2"/>
  <c r="AV103" i="2"/>
  <c r="AU103" i="2"/>
  <c r="AT103" i="2"/>
  <c r="AS103" i="2"/>
  <c r="AR103" i="2"/>
  <c r="AQ103" i="2"/>
  <c r="AP103" i="2"/>
  <c r="AO103" i="2"/>
  <c r="AN103" i="2"/>
  <c r="AM103" i="2"/>
  <c r="AL103" i="2"/>
  <c r="AK103" i="2"/>
  <c r="AJ103" i="2"/>
  <c r="AI103" i="2"/>
  <c r="AH103" i="2"/>
  <c r="AG103" i="2"/>
  <c r="AF103" i="2"/>
  <c r="AE103" i="2"/>
  <c r="AD103" i="2"/>
  <c r="AC103" i="2"/>
  <c r="AB103" i="2"/>
  <c r="AA103" i="2"/>
  <c r="Z103" i="2"/>
  <c r="Y103" i="2"/>
  <c r="X103" i="2"/>
  <c r="W103" i="2"/>
  <c r="V103" i="2"/>
  <c r="U103" i="2"/>
  <c r="T103" i="2"/>
  <c r="S103" i="2"/>
  <c r="R103" i="2"/>
  <c r="Q103" i="2"/>
  <c r="P103" i="2"/>
  <c r="O103" i="2"/>
  <c r="N103" i="2"/>
  <c r="M103" i="2"/>
  <c r="L103" i="2"/>
  <c r="K103" i="2"/>
  <c r="J103" i="2"/>
  <c r="I103" i="2"/>
  <c r="H103" i="2"/>
  <c r="G103" i="2"/>
  <c r="F103" i="2"/>
  <c r="E103" i="2"/>
  <c r="D103" i="2"/>
  <c r="C103" i="2"/>
  <c r="B103" i="2"/>
  <c r="A103" i="2"/>
  <c r="BK102" i="2"/>
  <c r="BJ102" i="2"/>
  <c r="BI102" i="2"/>
  <c r="BH102" i="2"/>
  <c r="BG102" i="2"/>
  <c r="BF102" i="2"/>
  <c r="BE102" i="2"/>
  <c r="BD102" i="2"/>
  <c r="BC102" i="2"/>
  <c r="BB102" i="2"/>
  <c r="BA102" i="2"/>
  <c r="AZ102" i="2"/>
  <c r="AY102" i="2"/>
  <c r="AX102"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Z102" i="2"/>
  <c r="Y102" i="2"/>
  <c r="X102" i="2"/>
  <c r="W102" i="2"/>
  <c r="V102" i="2"/>
  <c r="U102" i="2"/>
  <c r="T102" i="2"/>
  <c r="S102" i="2"/>
  <c r="R102" i="2"/>
  <c r="Q102" i="2"/>
  <c r="P102" i="2"/>
  <c r="O102" i="2"/>
  <c r="N102" i="2"/>
  <c r="M102" i="2"/>
  <c r="L102" i="2"/>
  <c r="K102" i="2"/>
  <c r="J102" i="2"/>
  <c r="I102" i="2"/>
  <c r="H102" i="2"/>
  <c r="G102" i="2"/>
  <c r="F102" i="2"/>
  <c r="E102" i="2"/>
  <c r="D102" i="2"/>
  <c r="C102" i="2"/>
  <c r="B102" i="2"/>
  <c r="A102" i="2"/>
  <c r="BK101" i="2"/>
  <c r="BJ101" i="2"/>
  <c r="BI101" i="2"/>
  <c r="BH101" i="2"/>
  <c r="BG101" i="2"/>
  <c r="BF101" i="2"/>
  <c r="BE101" i="2"/>
  <c r="BD101" i="2"/>
  <c r="BC101" i="2"/>
  <c r="BB101" i="2"/>
  <c r="BA101" i="2"/>
  <c r="AZ101" i="2"/>
  <c r="AY101" i="2"/>
  <c r="AX101"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T101" i="2"/>
  <c r="S101" i="2"/>
  <c r="R101" i="2"/>
  <c r="Q101" i="2"/>
  <c r="P101" i="2"/>
  <c r="O101" i="2"/>
  <c r="N101" i="2"/>
  <c r="M101" i="2"/>
  <c r="L101" i="2"/>
  <c r="K101" i="2"/>
  <c r="J101" i="2"/>
  <c r="I101" i="2"/>
  <c r="H101" i="2"/>
  <c r="G101" i="2"/>
  <c r="F101" i="2"/>
  <c r="E101" i="2"/>
  <c r="D101" i="2"/>
  <c r="C101" i="2"/>
  <c r="B101" i="2"/>
  <c r="A101" i="2"/>
  <c r="BK100" i="2"/>
  <c r="BJ100" i="2"/>
  <c r="BI100" i="2"/>
  <c r="BH100" i="2"/>
  <c r="BG100" i="2"/>
  <c r="BF100" i="2"/>
  <c r="BE100" i="2"/>
  <c r="BD100" i="2"/>
  <c r="BC100" i="2"/>
  <c r="BB100" i="2"/>
  <c r="BA100" i="2"/>
  <c r="AZ100" i="2"/>
  <c r="AY100" i="2"/>
  <c r="AX100" i="2"/>
  <c r="AW100" i="2"/>
  <c r="AV100" i="2"/>
  <c r="AU100" i="2"/>
  <c r="AT100" i="2"/>
  <c r="AS100" i="2"/>
  <c r="AR100" i="2"/>
  <c r="AQ100" i="2"/>
  <c r="AP100" i="2"/>
  <c r="AO100" i="2"/>
  <c r="AN100" i="2"/>
  <c r="AM100" i="2"/>
  <c r="AL100" i="2"/>
  <c r="AK100" i="2"/>
  <c r="AJ100" i="2"/>
  <c r="AI100" i="2"/>
  <c r="AH100" i="2"/>
  <c r="AG100" i="2"/>
  <c r="AF100" i="2"/>
  <c r="AE100" i="2"/>
  <c r="AD100" i="2"/>
  <c r="AC100" i="2"/>
  <c r="AB100"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B100" i="2"/>
  <c r="A100" i="2"/>
  <c r="BK99" i="2"/>
  <c r="BJ99" i="2"/>
  <c r="BI99" i="2"/>
  <c r="BH99" i="2"/>
  <c r="BG99" i="2"/>
  <c r="BF99" i="2"/>
  <c r="BE99" i="2"/>
  <c r="BD99" i="2"/>
  <c r="BC99" i="2"/>
  <c r="BB99" i="2"/>
  <c r="BA99" i="2"/>
  <c r="AZ99" i="2"/>
  <c r="AY99" i="2"/>
  <c r="AX99" i="2"/>
  <c r="AW99"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S99" i="2"/>
  <c r="R99" i="2"/>
  <c r="Q99" i="2"/>
  <c r="P99" i="2"/>
  <c r="O99" i="2"/>
  <c r="N99" i="2"/>
  <c r="M99" i="2"/>
  <c r="L99" i="2"/>
  <c r="K99" i="2"/>
  <c r="J99" i="2"/>
  <c r="I99" i="2"/>
  <c r="H99" i="2"/>
  <c r="G99" i="2"/>
  <c r="F99" i="2"/>
  <c r="E99" i="2"/>
  <c r="D99" i="2"/>
  <c r="C99" i="2"/>
  <c r="B99" i="2"/>
  <c r="A99" i="2"/>
  <c r="BK98" i="2"/>
  <c r="BJ98" i="2"/>
  <c r="BI98" i="2"/>
  <c r="BH98" i="2"/>
  <c r="BG98" i="2"/>
  <c r="BF98" i="2"/>
  <c r="BE98" i="2"/>
  <c r="BD98" i="2"/>
  <c r="BC98" i="2"/>
  <c r="BB98" i="2"/>
  <c r="BA98" i="2"/>
  <c r="AZ98"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R98" i="2"/>
  <c r="Q98" i="2"/>
  <c r="P98" i="2"/>
  <c r="O98" i="2"/>
  <c r="N98" i="2"/>
  <c r="M98" i="2"/>
  <c r="L98" i="2"/>
  <c r="K98" i="2"/>
  <c r="J98" i="2"/>
  <c r="I98" i="2"/>
  <c r="H98" i="2"/>
  <c r="G98" i="2"/>
  <c r="F98" i="2"/>
  <c r="E98" i="2"/>
  <c r="D98" i="2"/>
  <c r="C98" i="2"/>
  <c r="B98" i="2"/>
  <c r="A98" i="2"/>
  <c r="BK97" i="2"/>
  <c r="BJ97" i="2"/>
  <c r="BI97" i="2"/>
  <c r="BH97" i="2"/>
  <c r="BG97" i="2"/>
  <c r="BF97" i="2"/>
  <c r="BE97" i="2"/>
  <c r="BD97" i="2"/>
  <c r="BC97" i="2"/>
  <c r="BB97" i="2"/>
  <c r="BA97" i="2"/>
  <c r="AZ97" i="2"/>
  <c r="AY97" i="2"/>
  <c r="AX97" i="2"/>
  <c r="AW97" i="2"/>
  <c r="AV97" i="2"/>
  <c r="AU97" i="2"/>
  <c r="AT97" i="2"/>
  <c r="AS97" i="2"/>
  <c r="AR97" i="2"/>
  <c r="AQ97" i="2"/>
  <c r="AP97" i="2"/>
  <c r="AO97" i="2"/>
  <c r="AN97" i="2"/>
  <c r="AM97" i="2"/>
  <c r="AL97" i="2"/>
  <c r="AK97" i="2"/>
  <c r="AJ97" i="2"/>
  <c r="AI97" i="2"/>
  <c r="AH97" i="2"/>
  <c r="AG97" i="2"/>
  <c r="AF97" i="2"/>
  <c r="AE97" i="2"/>
  <c r="AD97" i="2"/>
  <c r="AC97" i="2"/>
  <c r="AB97" i="2"/>
  <c r="AA97" i="2"/>
  <c r="Z97" i="2"/>
  <c r="Y97" i="2"/>
  <c r="X97" i="2"/>
  <c r="W97" i="2"/>
  <c r="V97" i="2"/>
  <c r="U97" i="2"/>
  <c r="T97" i="2"/>
  <c r="S97" i="2"/>
  <c r="R97" i="2"/>
  <c r="Q97" i="2"/>
  <c r="P97" i="2"/>
  <c r="O97" i="2"/>
  <c r="N97" i="2"/>
  <c r="M97" i="2"/>
  <c r="L97" i="2"/>
  <c r="K97" i="2"/>
  <c r="J97" i="2"/>
  <c r="I97" i="2"/>
  <c r="H97" i="2"/>
  <c r="G97" i="2"/>
  <c r="F97" i="2"/>
  <c r="E97" i="2"/>
  <c r="D97" i="2"/>
  <c r="C97" i="2"/>
  <c r="B97" i="2"/>
  <c r="A97" i="2"/>
  <c r="BK96" i="2"/>
  <c r="BJ96" i="2"/>
  <c r="BI96" i="2"/>
  <c r="BH96" i="2"/>
  <c r="BG96" i="2"/>
  <c r="BF96" i="2"/>
  <c r="BE96" i="2"/>
  <c r="BD96" i="2"/>
  <c r="BC96" i="2"/>
  <c r="BB96" i="2"/>
  <c r="BA96" i="2"/>
  <c r="AZ96" i="2"/>
  <c r="AY96" i="2"/>
  <c r="AX96" i="2"/>
  <c r="AW96"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R96" i="2"/>
  <c r="Q96" i="2"/>
  <c r="P96" i="2"/>
  <c r="O96" i="2"/>
  <c r="N96" i="2"/>
  <c r="M96" i="2"/>
  <c r="L96" i="2"/>
  <c r="K96" i="2"/>
  <c r="J96" i="2"/>
  <c r="I96" i="2"/>
  <c r="H96" i="2"/>
  <c r="G96" i="2"/>
  <c r="F96" i="2"/>
  <c r="E96" i="2"/>
  <c r="D96" i="2"/>
  <c r="C96" i="2"/>
  <c r="B96" i="2"/>
  <c r="A96" i="2"/>
  <c r="BK95" i="2"/>
  <c r="BJ95" i="2"/>
  <c r="BI95" i="2"/>
  <c r="BH95" i="2"/>
  <c r="BG95" i="2"/>
  <c r="BF95" i="2"/>
  <c r="BE95" i="2"/>
  <c r="BD95" i="2"/>
  <c r="BC95" i="2"/>
  <c r="BB95" i="2"/>
  <c r="BA95" i="2"/>
  <c r="AZ95"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R95" i="2"/>
  <c r="Q95" i="2"/>
  <c r="P95" i="2"/>
  <c r="O95" i="2"/>
  <c r="N95" i="2"/>
  <c r="M95" i="2"/>
  <c r="L95" i="2"/>
  <c r="K95" i="2"/>
  <c r="J95" i="2"/>
  <c r="I95" i="2"/>
  <c r="H95" i="2"/>
  <c r="G95" i="2"/>
  <c r="F95" i="2"/>
  <c r="E95" i="2"/>
  <c r="D95" i="2"/>
  <c r="C95" i="2"/>
  <c r="B95" i="2"/>
  <c r="A95" i="2"/>
  <c r="BK94" i="2"/>
  <c r="BJ94" i="2"/>
  <c r="BI94" i="2"/>
  <c r="BH94" i="2"/>
  <c r="BG94" i="2"/>
  <c r="BF94" i="2"/>
  <c r="BE94" i="2"/>
  <c r="BD94" i="2"/>
  <c r="BC94" i="2"/>
  <c r="BB94" i="2"/>
  <c r="BA94" i="2"/>
  <c r="AZ94" i="2"/>
  <c r="AY94" i="2"/>
  <c r="AX94" i="2"/>
  <c r="AW94" i="2"/>
  <c r="AV94" i="2"/>
  <c r="AU94" i="2"/>
  <c r="AT94" i="2"/>
  <c r="AS94" i="2"/>
  <c r="AR94" i="2"/>
  <c r="AQ94" i="2"/>
  <c r="AP94" i="2"/>
  <c r="AO94" i="2"/>
  <c r="AN94" i="2"/>
  <c r="AM94" i="2"/>
  <c r="AL94" i="2"/>
  <c r="AK94" i="2"/>
  <c r="AJ94" i="2"/>
  <c r="AI94" i="2"/>
  <c r="AH94" i="2"/>
  <c r="AG94" i="2"/>
  <c r="AF94" i="2"/>
  <c r="AE94" i="2"/>
  <c r="AD94" i="2"/>
  <c r="AC94" i="2"/>
  <c r="AB94" i="2"/>
  <c r="AA94" i="2"/>
  <c r="Z94" i="2"/>
  <c r="Y94" i="2"/>
  <c r="X94" i="2"/>
  <c r="W94" i="2"/>
  <c r="V94" i="2"/>
  <c r="U94" i="2"/>
  <c r="T94" i="2"/>
  <c r="S94" i="2"/>
  <c r="R94" i="2"/>
  <c r="Q94" i="2"/>
  <c r="P94" i="2"/>
  <c r="O94" i="2"/>
  <c r="N94" i="2"/>
  <c r="M94" i="2"/>
  <c r="L94" i="2"/>
  <c r="K94" i="2"/>
  <c r="J94" i="2"/>
  <c r="I94" i="2"/>
  <c r="H94" i="2"/>
  <c r="G94" i="2"/>
  <c r="F94" i="2"/>
  <c r="E94" i="2"/>
  <c r="D94" i="2"/>
  <c r="C94" i="2"/>
  <c r="B94" i="2"/>
  <c r="A94" i="2"/>
  <c r="BK93" i="2"/>
  <c r="BJ93" i="2"/>
  <c r="BI93" i="2"/>
  <c r="BH93" i="2"/>
  <c r="BG93" i="2"/>
  <c r="BF93" i="2"/>
  <c r="BE93" i="2"/>
  <c r="BD93" i="2"/>
  <c r="BC93" i="2"/>
  <c r="BB93" i="2"/>
  <c r="BA93" i="2"/>
  <c r="AZ93" i="2"/>
  <c r="AY93" i="2"/>
  <c r="AX93" i="2"/>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R93" i="2"/>
  <c r="Q93" i="2"/>
  <c r="P93" i="2"/>
  <c r="O93" i="2"/>
  <c r="N93" i="2"/>
  <c r="M93" i="2"/>
  <c r="L93" i="2"/>
  <c r="K93" i="2"/>
  <c r="J93" i="2"/>
  <c r="I93" i="2"/>
  <c r="H93" i="2"/>
  <c r="G93" i="2"/>
  <c r="F93" i="2"/>
  <c r="E93" i="2"/>
  <c r="D93" i="2"/>
  <c r="C93" i="2"/>
  <c r="B93" i="2"/>
  <c r="A93"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E92" i="2"/>
  <c r="D92" i="2"/>
  <c r="C92" i="2"/>
  <c r="B92" i="2"/>
  <c r="A92" i="2"/>
  <c r="BK91" i="2"/>
  <c r="BJ91" i="2"/>
  <c r="BI91" i="2"/>
  <c r="BH91" i="2"/>
  <c r="BG91" i="2"/>
  <c r="BF91" i="2"/>
  <c r="BE91" i="2"/>
  <c r="BD91" i="2"/>
  <c r="BC91" i="2"/>
  <c r="BB91" i="2"/>
  <c r="BA91" i="2"/>
  <c r="AZ91" i="2"/>
  <c r="AY91" i="2"/>
  <c r="AX91" i="2"/>
  <c r="AW91" i="2"/>
  <c r="AV91" i="2"/>
  <c r="AU91" i="2"/>
  <c r="AT91" i="2"/>
  <c r="AS91" i="2"/>
  <c r="AR91" i="2"/>
  <c r="AQ91" i="2"/>
  <c r="AP91" i="2"/>
  <c r="AO91" i="2"/>
  <c r="AN91" i="2"/>
  <c r="AM91" i="2"/>
  <c r="AL91" i="2"/>
  <c r="AK91" i="2"/>
  <c r="AJ91" i="2"/>
  <c r="AI91" i="2"/>
  <c r="AH91" i="2"/>
  <c r="AG91" i="2"/>
  <c r="AF91" i="2"/>
  <c r="AE91" i="2"/>
  <c r="AD91" i="2"/>
  <c r="AC91" i="2"/>
  <c r="AB91" i="2"/>
  <c r="AA91" i="2"/>
  <c r="Z91" i="2"/>
  <c r="Y91" i="2"/>
  <c r="X91" i="2"/>
  <c r="W91" i="2"/>
  <c r="V91" i="2"/>
  <c r="U91" i="2"/>
  <c r="T91" i="2"/>
  <c r="S91" i="2"/>
  <c r="R91" i="2"/>
  <c r="Q91" i="2"/>
  <c r="P91" i="2"/>
  <c r="O91" i="2"/>
  <c r="N91" i="2"/>
  <c r="M91" i="2"/>
  <c r="L91" i="2"/>
  <c r="K91" i="2"/>
  <c r="J91" i="2"/>
  <c r="I91" i="2"/>
  <c r="H91" i="2"/>
  <c r="G91" i="2"/>
  <c r="F91" i="2"/>
  <c r="E91" i="2"/>
  <c r="D91" i="2"/>
  <c r="C91" i="2"/>
  <c r="B91" i="2"/>
  <c r="A91" i="2"/>
  <c r="BK90" i="2"/>
  <c r="BJ90" i="2"/>
  <c r="BI90" i="2"/>
  <c r="BH90" i="2"/>
  <c r="BG90" i="2"/>
  <c r="BF90" i="2"/>
  <c r="BE90" i="2"/>
  <c r="BD90" i="2"/>
  <c r="BC90" i="2"/>
  <c r="BB90" i="2"/>
  <c r="BA90" i="2"/>
  <c r="AZ90" i="2"/>
  <c r="AY90" i="2"/>
  <c r="AX90"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R90" i="2"/>
  <c r="Q90" i="2"/>
  <c r="P90" i="2"/>
  <c r="O90" i="2"/>
  <c r="N90" i="2"/>
  <c r="M90" i="2"/>
  <c r="L90" i="2"/>
  <c r="K90" i="2"/>
  <c r="J90" i="2"/>
  <c r="I90" i="2"/>
  <c r="H90" i="2"/>
  <c r="G90" i="2"/>
  <c r="F90" i="2"/>
  <c r="E90" i="2"/>
  <c r="D90" i="2"/>
  <c r="C90" i="2"/>
  <c r="B90" i="2"/>
  <c r="A90" i="2"/>
  <c r="BK89" i="2"/>
  <c r="BJ89" i="2"/>
  <c r="BI89" i="2"/>
  <c r="BH89" i="2"/>
  <c r="BG89" i="2"/>
  <c r="BF89" i="2"/>
  <c r="BE89" i="2"/>
  <c r="BD89" i="2"/>
  <c r="BC89" i="2"/>
  <c r="BB89" i="2"/>
  <c r="BA89" i="2"/>
  <c r="AZ89"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S89" i="2"/>
  <c r="R89" i="2"/>
  <c r="Q89" i="2"/>
  <c r="P89" i="2"/>
  <c r="O89" i="2"/>
  <c r="N89" i="2"/>
  <c r="M89" i="2"/>
  <c r="L89" i="2"/>
  <c r="K89" i="2"/>
  <c r="J89" i="2"/>
  <c r="I89" i="2"/>
  <c r="H89" i="2"/>
  <c r="G89" i="2"/>
  <c r="F89" i="2"/>
  <c r="E89" i="2"/>
  <c r="D89" i="2"/>
  <c r="C89" i="2"/>
  <c r="B89" i="2"/>
  <c r="A89"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E88" i="2"/>
  <c r="D88" i="2"/>
  <c r="C88" i="2"/>
  <c r="B88" i="2"/>
  <c r="A88" i="2"/>
  <c r="BK87" i="2"/>
  <c r="BJ87" i="2"/>
  <c r="BI87" i="2"/>
  <c r="BH87" i="2"/>
  <c r="BG87" i="2"/>
  <c r="BF87" i="2"/>
  <c r="BE87" i="2"/>
  <c r="BD87" i="2"/>
  <c r="BC87" i="2"/>
  <c r="BB87" i="2"/>
  <c r="BA87" i="2"/>
  <c r="AZ87" i="2"/>
  <c r="AY87" i="2"/>
  <c r="AX87"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T87" i="2"/>
  <c r="S87" i="2"/>
  <c r="R87" i="2"/>
  <c r="Q87" i="2"/>
  <c r="P87" i="2"/>
  <c r="O87" i="2"/>
  <c r="N87" i="2"/>
  <c r="M87" i="2"/>
  <c r="L87" i="2"/>
  <c r="K87" i="2"/>
  <c r="J87" i="2"/>
  <c r="I87" i="2"/>
  <c r="H87" i="2"/>
  <c r="G87" i="2"/>
  <c r="F87" i="2"/>
  <c r="E87" i="2"/>
  <c r="D87" i="2"/>
  <c r="C87" i="2"/>
  <c r="B87" i="2"/>
  <c r="A87" i="2"/>
  <c r="BK86" i="2"/>
  <c r="BJ86" i="2"/>
  <c r="BI86" i="2"/>
  <c r="BH86" i="2"/>
  <c r="BG86" i="2"/>
  <c r="BF86" i="2"/>
  <c r="BE86" i="2"/>
  <c r="BD86" i="2"/>
  <c r="BC86" i="2"/>
  <c r="BB86" i="2"/>
  <c r="BA86" i="2"/>
  <c r="AZ86"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R86" i="2"/>
  <c r="Q86" i="2"/>
  <c r="P86" i="2"/>
  <c r="O86" i="2"/>
  <c r="N86" i="2"/>
  <c r="M86" i="2"/>
  <c r="L86" i="2"/>
  <c r="K86" i="2"/>
  <c r="J86" i="2"/>
  <c r="I86" i="2"/>
  <c r="H86" i="2"/>
  <c r="G86" i="2"/>
  <c r="F86" i="2"/>
  <c r="E86" i="2"/>
  <c r="D86" i="2"/>
  <c r="C86" i="2"/>
  <c r="B86" i="2"/>
  <c r="A86" i="2"/>
  <c r="BK85" i="2"/>
  <c r="BJ85" i="2"/>
  <c r="BI85" i="2"/>
  <c r="BH85" i="2"/>
  <c r="BG85" i="2"/>
  <c r="BF85" i="2"/>
  <c r="BE85" i="2"/>
  <c r="BD85" i="2"/>
  <c r="BC85" i="2"/>
  <c r="BB85" i="2"/>
  <c r="BA85" i="2"/>
  <c r="AZ85" i="2"/>
  <c r="AY85" i="2"/>
  <c r="AX85" i="2"/>
  <c r="AW85" i="2"/>
  <c r="AV85" i="2"/>
  <c r="AU85" i="2"/>
  <c r="AT85" i="2"/>
  <c r="AS85" i="2"/>
  <c r="AR85" i="2"/>
  <c r="AQ85" i="2"/>
  <c r="AP85" i="2"/>
  <c r="AO85" i="2"/>
  <c r="AN85" i="2"/>
  <c r="AM85" i="2"/>
  <c r="AL85" i="2"/>
  <c r="AK85" i="2"/>
  <c r="AJ85" i="2"/>
  <c r="AI85" i="2"/>
  <c r="AH85" i="2"/>
  <c r="AG85" i="2"/>
  <c r="AF85" i="2"/>
  <c r="AE85" i="2"/>
  <c r="AD85" i="2"/>
  <c r="AC85" i="2"/>
  <c r="AB85" i="2"/>
  <c r="AA85" i="2"/>
  <c r="Z85" i="2"/>
  <c r="Y85" i="2"/>
  <c r="X85" i="2"/>
  <c r="W85" i="2"/>
  <c r="V85" i="2"/>
  <c r="U85" i="2"/>
  <c r="T85" i="2"/>
  <c r="S85" i="2"/>
  <c r="R85" i="2"/>
  <c r="Q85" i="2"/>
  <c r="P85" i="2"/>
  <c r="O85" i="2"/>
  <c r="N85" i="2"/>
  <c r="M85" i="2"/>
  <c r="L85" i="2"/>
  <c r="K85" i="2"/>
  <c r="J85" i="2"/>
  <c r="I85" i="2"/>
  <c r="H85" i="2"/>
  <c r="G85" i="2"/>
  <c r="F85" i="2"/>
  <c r="E85" i="2"/>
  <c r="D85" i="2"/>
  <c r="C85" i="2"/>
  <c r="B85" i="2"/>
  <c r="A85" i="2"/>
  <c r="BK84" i="2"/>
  <c r="BJ84" i="2"/>
  <c r="BI84" i="2"/>
  <c r="BH84" i="2"/>
  <c r="BG84" i="2"/>
  <c r="BF84" i="2"/>
  <c r="BE84" i="2"/>
  <c r="BD84" i="2"/>
  <c r="BC84" i="2"/>
  <c r="BB84" i="2"/>
  <c r="BA84" i="2"/>
  <c r="AZ84"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B84" i="2"/>
  <c r="A84" i="2"/>
  <c r="BK83" i="2"/>
  <c r="BJ83" i="2"/>
  <c r="BI83" i="2"/>
  <c r="BH83" i="2"/>
  <c r="BG83" i="2"/>
  <c r="BF83" i="2"/>
  <c r="BE83" i="2"/>
  <c r="BD83" i="2"/>
  <c r="BC83" i="2"/>
  <c r="BB83" i="2"/>
  <c r="BA83" i="2"/>
  <c r="AZ83"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B83" i="2"/>
  <c r="A83" i="2"/>
  <c r="BK82" i="2"/>
  <c r="BJ82" i="2"/>
  <c r="BI82" i="2"/>
  <c r="BH82" i="2"/>
  <c r="BG82" i="2"/>
  <c r="BF82" i="2"/>
  <c r="BE82" i="2"/>
  <c r="BD82" i="2"/>
  <c r="BC82" i="2"/>
  <c r="BB82" i="2"/>
  <c r="BA82" i="2"/>
  <c r="AZ82" i="2"/>
  <c r="AY82" i="2"/>
  <c r="AX82" i="2"/>
  <c r="AW82" i="2"/>
  <c r="AV82" i="2"/>
  <c r="AU82" i="2"/>
  <c r="AT82" i="2"/>
  <c r="AS82" i="2"/>
  <c r="AR82" i="2"/>
  <c r="AQ82" i="2"/>
  <c r="AP82" i="2"/>
  <c r="AO82" i="2"/>
  <c r="AN82" i="2"/>
  <c r="AM82" i="2"/>
  <c r="AL82" i="2"/>
  <c r="AK82" i="2"/>
  <c r="AJ82" i="2"/>
  <c r="AI82" i="2"/>
  <c r="AH82" i="2"/>
  <c r="AG82" i="2"/>
  <c r="AF82" i="2"/>
  <c r="AE82" i="2"/>
  <c r="AD82" i="2"/>
  <c r="AC82" i="2"/>
  <c r="AB82" i="2"/>
  <c r="AA82" i="2"/>
  <c r="Z82" i="2"/>
  <c r="Y82" i="2"/>
  <c r="X82" i="2"/>
  <c r="W82" i="2"/>
  <c r="V82" i="2"/>
  <c r="U82" i="2"/>
  <c r="T82" i="2"/>
  <c r="S82" i="2"/>
  <c r="R82" i="2"/>
  <c r="Q82" i="2"/>
  <c r="P82" i="2"/>
  <c r="O82" i="2"/>
  <c r="N82" i="2"/>
  <c r="M82" i="2"/>
  <c r="L82" i="2"/>
  <c r="K82" i="2"/>
  <c r="J82" i="2"/>
  <c r="I82" i="2"/>
  <c r="H82" i="2"/>
  <c r="G82" i="2"/>
  <c r="F82" i="2"/>
  <c r="E82" i="2"/>
  <c r="D82" i="2"/>
  <c r="C82" i="2"/>
  <c r="B82" i="2"/>
  <c r="A82" i="2"/>
  <c r="BK81" i="2"/>
  <c r="BJ81" i="2"/>
  <c r="BI81" i="2"/>
  <c r="BH81" i="2"/>
  <c r="BG81" i="2"/>
  <c r="BF81" i="2"/>
  <c r="BE81" i="2"/>
  <c r="BD81" i="2"/>
  <c r="BC81" i="2"/>
  <c r="BB81" i="2"/>
  <c r="BA81" i="2"/>
  <c r="AZ81" i="2"/>
  <c r="AY81" i="2"/>
  <c r="AX81" i="2"/>
  <c r="AW81" i="2"/>
  <c r="AV81" i="2"/>
  <c r="AU81" i="2"/>
  <c r="AT81" i="2"/>
  <c r="AS81" i="2"/>
  <c r="AR81" i="2"/>
  <c r="AQ81" i="2"/>
  <c r="AP81" i="2"/>
  <c r="AO81" i="2"/>
  <c r="AN81" i="2"/>
  <c r="AM81" i="2"/>
  <c r="AL81" i="2"/>
  <c r="AK81" i="2"/>
  <c r="AJ81" i="2"/>
  <c r="AI81" i="2"/>
  <c r="AH81" i="2"/>
  <c r="AG81" i="2"/>
  <c r="AF81" i="2"/>
  <c r="AE81" i="2"/>
  <c r="AD81" i="2"/>
  <c r="AC81" i="2"/>
  <c r="AB81" i="2"/>
  <c r="AA81" i="2"/>
  <c r="Z81" i="2"/>
  <c r="Y81" i="2"/>
  <c r="X81" i="2"/>
  <c r="W81" i="2"/>
  <c r="V81" i="2"/>
  <c r="U81" i="2"/>
  <c r="T81" i="2"/>
  <c r="S81" i="2"/>
  <c r="R81" i="2"/>
  <c r="Q81" i="2"/>
  <c r="P81" i="2"/>
  <c r="O81" i="2"/>
  <c r="N81" i="2"/>
  <c r="M81" i="2"/>
  <c r="L81" i="2"/>
  <c r="K81" i="2"/>
  <c r="J81" i="2"/>
  <c r="I81" i="2"/>
  <c r="H81" i="2"/>
  <c r="G81" i="2"/>
  <c r="F81" i="2"/>
  <c r="E81" i="2"/>
  <c r="D81" i="2"/>
  <c r="C81" i="2"/>
  <c r="B81" i="2"/>
  <c r="A81" i="2"/>
  <c r="BK80" i="2"/>
  <c r="BJ80" i="2"/>
  <c r="BI80" i="2"/>
  <c r="BH80" i="2"/>
  <c r="BG80" i="2"/>
  <c r="BF80" i="2"/>
  <c r="BE80" i="2"/>
  <c r="BD80" i="2"/>
  <c r="BC80" i="2"/>
  <c r="BB80" i="2"/>
  <c r="BA80" i="2"/>
  <c r="AZ80"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T80" i="2"/>
  <c r="S80" i="2"/>
  <c r="R80" i="2"/>
  <c r="Q80" i="2"/>
  <c r="P80" i="2"/>
  <c r="O80" i="2"/>
  <c r="N80" i="2"/>
  <c r="M80" i="2"/>
  <c r="L80" i="2"/>
  <c r="K80" i="2"/>
  <c r="J80" i="2"/>
  <c r="I80" i="2"/>
  <c r="H80" i="2"/>
  <c r="G80" i="2"/>
  <c r="F80" i="2"/>
  <c r="E80" i="2"/>
  <c r="D80" i="2"/>
  <c r="C80" i="2"/>
  <c r="B80" i="2"/>
  <c r="A80" i="2"/>
  <c r="BK79" i="2"/>
  <c r="BJ79" i="2"/>
  <c r="BI79" i="2"/>
  <c r="BH79" i="2"/>
  <c r="BG79" i="2"/>
  <c r="BF79" i="2"/>
  <c r="BE79" i="2"/>
  <c r="BD79" i="2"/>
  <c r="BC79" i="2"/>
  <c r="BB79" i="2"/>
  <c r="BA79" i="2"/>
  <c r="AZ79" i="2"/>
  <c r="AY79" i="2"/>
  <c r="AX79" i="2"/>
  <c r="AW79" i="2"/>
  <c r="AV79" i="2"/>
  <c r="AU79" i="2"/>
  <c r="AT79" i="2"/>
  <c r="AS79" i="2"/>
  <c r="AR79" i="2"/>
  <c r="AQ79" i="2"/>
  <c r="AP79" i="2"/>
  <c r="AO79" i="2"/>
  <c r="AN79" i="2"/>
  <c r="AM79" i="2"/>
  <c r="AL79" i="2"/>
  <c r="AK79" i="2"/>
  <c r="AJ79" i="2"/>
  <c r="AI79" i="2"/>
  <c r="AH79" i="2"/>
  <c r="AG79" i="2"/>
  <c r="AF79" i="2"/>
  <c r="AE79" i="2"/>
  <c r="AD79" i="2"/>
  <c r="AC79" i="2"/>
  <c r="AB79" i="2"/>
  <c r="AA79" i="2"/>
  <c r="Z79" i="2"/>
  <c r="Y79" i="2"/>
  <c r="X79" i="2"/>
  <c r="W79" i="2"/>
  <c r="V79" i="2"/>
  <c r="U79" i="2"/>
  <c r="T79" i="2"/>
  <c r="S79" i="2"/>
  <c r="R79" i="2"/>
  <c r="Q79" i="2"/>
  <c r="P79" i="2"/>
  <c r="O79" i="2"/>
  <c r="N79" i="2"/>
  <c r="M79" i="2"/>
  <c r="L79" i="2"/>
  <c r="K79" i="2"/>
  <c r="J79" i="2"/>
  <c r="I79" i="2"/>
  <c r="H79" i="2"/>
  <c r="G79" i="2"/>
  <c r="F79" i="2"/>
  <c r="E79" i="2"/>
  <c r="D79" i="2"/>
  <c r="C79" i="2"/>
  <c r="B79" i="2"/>
  <c r="A79" i="2"/>
  <c r="BK78" i="2"/>
  <c r="BJ78" i="2"/>
  <c r="BI78" i="2"/>
  <c r="BH78" i="2"/>
  <c r="BG78" i="2"/>
  <c r="BF78" i="2"/>
  <c r="BE78" i="2"/>
  <c r="BD78" i="2"/>
  <c r="BC78" i="2"/>
  <c r="BB78" i="2"/>
  <c r="BA78" i="2"/>
  <c r="AZ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J78" i="2"/>
  <c r="I78" i="2"/>
  <c r="H78" i="2"/>
  <c r="G78" i="2"/>
  <c r="F78" i="2"/>
  <c r="E78" i="2"/>
  <c r="D78" i="2"/>
  <c r="C78" i="2"/>
  <c r="B78" i="2"/>
  <c r="A78" i="2"/>
  <c r="BK77" i="2"/>
  <c r="BJ77" i="2"/>
  <c r="BI77" i="2"/>
  <c r="BH77" i="2"/>
  <c r="BG77" i="2"/>
  <c r="BF77" i="2"/>
  <c r="BE77" i="2"/>
  <c r="BD77" i="2"/>
  <c r="BC77" i="2"/>
  <c r="BB77" i="2"/>
  <c r="BA77" i="2"/>
  <c r="AZ77"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B77" i="2"/>
  <c r="A77" i="2"/>
  <c r="BK76" i="2"/>
  <c r="BJ76" i="2"/>
  <c r="BI76" i="2"/>
  <c r="BH76" i="2"/>
  <c r="BG76" i="2"/>
  <c r="BF76" i="2"/>
  <c r="BE76" i="2"/>
  <c r="BD76" i="2"/>
  <c r="BC76" i="2"/>
  <c r="BB76" i="2"/>
  <c r="BA76" i="2"/>
  <c r="AZ76" i="2"/>
  <c r="AY76" i="2"/>
  <c r="AX76" i="2"/>
  <c r="AW76" i="2"/>
  <c r="AV76" i="2"/>
  <c r="AU76" i="2"/>
  <c r="AT76" i="2"/>
  <c r="AS76" i="2"/>
  <c r="AR76"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E76" i="2"/>
  <c r="D76" i="2"/>
  <c r="C76" i="2"/>
  <c r="B76" i="2"/>
  <c r="A76" i="2"/>
  <c r="BK75" i="2"/>
  <c r="BJ75" i="2"/>
  <c r="BI75" i="2"/>
  <c r="BH75" i="2"/>
  <c r="BG75" i="2"/>
  <c r="BF75" i="2"/>
  <c r="BE75" i="2"/>
  <c r="BD75" i="2"/>
  <c r="BC75" i="2"/>
  <c r="BB75" i="2"/>
  <c r="BA75" i="2"/>
  <c r="AZ75" i="2"/>
  <c r="AY75" i="2"/>
  <c r="AX75" i="2"/>
  <c r="AW75" i="2"/>
  <c r="AV75" i="2"/>
  <c r="AU75" i="2"/>
  <c r="AT75" i="2"/>
  <c r="AS75" i="2"/>
  <c r="AR75" i="2"/>
  <c r="AQ75" i="2"/>
  <c r="AP75" i="2"/>
  <c r="AO75" i="2"/>
  <c r="AN75" i="2"/>
  <c r="AM75" i="2"/>
  <c r="AL75" i="2"/>
  <c r="AK75" i="2"/>
  <c r="AJ75" i="2"/>
  <c r="AI75" i="2"/>
  <c r="AH75" i="2"/>
  <c r="AG75" i="2"/>
  <c r="AF75" i="2"/>
  <c r="AE75" i="2"/>
  <c r="AD75" i="2"/>
  <c r="AC75" i="2"/>
  <c r="AB75" i="2"/>
  <c r="AA75" i="2"/>
  <c r="Z75" i="2"/>
  <c r="Y75" i="2"/>
  <c r="X75" i="2"/>
  <c r="W75" i="2"/>
  <c r="V75" i="2"/>
  <c r="U75" i="2"/>
  <c r="T75" i="2"/>
  <c r="S75" i="2"/>
  <c r="R75" i="2"/>
  <c r="Q75" i="2"/>
  <c r="P75" i="2"/>
  <c r="O75" i="2"/>
  <c r="N75" i="2"/>
  <c r="M75" i="2"/>
  <c r="L75" i="2"/>
  <c r="K75" i="2"/>
  <c r="J75" i="2"/>
  <c r="I75" i="2"/>
  <c r="H75" i="2"/>
  <c r="G75" i="2"/>
  <c r="F75" i="2"/>
  <c r="E75" i="2"/>
  <c r="D75" i="2"/>
  <c r="C75" i="2"/>
  <c r="B75" i="2"/>
  <c r="A75" i="2"/>
  <c r="BK74" i="2"/>
  <c r="BJ74" i="2"/>
  <c r="BI74" i="2"/>
  <c r="BH74" i="2"/>
  <c r="BG74" i="2"/>
  <c r="BF74" i="2"/>
  <c r="BE74" i="2"/>
  <c r="BD74" i="2"/>
  <c r="BC74" i="2"/>
  <c r="BB74" i="2"/>
  <c r="BA74" i="2"/>
  <c r="AZ74"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B74" i="2"/>
  <c r="A74" i="2"/>
  <c r="BK73" i="2"/>
  <c r="BJ73" i="2"/>
  <c r="BI73" i="2"/>
  <c r="BH73" i="2"/>
  <c r="BG73" i="2"/>
  <c r="BF73" i="2"/>
  <c r="BE73" i="2"/>
  <c r="BD73" i="2"/>
  <c r="BC73" i="2"/>
  <c r="BB73" i="2"/>
  <c r="BA73" i="2"/>
  <c r="AZ73" i="2"/>
  <c r="AY73" i="2"/>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V73" i="2"/>
  <c r="U73" i="2"/>
  <c r="T73" i="2"/>
  <c r="S73" i="2"/>
  <c r="R73" i="2"/>
  <c r="Q73" i="2"/>
  <c r="P73" i="2"/>
  <c r="O73" i="2"/>
  <c r="N73" i="2"/>
  <c r="M73" i="2"/>
  <c r="L73" i="2"/>
  <c r="K73" i="2"/>
  <c r="J73" i="2"/>
  <c r="I73" i="2"/>
  <c r="H73" i="2"/>
  <c r="G73" i="2"/>
  <c r="F73" i="2"/>
  <c r="E73" i="2"/>
  <c r="D73" i="2"/>
  <c r="C73" i="2"/>
  <c r="B73" i="2"/>
  <c r="A73" i="2"/>
  <c r="BK72" i="2"/>
  <c r="BJ72" i="2"/>
  <c r="BI72" i="2"/>
  <c r="BH72" i="2"/>
  <c r="BG72" i="2"/>
  <c r="BF72" i="2"/>
  <c r="BE72" i="2"/>
  <c r="BD72" i="2"/>
  <c r="BC72" i="2"/>
  <c r="BB72" i="2"/>
  <c r="BA72" i="2"/>
  <c r="AZ72"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J72" i="2"/>
  <c r="I72" i="2"/>
  <c r="H72" i="2"/>
  <c r="G72" i="2"/>
  <c r="F72" i="2"/>
  <c r="E72" i="2"/>
  <c r="D72" i="2"/>
  <c r="C72" i="2"/>
  <c r="B72" i="2"/>
  <c r="A72" i="2"/>
  <c r="BK71" i="2"/>
  <c r="BJ71" i="2"/>
  <c r="BI71" i="2"/>
  <c r="BH71" i="2"/>
  <c r="BG71" i="2"/>
  <c r="BF71" i="2"/>
  <c r="BE71" i="2"/>
  <c r="BD71" i="2"/>
  <c r="BC71" i="2"/>
  <c r="BB71" i="2"/>
  <c r="BA71" i="2"/>
  <c r="AZ71"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A71" i="2"/>
  <c r="BK70" i="2"/>
  <c r="BJ70" i="2"/>
  <c r="BI70" i="2"/>
  <c r="BH70" i="2"/>
  <c r="BG70" i="2"/>
  <c r="BF70" i="2"/>
  <c r="BE70" i="2"/>
  <c r="BD70" i="2"/>
  <c r="BC70" i="2"/>
  <c r="BB70" i="2"/>
  <c r="BA70" i="2"/>
  <c r="AZ70" i="2"/>
  <c r="AY70" i="2"/>
  <c r="AX70" i="2"/>
  <c r="AW70" i="2"/>
  <c r="AV70" i="2"/>
  <c r="AU70" i="2"/>
  <c r="AT70" i="2"/>
  <c r="AS70" i="2"/>
  <c r="AR70" i="2"/>
  <c r="AQ70" i="2"/>
  <c r="AP70" i="2"/>
  <c r="AO70" i="2"/>
  <c r="AN70" i="2"/>
  <c r="AM70" i="2"/>
  <c r="AL70" i="2"/>
  <c r="AK70" i="2"/>
  <c r="AJ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A70" i="2"/>
  <c r="BK69" i="2"/>
  <c r="BJ69" i="2"/>
  <c r="BI69" i="2"/>
  <c r="BH69" i="2"/>
  <c r="BG69" i="2"/>
  <c r="BF69" i="2"/>
  <c r="BE69" i="2"/>
  <c r="BD69" i="2"/>
  <c r="BC69" i="2"/>
  <c r="BB69" i="2"/>
  <c r="BA69" i="2"/>
  <c r="AZ69" i="2"/>
  <c r="AY69" i="2"/>
  <c r="AX69"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E69" i="2"/>
  <c r="D69" i="2"/>
  <c r="C69" i="2"/>
  <c r="B69" i="2"/>
  <c r="A69" i="2"/>
  <c r="BK68" i="2"/>
  <c r="BJ68" i="2"/>
  <c r="BI68" i="2"/>
  <c r="BH68" i="2"/>
  <c r="BG68" i="2"/>
  <c r="BF68" i="2"/>
  <c r="BE68" i="2"/>
  <c r="BD68" i="2"/>
  <c r="BC68" i="2"/>
  <c r="BB68" i="2"/>
  <c r="BA68" i="2"/>
  <c r="AZ68"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R68" i="2"/>
  <c r="Q68" i="2"/>
  <c r="P68" i="2"/>
  <c r="O68" i="2"/>
  <c r="N68" i="2"/>
  <c r="M68" i="2"/>
  <c r="L68" i="2"/>
  <c r="K68" i="2"/>
  <c r="J68" i="2"/>
  <c r="I68" i="2"/>
  <c r="H68" i="2"/>
  <c r="G68" i="2"/>
  <c r="F68" i="2"/>
  <c r="E68" i="2"/>
  <c r="D68" i="2"/>
  <c r="C68" i="2"/>
  <c r="B68" i="2"/>
  <c r="A68" i="2"/>
  <c r="BK67" i="2"/>
  <c r="BJ67" i="2"/>
  <c r="BI67" i="2"/>
  <c r="BH67" i="2"/>
  <c r="BG67" i="2"/>
  <c r="BF67" i="2"/>
  <c r="BE67" i="2"/>
  <c r="BD67" i="2"/>
  <c r="BC67" i="2"/>
  <c r="BB67" i="2"/>
  <c r="BA67" i="2"/>
  <c r="AZ67" i="2"/>
  <c r="AY67" i="2"/>
  <c r="AX67" i="2"/>
  <c r="AW67" i="2"/>
  <c r="AV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V67" i="2"/>
  <c r="U67" i="2"/>
  <c r="T67" i="2"/>
  <c r="S67" i="2"/>
  <c r="R67" i="2"/>
  <c r="Q67" i="2"/>
  <c r="P67" i="2"/>
  <c r="O67" i="2"/>
  <c r="N67" i="2"/>
  <c r="M67" i="2"/>
  <c r="L67" i="2"/>
  <c r="K67" i="2"/>
  <c r="J67" i="2"/>
  <c r="I67" i="2"/>
  <c r="H67" i="2"/>
  <c r="G67" i="2"/>
  <c r="F67" i="2"/>
  <c r="E67" i="2"/>
  <c r="D67" i="2"/>
  <c r="C67" i="2"/>
  <c r="B67" i="2"/>
  <c r="A67" i="2"/>
  <c r="BK66" i="2"/>
  <c r="BJ66" i="2"/>
  <c r="BI66" i="2"/>
  <c r="BH66" i="2"/>
  <c r="BG66" i="2"/>
  <c r="BF66" i="2"/>
  <c r="BE66" i="2"/>
  <c r="BD66" i="2"/>
  <c r="BC66" i="2"/>
  <c r="BB66" i="2"/>
  <c r="BA66" i="2"/>
  <c r="AZ66" i="2"/>
  <c r="AY66" i="2"/>
  <c r="AX66"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R66" i="2"/>
  <c r="Q66" i="2"/>
  <c r="P66" i="2"/>
  <c r="O66" i="2"/>
  <c r="N66" i="2"/>
  <c r="M66" i="2"/>
  <c r="L66" i="2"/>
  <c r="K66" i="2"/>
  <c r="J66" i="2"/>
  <c r="I66" i="2"/>
  <c r="H66" i="2"/>
  <c r="G66" i="2"/>
  <c r="F66" i="2"/>
  <c r="E66" i="2"/>
  <c r="D66" i="2"/>
  <c r="C66" i="2"/>
  <c r="B66" i="2"/>
  <c r="A66" i="2"/>
  <c r="BK65" i="2"/>
  <c r="BJ65" i="2"/>
  <c r="BI65" i="2"/>
  <c r="BH65" i="2"/>
  <c r="BG65" i="2"/>
  <c r="BF65" i="2"/>
  <c r="BE65" i="2"/>
  <c r="BD65" i="2"/>
  <c r="BC65" i="2"/>
  <c r="BB65" i="2"/>
  <c r="BA65" i="2"/>
  <c r="AZ65"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B65" i="2"/>
  <c r="A65" i="2"/>
  <c r="BK64" i="2"/>
  <c r="BJ64" i="2"/>
  <c r="BI64" i="2"/>
  <c r="BH64" i="2"/>
  <c r="BG64" i="2"/>
  <c r="BF64" i="2"/>
  <c r="BE64" i="2"/>
  <c r="BD64" i="2"/>
  <c r="BC64" i="2"/>
  <c r="BB64" i="2"/>
  <c r="BA64" i="2"/>
  <c r="AZ64"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B64" i="2"/>
  <c r="A64" i="2"/>
  <c r="BK63" i="2"/>
  <c r="BJ63" i="2"/>
  <c r="BI63" i="2"/>
  <c r="BH63" i="2"/>
  <c r="BG63" i="2"/>
  <c r="BF63" i="2"/>
  <c r="BE63" i="2"/>
  <c r="BD63" i="2"/>
  <c r="BC63" i="2"/>
  <c r="BB63" i="2"/>
  <c r="BA63" i="2"/>
  <c r="AZ63" i="2"/>
  <c r="AY63"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B63" i="2"/>
  <c r="A63" i="2"/>
  <c r="BK62" i="2"/>
  <c r="BJ62" i="2"/>
  <c r="BI62" i="2"/>
  <c r="BH62" i="2"/>
  <c r="BG62" i="2"/>
  <c r="BF62" i="2"/>
  <c r="BE62" i="2"/>
  <c r="BD62" i="2"/>
  <c r="BC62" i="2"/>
  <c r="BB62" i="2"/>
  <c r="BA62" i="2"/>
  <c r="AZ62"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B62" i="2"/>
  <c r="A62" i="2"/>
  <c r="BK61" i="2"/>
  <c r="BJ61" i="2"/>
  <c r="BI61" i="2"/>
  <c r="BH61" i="2"/>
  <c r="BG61" i="2"/>
  <c r="BF61" i="2"/>
  <c r="BE61" i="2"/>
  <c r="BD61" i="2"/>
  <c r="BC61" i="2"/>
  <c r="BB61" i="2"/>
  <c r="BA61" i="2"/>
  <c r="AZ61" i="2"/>
  <c r="AY61" i="2"/>
  <c r="AX61" i="2"/>
  <c r="AW61"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A61" i="2"/>
  <c r="BK60" i="2"/>
  <c r="BJ60" i="2"/>
  <c r="BI60" i="2"/>
  <c r="BH60" i="2"/>
  <c r="BG60" i="2"/>
  <c r="BF60" i="2"/>
  <c r="BE60" i="2"/>
  <c r="BD60" i="2"/>
  <c r="BC60" i="2"/>
  <c r="BB60" i="2"/>
  <c r="BA60" i="2"/>
  <c r="AZ60" i="2"/>
  <c r="AY60" i="2"/>
  <c r="AX60"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A60" i="2"/>
  <c r="BK59" i="2"/>
  <c r="BJ59" i="2"/>
  <c r="BI59" i="2"/>
  <c r="BH59" i="2"/>
  <c r="BG59" i="2"/>
  <c r="BF59" i="2"/>
  <c r="BE59" i="2"/>
  <c r="BD59" i="2"/>
  <c r="BC59" i="2"/>
  <c r="BB59" i="2"/>
  <c r="BA59" i="2"/>
  <c r="AZ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59" i="2"/>
  <c r="K59" i="2"/>
  <c r="J59" i="2"/>
  <c r="I59" i="2"/>
  <c r="H59" i="2"/>
  <c r="G59" i="2"/>
  <c r="F59" i="2"/>
  <c r="E59" i="2"/>
  <c r="D59" i="2"/>
  <c r="C59" i="2"/>
  <c r="B59" i="2"/>
  <c r="A59" i="2"/>
  <c r="BK58" i="2"/>
  <c r="BJ58" i="2"/>
  <c r="BI58" i="2"/>
  <c r="BH58" i="2"/>
  <c r="BG58" i="2"/>
  <c r="BF58" i="2"/>
  <c r="BE58" i="2"/>
  <c r="BD58" i="2"/>
  <c r="BC58" i="2"/>
  <c r="BB58" i="2"/>
  <c r="BA58" i="2"/>
  <c r="AZ58" i="2"/>
  <c r="AY58"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C58" i="2"/>
  <c r="B58" i="2"/>
  <c r="A58" i="2"/>
  <c r="BK57" i="2"/>
  <c r="BJ57" i="2"/>
  <c r="BI57" i="2"/>
  <c r="BH57" i="2"/>
  <c r="BG57" i="2"/>
  <c r="BF57" i="2"/>
  <c r="BE57" i="2"/>
  <c r="BD57" i="2"/>
  <c r="BC57" i="2"/>
  <c r="BB57" i="2"/>
  <c r="BA57" i="2"/>
  <c r="AZ57" i="2"/>
  <c r="AY57" i="2"/>
  <c r="AX57"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R57" i="2"/>
  <c r="Q57" i="2"/>
  <c r="P57" i="2"/>
  <c r="O57" i="2"/>
  <c r="N57" i="2"/>
  <c r="M57" i="2"/>
  <c r="L57" i="2"/>
  <c r="K57" i="2"/>
  <c r="J57" i="2"/>
  <c r="I57" i="2"/>
  <c r="H57" i="2"/>
  <c r="G57" i="2"/>
  <c r="F57" i="2"/>
  <c r="E57" i="2"/>
  <c r="D57" i="2"/>
  <c r="C57" i="2"/>
  <c r="B57" i="2"/>
  <c r="A57" i="2"/>
  <c r="BK56" i="2"/>
  <c r="BJ56"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A56" i="2"/>
  <c r="BK55" i="2"/>
  <c r="BJ55" i="2"/>
  <c r="BI55" i="2"/>
  <c r="BH55" i="2"/>
  <c r="BG55" i="2"/>
  <c r="BF55" i="2"/>
  <c r="BE55" i="2"/>
  <c r="BD55" i="2"/>
  <c r="BC55" i="2"/>
  <c r="BB55" i="2"/>
  <c r="BA55" i="2"/>
  <c r="AZ55" i="2"/>
  <c r="AY55" i="2"/>
  <c r="AX55" i="2"/>
  <c r="AW55" i="2"/>
  <c r="AV55" i="2"/>
  <c r="AU55" i="2"/>
  <c r="AT55" i="2"/>
  <c r="AS55" i="2"/>
  <c r="AR55"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E55" i="2"/>
  <c r="D55" i="2"/>
  <c r="C55" i="2"/>
  <c r="B55" i="2"/>
  <c r="A55" i="2"/>
  <c r="BK54" i="2"/>
  <c r="BJ54" i="2"/>
  <c r="BI54" i="2"/>
  <c r="BH54" i="2"/>
  <c r="BG54" i="2"/>
  <c r="BF54" i="2"/>
  <c r="BE54" i="2"/>
  <c r="BD54" i="2"/>
  <c r="BC54" i="2"/>
  <c r="BB54" i="2"/>
  <c r="BA54" i="2"/>
  <c r="AZ54" i="2"/>
  <c r="AY54" i="2"/>
  <c r="AX54"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I54" i="2"/>
  <c r="H54" i="2"/>
  <c r="G54" i="2"/>
  <c r="F54" i="2"/>
  <c r="E54" i="2"/>
  <c r="D54" i="2"/>
  <c r="C54" i="2"/>
  <c r="B54" i="2"/>
  <c r="A54"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B53" i="2"/>
  <c r="A53" i="2"/>
  <c r="BK52" i="2"/>
  <c r="BJ52" i="2"/>
  <c r="BI52" i="2"/>
  <c r="BH52" i="2"/>
  <c r="BG52" i="2"/>
  <c r="BF52" i="2"/>
  <c r="BE52" i="2"/>
  <c r="BD52" i="2"/>
  <c r="BC52" i="2"/>
  <c r="BB52" i="2"/>
  <c r="BA52" i="2"/>
  <c r="AZ52" i="2"/>
  <c r="AY52" i="2"/>
  <c r="AX52" i="2"/>
  <c r="AW52" i="2"/>
  <c r="AV52" i="2"/>
  <c r="AU52" i="2"/>
  <c r="AT52" i="2"/>
  <c r="AS52" i="2"/>
  <c r="AR52" i="2"/>
  <c r="AQ52" i="2"/>
  <c r="AP52" i="2"/>
  <c r="AO52" i="2"/>
  <c r="AN52"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I52" i="2"/>
  <c r="H52" i="2"/>
  <c r="G52" i="2"/>
  <c r="F52" i="2"/>
  <c r="E52" i="2"/>
  <c r="D52" i="2"/>
  <c r="C52" i="2"/>
  <c r="B52" i="2"/>
  <c r="A52" i="2"/>
  <c r="BK51" i="2"/>
  <c r="BJ51" i="2"/>
  <c r="BI51" i="2"/>
  <c r="BH51" i="2"/>
  <c r="BG51" i="2"/>
  <c r="BF51" i="2"/>
  <c r="BE51" i="2"/>
  <c r="BD51" i="2"/>
  <c r="BC51" i="2"/>
  <c r="BB51" i="2"/>
  <c r="BA51" i="2"/>
  <c r="AZ51" i="2"/>
  <c r="AY51"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I51" i="2"/>
  <c r="H51" i="2"/>
  <c r="G51" i="2"/>
  <c r="F51" i="2"/>
  <c r="E51" i="2"/>
  <c r="D51" i="2"/>
  <c r="C51" i="2"/>
  <c r="B51" i="2"/>
  <c r="A51" i="2"/>
  <c r="BK50" i="2"/>
  <c r="BJ50" i="2"/>
  <c r="BI50" i="2"/>
  <c r="BH50" i="2"/>
  <c r="BG50" i="2"/>
  <c r="BF50" i="2"/>
  <c r="BE50" i="2"/>
  <c r="BD50" i="2"/>
  <c r="BC50" i="2"/>
  <c r="BB50" i="2"/>
  <c r="BA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C50" i="2"/>
  <c r="B50" i="2"/>
  <c r="A50" i="2"/>
  <c r="BK49" i="2"/>
  <c r="BJ49" i="2"/>
  <c r="BI49" i="2"/>
  <c r="BH49" i="2"/>
  <c r="BG49" i="2"/>
  <c r="BF49" i="2"/>
  <c r="BE49" i="2"/>
  <c r="BD49" i="2"/>
  <c r="BC49" i="2"/>
  <c r="BB49" i="2"/>
  <c r="BA49" i="2"/>
  <c r="AZ49" i="2"/>
  <c r="AY49" i="2"/>
  <c r="AX49" i="2"/>
  <c r="AW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B49" i="2"/>
  <c r="A49" i="2"/>
  <c r="BK48" i="2"/>
  <c r="BJ48" i="2"/>
  <c r="BI48" i="2"/>
  <c r="BH48" i="2"/>
  <c r="BG48" i="2"/>
  <c r="BF48" i="2"/>
  <c r="BE48" i="2"/>
  <c r="BD48" i="2"/>
  <c r="BC48" i="2"/>
  <c r="BB48" i="2"/>
  <c r="BA48" i="2"/>
  <c r="AZ48" i="2"/>
  <c r="AY48" i="2"/>
  <c r="AX48"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E48" i="2"/>
  <c r="D48" i="2"/>
  <c r="C48" i="2"/>
  <c r="B48" i="2"/>
  <c r="A48" i="2"/>
  <c r="BK47" i="2"/>
  <c r="BJ47" i="2"/>
  <c r="BI47" i="2"/>
  <c r="BH47" i="2"/>
  <c r="BG47" i="2"/>
  <c r="BF47" i="2"/>
  <c r="BE47" i="2"/>
  <c r="BD47" i="2"/>
  <c r="BC47" i="2"/>
  <c r="BB47" i="2"/>
  <c r="BA47" i="2"/>
  <c r="AZ47"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C47" i="2"/>
  <c r="B47" i="2"/>
  <c r="A47" i="2"/>
  <c r="BK46" i="2"/>
  <c r="BJ46" i="2"/>
  <c r="BI46" i="2"/>
  <c r="BH46" i="2"/>
  <c r="BG46" i="2"/>
  <c r="BF46" i="2"/>
  <c r="BE46" i="2"/>
  <c r="BD46" i="2"/>
  <c r="BC46" i="2"/>
  <c r="BB46" i="2"/>
  <c r="BA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46" i="2"/>
  <c r="BK45" i="2"/>
  <c r="BJ45" i="2"/>
  <c r="BI45" i="2"/>
  <c r="BH45" i="2"/>
  <c r="BG45" i="2"/>
  <c r="BF45" i="2"/>
  <c r="BE45" i="2"/>
  <c r="BD45" i="2"/>
  <c r="BC45" i="2"/>
  <c r="BB45" i="2"/>
  <c r="BA45" i="2"/>
  <c r="AZ45" i="2"/>
  <c r="AY45" i="2"/>
  <c r="AX45"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C45" i="2"/>
  <c r="B45" i="2"/>
  <c r="A45" i="2"/>
  <c r="BK44" i="2"/>
  <c r="BJ44" i="2"/>
  <c r="BI44" i="2"/>
  <c r="BH44" i="2"/>
  <c r="BG44" i="2"/>
  <c r="BF44" i="2"/>
  <c r="BE44" i="2"/>
  <c r="BD44" i="2"/>
  <c r="BC44" i="2"/>
  <c r="BB44" i="2"/>
  <c r="BA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D44" i="2"/>
  <c r="C44" i="2"/>
  <c r="B44" i="2"/>
  <c r="A44" i="2"/>
  <c r="BK43" i="2"/>
  <c r="BJ43" i="2"/>
  <c r="BI43" i="2"/>
  <c r="BH43" i="2"/>
  <c r="BG43" i="2"/>
  <c r="BF43" i="2"/>
  <c r="BE43" i="2"/>
  <c r="BD43" i="2"/>
  <c r="BC43" i="2"/>
  <c r="BB43" i="2"/>
  <c r="BA43" i="2"/>
  <c r="AZ43" i="2"/>
  <c r="AY43"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C43" i="2"/>
  <c r="B43" i="2"/>
  <c r="A43" i="2"/>
  <c r="BK42" i="2"/>
  <c r="BJ42" i="2"/>
  <c r="BI42" i="2"/>
  <c r="BH42" i="2"/>
  <c r="BG42" i="2"/>
  <c r="BF42" i="2"/>
  <c r="BE42" i="2"/>
  <c r="BD42" i="2"/>
  <c r="BC42" i="2"/>
  <c r="BB42" i="2"/>
  <c r="BA42" i="2"/>
  <c r="AZ42" i="2"/>
  <c r="AY42" i="2"/>
  <c r="AX42"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C42" i="2"/>
  <c r="B42" i="2"/>
  <c r="A42" i="2"/>
  <c r="BK41" i="2"/>
  <c r="BJ41" i="2"/>
  <c r="BI41" i="2"/>
  <c r="BH41" i="2"/>
  <c r="BG41" i="2"/>
  <c r="BF41" i="2"/>
  <c r="BE41" i="2"/>
  <c r="BD41" i="2"/>
  <c r="BC41" i="2"/>
  <c r="BB41" i="2"/>
  <c r="BA41" i="2"/>
  <c r="AZ41"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D41" i="2"/>
  <c r="C41" i="2"/>
  <c r="B41" i="2"/>
  <c r="A41" i="2"/>
  <c r="BK40" i="2"/>
  <c r="BJ40" i="2"/>
  <c r="BI40" i="2"/>
  <c r="BH40" i="2"/>
  <c r="BG40" i="2"/>
  <c r="BF40" i="2"/>
  <c r="BE40" i="2"/>
  <c r="BD40" i="2"/>
  <c r="BC40" i="2"/>
  <c r="BB40" i="2"/>
  <c r="BA40" i="2"/>
  <c r="AZ40" i="2"/>
  <c r="AY40" i="2"/>
  <c r="AX40" i="2"/>
  <c r="AW40" i="2"/>
  <c r="AV40" i="2"/>
  <c r="AU40" i="2"/>
  <c r="AT40" i="2"/>
  <c r="AS40" i="2"/>
  <c r="AR40" i="2"/>
  <c r="AQ40" i="2"/>
  <c r="AP40" i="2"/>
  <c r="AO40" i="2"/>
  <c r="AN40" i="2"/>
  <c r="AM40" i="2"/>
  <c r="AL40"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E40" i="2"/>
  <c r="D40" i="2"/>
  <c r="C40" i="2"/>
  <c r="B40" i="2"/>
  <c r="A40" i="2"/>
  <c r="BK39" i="2"/>
  <c r="BJ39" i="2"/>
  <c r="BI39" i="2"/>
  <c r="BH39" i="2"/>
  <c r="BG39" i="2"/>
  <c r="BF39" i="2"/>
  <c r="BE39" i="2"/>
  <c r="BD39" i="2"/>
  <c r="BC39" i="2"/>
  <c r="BB39" i="2"/>
  <c r="BA39" i="2"/>
  <c r="AZ39" i="2"/>
  <c r="AY39" i="2"/>
  <c r="AX39"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D39" i="2"/>
  <c r="C39" i="2"/>
  <c r="B39" i="2"/>
  <c r="A39" i="2"/>
  <c r="BK38" i="2"/>
  <c r="BJ38" i="2"/>
  <c r="BI38" i="2"/>
  <c r="BH38" i="2"/>
  <c r="BG38" i="2"/>
  <c r="BF38" i="2"/>
  <c r="BE38" i="2"/>
  <c r="BD38" i="2"/>
  <c r="BC38" i="2"/>
  <c r="BB38" i="2"/>
  <c r="BA38" i="2"/>
  <c r="AZ38"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R38" i="2"/>
  <c r="Q38" i="2"/>
  <c r="P38" i="2"/>
  <c r="O38" i="2"/>
  <c r="N38" i="2"/>
  <c r="M38" i="2"/>
  <c r="L38" i="2"/>
  <c r="K38" i="2"/>
  <c r="J38" i="2"/>
  <c r="I38" i="2"/>
  <c r="H38" i="2"/>
  <c r="G38" i="2"/>
  <c r="F38" i="2"/>
  <c r="E38" i="2"/>
  <c r="D38" i="2"/>
  <c r="C38" i="2"/>
  <c r="B38" i="2"/>
  <c r="A38" i="2"/>
  <c r="BK37" i="2"/>
  <c r="BJ37" i="2"/>
  <c r="BI37" i="2"/>
  <c r="BH37" i="2"/>
  <c r="BG37" i="2"/>
  <c r="BF37" i="2"/>
  <c r="BE37" i="2"/>
  <c r="BD37" i="2"/>
  <c r="BC37" i="2"/>
  <c r="BB37" i="2"/>
  <c r="BA37" i="2"/>
  <c r="AZ37" i="2"/>
  <c r="AY37"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D37" i="2"/>
  <c r="C37" i="2"/>
  <c r="B37" i="2"/>
  <c r="A37" i="2"/>
  <c r="BK36" i="2"/>
  <c r="BJ36" i="2"/>
  <c r="BI36" i="2"/>
  <c r="BH36" i="2"/>
  <c r="BG36" i="2"/>
  <c r="BF36" i="2"/>
  <c r="BE36" i="2"/>
  <c r="BD36" i="2"/>
  <c r="BC36" i="2"/>
  <c r="BB36" i="2"/>
  <c r="BA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D36" i="2"/>
  <c r="C36" i="2"/>
  <c r="B36" i="2"/>
  <c r="A36"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B35" i="2"/>
  <c r="A35" i="2"/>
  <c r="BK34" i="2"/>
  <c r="BJ34" i="2"/>
  <c r="BI34" i="2"/>
  <c r="BH34" i="2"/>
  <c r="BG34" i="2"/>
  <c r="BF34" i="2"/>
  <c r="BE34" i="2"/>
  <c r="BD34" i="2"/>
  <c r="BC34" i="2"/>
  <c r="BB34" i="2"/>
  <c r="BA34" i="2"/>
  <c r="AZ34"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B34" i="2"/>
  <c r="A34" i="2"/>
  <c r="BK33" i="2"/>
  <c r="BJ33" i="2"/>
  <c r="BI33" i="2"/>
  <c r="BH33" i="2"/>
  <c r="BG33" i="2"/>
  <c r="BF33" i="2"/>
  <c r="BE33" i="2"/>
  <c r="BD33" i="2"/>
  <c r="BC33" i="2"/>
  <c r="BB33" i="2"/>
  <c r="BA33" i="2"/>
  <c r="AZ33" i="2"/>
  <c r="AY33"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B33" i="2"/>
  <c r="A33"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32" i="2"/>
  <c r="BK31" i="2"/>
  <c r="BJ31" i="2"/>
  <c r="BI31" i="2"/>
  <c r="BH31" i="2"/>
  <c r="BG31" i="2"/>
  <c r="BF31" i="2"/>
  <c r="BE31" i="2"/>
  <c r="BD31" i="2"/>
  <c r="BC31" i="2"/>
  <c r="BB31" i="2"/>
  <c r="BA31" i="2"/>
  <c r="AZ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E31" i="2"/>
  <c r="D31" i="2"/>
  <c r="C31" i="2"/>
  <c r="B31" i="2"/>
  <c r="A31" i="2"/>
  <c r="BK30" i="2"/>
  <c r="BJ30" i="2"/>
  <c r="BI30" i="2"/>
  <c r="BH30" i="2"/>
  <c r="BG30" i="2"/>
  <c r="BF30" i="2"/>
  <c r="BE30" i="2"/>
  <c r="BD30" i="2"/>
  <c r="BC30" i="2"/>
  <c r="BB30" i="2"/>
  <c r="BA30" i="2"/>
  <c r="AZ30" i="2"/>
  <c r="AY30" i="2"/>
  <c r="AX30"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B30" i="2"/>
  <c r="A30" i="2"/>
  <c r="BK29" i="2"/>
  <c r="BJ29" i="2"/>
  <c r="BI29" i="2"/>
  <c r="BH29" i="2"/>
  <c r="BG29" i="2"/>
  <c r="BF29" i="2"/>
  <c r="BE29" i="2"/>
  <c r="BD29" i="2"/>
  <c r="BC29" i="2"/>
  <c r="BB29" i="2"/>
  <c r="BA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C29" i="2"/>
  <c r="B29" i="2"/>
  <c r="A29" i="2"/>
  <c r="BK28" i="2"/>
  <c r="BJ28" i="2"/>
  <c r="BI28" i="2"/>
  <c r="BH28" i="2"/>
  <c r="BG28" i="2"/>
  <c r="BF28" i="2"/>
  <c r="BE28" i="2"/>
  <c r="BD28" i="2"/>
  <c r="BC28" i="2"/>
  <c r="BB28" i="2"/>
  <c r="BA28" i="2"/>
  <c r="AZ28" i="2"/>
  <c r="AY28" i="2"/>
  <c r="AX28" i="2"/>
  <c r="AW28" i="2"/>
  <c r="AV28" i="2"/>
  <c r="AU28" i="2"/>
  <c r="AT28" i="2"/>
  <c r="AS28" i="2"/>
  <c r="AR28" i="2"/>
  <c r="AQ28" i="2"/>
  <c r="AP28" i="2"/>
  <c r="AO28" i="2"/>
  <c r="AN28" i="2"/>
  <c r="AM28" i="2"/>
  <c r="AL28" i="2"/>
  <c r="AK28" i="2"/>
  <c r="AJ28" i="2"/>
  <c r="AI28" i="2"/>
  <c r="AH28"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B28" i="2"/>
  <c r="A28" i="2"/>
  <c r="BK27" i="2"/>
  <c r="BJ27" i="2"/>
  <c r="BI27" i="2"/>
  <c r="BH27" i="2"/>
  <c r="BG27" i="2"/>
  <c r="BF27" i="2"/>
  <c r="BE27" i="2"/>
  <c r="BD27" i="2"/>
  <c r="BC27" i="2"/>
  <c r="BB27" i="2"/>
  <c r="BA27" i="2"/>
  <c r="AZ27" i="2"/>
  <c r="AY27"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R27" i="2"/>
  <c r="Q27" i="2"/>
  <c r="P27" i="2"/>
  <c r="O27" i="2"/>
  <c r="N27" i="2"/>
  <c r="M27" i="2"/>
  <c r="L27" i="2"/>
  <c r="K27" i="2"/>
  <c r="J27" i="2"/>
  <c r="I27" i="2"/>
  <c r="H27" i="2"/>
  <c r="G27" i="2"/>
  <c r="F27" i="2"/>
  <c r="E27" i="2"/>
  <c r="D27" i="2"/>
  <c r="C27" i="2"/>
  <c r="B27" i="2"/>
  <c r="A27" i="2"/>
  <c r="BK26" i="2"/>
  <c r="BJ26" i="2"/>
  <c r="BI26" i="2"/>
  <c r="BH26" i="2"/>
  <c r="BG26" i="2"/>
  <c r="BF26" i="2"/>
  <c r="BE26" i="2"/>
  <c r="BD26" i="2"/>
  <c r="BC26" i="2"/>
  <c r="BB26" i="2"/>
  <c r="BA26" i="2"/>
  <c r="AZ26"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F26" i="2"/>
  <c r="E26" i="2"/>
  <c r="D26" i="2"/>
  <c r="C26" i="2"/>
  <c r="B26" i="2"/>
  <c r="A26" i="2"/>
  <c r="BK25" i="2"/>
  <c r="BJ25" i="2"/>
  <c r="BI25" i="2"/>
  <c r="BH25" i="2"/>
  <c r="BG25" i="2"/>
  <c r="BF25" i="2"/>
  <c r="BE25" i="2"/>
  <c r="BD25" i="2"/>
  <c r="BC25" i="2"/>
  <c r="BB25" i="2"/>
  <c r="BA25" i="2"/>
  <c r="AZ25" i="2"/>
  <c r="AY25" i="2"/>
  <c r="AX25" i="2"/>
  <c r="AW25" i="2"/>
  <c r="AV25" i="2"/>
  <c r="AU25" i="2"/>
  <c r="AT25" i="2"/>
  <c r="AS25" i="2"/>
  <c r="AR25" i="2"/>
  <c r="AQ25" i="2"/>
  <c r="AP25" i="2"/>
  <c r="AO25" i="2"/>
  <c r="AN25" i="2"/>
  <c r="AM25" i="2"/>
  <c r="AL25"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B25" i="2"/>
  <c r="A25" i="2"/>
  <c r="BK24" i="2"/>
  <c r="BJ24" i="2"/>
  <c r="BI24" i="2"/>
  <c r="BH24" i="2"/>
  <c r="BG24" i="2"/>
  <c r="BF24" i="2"/>
  <c r="BE24" i="2"/>
  <c r="BD24" i="2"/>
  <c r="BC24" i="2"/>
  <c r="BB24" i="2"/>
  <c r="BA24"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B24" i="2"/>
  <c r="A24"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23" i="2"/>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22" i="2"/>
  <c r="BK21" i="2"/>
  <c r="BJ21" i="2"/>
  <c r="BI21" i="2"/>
  <c r="BH21" i="2"/>
  <c r="BG21" i="2"/>
  <c r="BF21" i="2"/>
  <c r="BE21" i="2"/>
  <c r="BD21" i="2"/>
  <c r="BC21" i="2"/>
  <c r="BB21" i="2"/>
  <c r="BA21" i="2"/>
  <c r="AZ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21" i="2"/>
  <c r="BK20" i="2"/>
  <c r="BJ20" i="2"/>
  <c r="BI20" i="2"/>
  <c r="BH20" i="2"/>
  <c r="BG20" i="2"/>
  <c r="BF20" i="2"/>
  <c r="BE20" i="2"/>
  <c r="BD20" i="2"/>
  <c r="BC20" i="2"/>
  <c r="BB20" i="2"/>
  <c r="BA20" i="2"/>
  <c r="AZ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A20" i="2"/>
  <c r="BK19" i="2"/>
  <c r="BJ19" i="2"/>
  <c r="BI19" i="2"/>
  <c r="BH19" i="2"/>
  <c r="BG19" i="2"/>
  <c r="BF19" i="2"/>
  <c r="BE19" i="2"/>
  <c r="BD19" i="2"/>
  <c r="BC19" i="2"/>
  <c r="BB19" i="2"/>
  <c r="BA19" i="2"/>
  <c r="AZ19"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19"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18" i="2"/>
  <c r="BK17" i="2"/>
  <c r="BJ17" i="2"/>
  <c r="BI17" i="2"/>
  <c r="BH17" i="2"/>
  <c r="BG17" i="2"/>
  <c r="BF17" i="2"/>
  <c r="BE17" i="2"/>
  <c r="BD17" i="2"/>
  <c r="BC17" i="2"/>
  <c r="BB17" i="2"/>
  <c r="BA17"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17" i="2"/>
  <c r="BK16" i="2"/>
  <c r="BJ16" i="2"/>
  <c r="BI16" i="2"/>
  <c r="BH16" i="2"/>
  <c r="BG16" i="2"/>
  <c r="BF16" i="2"/>
  <c r="BE16" i="2"/>
  <c r="BD16" i="2"/>
  <c r="BC16" i="2"/>
  <c r="BB16" i="2"/>
  <c r="BA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BK15" i="2"/>
  <c r="BJ15" i="2"/>
  <c r="BI15" i="2"/>
  <c r="BH15" i="2"/>
  <c r="BG15" i="2"/>
  <c r="BF15" i="2"/>
  <c r="BE15" i="2"/>
  <c r="BD15" i="2"/>
  <c r="BC15" i="2"/>
  <c r="BB15" i="2"/>
  <c r="BA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BK14" i="2"/>
  <c r="BJ14" i="2"/>
  <c r="BI14" i="2"/>
  <c r="BH14" i="2"/>
  <c r="BG14" i="2"/>
  <c r="BF14" i="2"/>
  <c r="BE14" i="2"/>
  <c r="BD14" i="2"/>
  <c r="BC14" i="2"/>
  <c r="BB14" i="2"/>
  <c r="BA14" i="2"/>
  <c r="AZ14" i="2"/>
  <c r="AY14" i="2"/>
  <c r="AX14" i="2"/>
  <c r="AW14" i="2"/>
  <c r="AV14" i="2"/>
  <c r="AU14" i="2"/>
  <c r="AT14" i="2"/>
  <c r="AS14" i="2"/>
  <c r="AR14" i="2"/>
  <c r="AQ14" i="2"/>
  <c r="AP14"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BK13" i="2"/>
  <c r="BJ13" i="2"/>
  <c r="BI13" i="2"/>
  <c r="BH13" i="2"/>
  <c r="BG13" i="2"/>
  <c r="BF13" i="2"/>
  <c r="BE13" i="2"/>
  <c r="BD13" i="2"/>
  <c r="BC13" i="2"/>
  <c r="BB13" i="2"/>
  <c r="BA13" i="2"/>
  <c r="AZ13" i="2"/>
  <c r="AY13" i="2"/>
  <c r="AX13" i="2"/>
  <c r="AW13" i="2"/>
  <c r="AV13" i="2"/>
  <c r="AU13" i="2"/>
  <c r="AT13" i="2"/>
  <c r="AS13" i="2"/>
  <c r="AR13" i="2"/>
  <c r="AQ13" i="2"/>
  <c r="AP13"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BK12" i="2"/>
  <c r="BJ12" i="2"/>
  <c r="BI12" i="2"/>
  <c r="BH12" i="2"/>
  <c r="BG12" i="2"/>
  <c r="BF12" i="2"/>
  <c r="BE12" i="2"/>
  <c r="BD12" i="2"/>
  <c r="BC12" i="2"/>
  <c r="BB12" i="2"/>
  <c r="BA12"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BK11" i="2"/>
  <c r="BJ11" i="2"/>
  <c r="BI11" i="2"/>
  <c r="BH11" i="2"/>
  <c r="BG11" i="2"/>
  <c r="BF11" i="2"/>
  <c r="BE11" i="2"/>
  <c r="BD11" i="2"/>
  <c r="BC11" i="2"/>
  <c r="BB11" i="2"/>
  <c r="BA11" i="2"/>
  <c r="AZ11" i="2"/>
  <c r="AY11" i="2"/>
  <c r="AX11" i="2"/>
  <c r="AW11" i="2"/>
  <c r="AV11" i="2"/>
  <c r="AU11"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BK10" i="2"/>
  <c r="BJ10" i="2"/>
  <c r="BI10" i="2"/>
  <c r="BH10" i="2"/>
  <c r="BG10" i="2"/>
  <c r="BF10" i="2"/>
  <c r="BE10" i="2"/>
  <c r="BD10" i="2"/>
  <c r="BC10" i="2"/>
  <c r="BB10" i="2"/>
  <c r="BA10" i="2"/>
  <c r="AZ10" i="2"/>
  <c r="AY10" i="2"/>
  <c r="AX10" i="2"/>
  <c r="AW10" i="2"/>
  <c r="AV10" i="2"/>
  <c r="AU10" i="2"/>
  <c r="AT10" i="2"/>
  <c r="AS10" i="2"/>
  <c r="AR10" i="2"/>
  <c r="AQ10"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BK8" i="2"/>
  <c r="BJ8" i="2"/>
  <c r="BI8" i="2"/>
  <c r="BH8" i="2"/>
  <c r="BG8" i="2"/>
  <c r="BF8" i="2"/>
  <c r="BE8" i="2"/>
  <c r="BD8" i="2"/>
  <c r="BC8" i="2"/>
  <c r="BB8" i="2"/>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BK7" i="2"/>
  <c r="BJ7" i="2"/>
  <c r="BI7" i="2"/>
  <c r="BH7" i="2"/>
  <c r="BG7" i="2"/>
  <c r="BF7" i="2"/>
  <c r="BE7" i="2"/>
  <c r="BD7" i="2"/>
  <c r="BC7" i="2"/>
  <c r="BB7" i="2"/>
  <c r="BA7" i="2"/>
  <c r="AZ7" i="2"/>
  <c r="AY7" i="2"/>
  <c r="AX7" i="2"/>
  <c r="AW7" i="2"/>
  <c r="AV7" i="2"/>
  <c r="AU7" i="2"/>
  <c r="AT7" i="2"/>
  <c r="AS7" i="2"/>
  <c r="AR7" i="2"/>
  <c r="AQ7" i="2"/>
  <c r="AP7" i="2"/>
  <c r="AO7" i="2"/>
  <c r="AN7"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BK4" i="2"/>
  <c r="BJ4" i="2"/>
  <c r="BI4" i="2"/>
  <c r="BH4" i="2"/>
  <c r="BG4" i="2"/>
  <c r="BF4" i="2"/>
  <c r="BE4" i="2"/>
  <c r="BD4" i="2"/>
  <c r="BC4" i="2"/>
  <c r="BB4" i="2"/>
  <c r="BA4"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E3" i="2"/>
  <c r="D3" i="2"/>
  <c r="C3" i="2"/>
  <c r="B3" i="2"/>
  <c r="A3"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<sst xmlns="http://schemas.openxmlformats.org/spreadsheetml/2006/main" count="2" uniqueCount="2">
  <si>
    <t>North</t>
  </si>
  <si>
    <t>RELEASED UNDER THE OFFICIAL INFORMATION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</si>
</sst>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hh:mm:ss"/>
    <numFmt numFmtId="166" formatCode="d/m/yyyy"/>
    <numFmt numFmtId="167" formatCode="dd\-mm\-yy\ hh:mm"/>
  </numFmts>
  <fonts count="5" x14ac:knownFonts="1">
    <font>
      <sz val="10"/>
      <color rgb="FF000000"/>
      <name val="Arial"/>
    </font>
    <font>
      <sz val="10"/>
      <color rgb="FFFFFFFF"/>
      <name val="Arial"/>
      <family val="2"/>
    </font>
    <font>
      <sz val="10"/>
      <name val="Arial"/>
      <family val="2"/>
    </font>
    <font>
      <sz val="10"/>
      <color rgb="FF000000"/>
      <name val="Arial"/>
      <family val="2"/>
    </font>
    <font>
      <sz val="11"/>
      <color rgb="FF000000"/>
      <name val="Calibri"/>
      <family val="2"/>
    </font>
  </fonts>
  <fills count="5">
    <fill>
      <patternFill patternType="none"/>
    </fill>
    <fill>
      <patternFill patternType="gray125"/>
    </fill>
    <fill>
      <patternFill patternType="solid">
        <fgColor rgb="FFFFFFFF"/>
        <bgColor rgb="FFFFFFFF"/>
      </patternFill>
    </fill>
    <fill>
      <patternFill patternType="solid">
        <fgColor rgb="FF4DD0E1"/>
        <bgColor rgb="FF4DD0E1"/>
      </patternFill>
    </fill>
    <fill>
      <patternFill patternType="solid">
        <fgColor rgb="FFE0F7FA"/>
        <bgColor rgb="FFE0F7FA"/>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164" fontId="2" fillId="0" borderId="0" xfId="0" applyNumberFormat="1" applyFont="1"/>
    <xf numFmtId="165" fontId="2" fillId="0" borderId="0" xfId="0" applyNumberFormat="1" applyFont="1"/>
    <xf numFmtId="3" fontId="2" fillId="0" borderId="0" xfId="0" applyNumberFormat="1" applyFont="1"/>
    <xf numFmtId="167" fontId="2" fillId="0" borderId="0" xfId="0" applyNumberFormat="1" applyFont="1"/>
    <xf numFmtId="167" fontId="3" fillId="0" borderId="0" xfId="0" applyNumberFormat="1" applyFont="1"/>
    <xf numFmtId="0" fontId="3" fillId="0" borderId="0" xfId="0" applyFont="1"/>
    <xf numFmtId="166" fontId="2" fillId="0" borderId="0" xfId="0" applyNumberFormat="1" applyFont="1"/>
    <xf numFmtId="14" fontId="2" fillId="0" borderId="0" xfId="0" applyNumberFormat="1" applyFont="1"/>
    <xf numFmtId="0" fontId="2" fillId="3" borderId="0" xfId="0" applyFont="1" applyFill="1"/>
    <xf numFmtId="0" fontId="2" fillId="2" borderId="0" xfId="0" applyFont="1" applyFill="1"/>
    <xf numFmtId="0" fontId="2" fillId="4" borderId="0" xfId="0" applyFont="1" applyFill="1"/>
    <xf numFmtId="0" fontId="2" fillId="4" borderId="0" xfId="0" applyFont="1" applyFill="1" applyAlignment="1">
      <alignment horizontal="right"/>
    </xf>
    <xf numFmtId="0" fontId="4" fillId="0" borderId="0" xfId="0" applyFont="1"/>
  </cellXfs>
  <cellStyles count="1">
    <cellStyle name="Normal" xfId="0" builtinId="0"/>
  </cellStyles>
  <dxfs count="148">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EA9999"/>
          <bgColor rgb="FFEA9999"/>
        </patternFill>
      </fill>
    </dxf>
    <dxf>
      <fill>
        <patternFill patternType="solid">
          <fgColor rgb="FFFF0000"/>
          <bgColor rgb="FFFF0000"/>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FFFFF"/>
          <bgColor rgb="FFFFFFFF"/>
        </patternFill>
      </fill>
    </dxf>
    <dxf>
      <fill>
        <patternFill patternType="solid">
          <fgColor rgb="FFD9D9D9"/>
          <bgColor rgb="FFD9D9D9"/>
        </patternFill>
      </fill>
    </dxf>
    <dxf>
      <fill>
        <patternFill patternType="solid">
          <fgColor rgb="FF000000"/>
          <bgColor rgb="FF000000"/>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FFFFFF"/>
          <bgColor rgb="FFFFFFFF"/>
        </patternFill>
      </fill>
    </dxf>
    <dxf>
      <fill>
        <patternFill patternType="solid">
          <fgColor rgb="FFD9D9D9"/>
          <bgColor rgb="FFD9D9D9"/>
        </patternFill>
      </fill>
    </dxf>
    <dxf>
      <fill>
        <patternFill patternType="solid">
          <fgColor rgb="FF000000"/>
          <bgColor rgb="FF000000"/>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FFFFFF"/>
          <bgColor rgb="FFFFFFFF"/>
        </patternFill>
      </fill>
    </dxf>
    <dxf>
      <fill>
        <patternFill patternType="solid">
          <fgColor rgb="FFFFF2CC"/>
          <bgColor rgb="FFFFF2CC"/>
        </patternFill>
      </fill>
    </dxf>
    <dxf>
      <fill>
        <patternFill patternType="solid">
          <fgColor rgb="FFFFFF00"/>
          <bgColor rgb="FFFFFF0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FFFFFF"/>
          <bgColor rgb="FFFFFFFF"/>
        </patternFill>
      </fill>
    </dxf>
    <dxf>
      <fill>
        <patternFill patternType="solid">
          <fgColor rgb="FFD9D9D9"/>
          <bgColor rgb="FFD9D9D9"/>
        </patternFill>
      </fill>
    </dxf>
    <dxf>
      <fill>
        <patternFill patternType="solid">
          <fgColor rgb="FF000000"/>
          <bgColor rgb="FF000000"/>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3F3F3"/>
          <bgColor rgb="FFF3F3F3"/>
        </patternFill>
      </fill>
    </dxf>
    <dxf>
      <fill>
        <patternFill patternType="solid">
          <fgColor rgb="FF93C47D"/>
          <bgColor rgb="FF93C47D"/>
        </patternFill>
      </fill>
    </dxf>
    <dxf>
      <fill>
        <patternFill patternType="solid">
          <fgColor rgb="FF00FF00"/>
          <bgColor rgb="FF00FF00"/>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D9D2E9"/>
          <bgColor rgb="FFD9D2E9"/>
        </patternFill>
      </fill>
    </dxf>
    <dxf>
      <fill>
        <patternFill patternType="solid">
          <fgColor rgb="FF9900FF"/>
          <bgColor rgb="FF9900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FFFFF"/>
          <bgColor rgb="FFFFFFFF"/>
        </patternFill>
      </fill>
    </dxf>
    <dxf>
      <fill>
        <patternFill patternType="solid">
          <fgColor rgb="FFD9D9D9"/>
          <bgColor rgb="FFD9D9D9"/>
        </patternFill>
      </fill>
    </dxf>
    <dxf>
      <fill>
        <patternFill patternType="solid">
          <fgColor rgb="FF000000"/>
          <bgColor rgb="FF000000"/>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F3F3F3"/>
          <bgColor rgb="FFF3F3F3"/>
        </patternFill>
      </fill>
    </dxf>
    <dxf>
      <fill>
        <patternFill patternType="solid">
          <fgColor rgb="FFD9D2E9"/>
          <bgColor rgb="FFD9D2E9"/>
        </patternFill>
      </fill>
    </dxf>
    <dxf>
      <fill>
        <patternFill patternType="solid">
          <fgColor rgb="FF9900FF"/>
          <bgColor rgb="FF9900FF"/>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FE6DD"/>
          <bgColor rgb="FFFFE6D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FFE6DD"/>
          <bgColor rgb="FFFFE6DD"/>
        </patternFill>
      </fill>
    </dxf>
    <dxf>
      <fill>
        <patternFill patternType="solid">
          <fgColor rgb="FFFFFFFF"/>
          <bgColor rgb="FFFFFFFF"/>
        </patternFill>
      </fill>
    </dxf>
    <dxf>
      <fill>
        <patternFill patternType="solid">
          <fgColor rgb="FFFFE6DD"/>
          <bgColor rgb="FFFFE6D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F3F3F3"/>
          <bgColor rgb="FFF3F3F3"/>
        </patternFill>
      </fill>
    </dxf>
    <dxf>
      <fill>
        <patternFill patternType="solid">
          <fgColor rgb="FFD9D2E9"/>
          <bgColor rgb="FFD9D2E9"/>
        </patternFill>
      </fill>
    </dxf>
    <dxf>
      <fill>
        <patternFill patternType="solid">
          <fgColor rgb="FF9900FF"/>
          <bgColor rgb="FF9900FF"/>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FFFFFF"/>
          <bgColor rgb="FFFFFFFF"/>
        </patternFill>
      </fill>
    </dxf>
    <dxf>
      <fill>
        <patternFill patternType="solid">
          <fgColor rgb="FFD9D9D9"/>
          <bgColor rgb="FFD9D9D9"/>
        </patternFill>
      </fill>
    </dxf>
    <dxf>
      <fill>
        <patternFill patternType="solid">
          <fgColor rgb="FF000000"/>
          <bgColor rgb="FF00000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51">
    <tableStyle name="All responses-style" pivot="0" count="3" xr9:uid="{00000000-0011-0000-FFFF-FFFF00000000}">
      <tableStyleElement type="headerRow" dxfId="147"/>
      <tableStyleElement type="firstRowStripe" dxfId="146"/>
      <tableStyleElement type="secondRowStripe" dxfId="145"/>
    </tableStyle>
    <tableStyle name="All responses-style 2" pivot="0" count="3" xr9:uid="{00000000-0011-0000-FFFF-FFFF01000000}">
      <tableStyleElement type="headerRow" dxfId="144"/>
      <tableStyleElement type="firstRowStripe" dxfId="143"/>
      <tableStyleElement type="secondRowStripe" dxfId="142"/>
    </tableStyle>
    <tableStyle name="All responses-style 3" pivot="0" count="3" xr9:uid="{00000000-0011-0000-FFFF-FFFF02000000}">
      <tableStyleElement type="headerRow" dxfId="141"/>
      <tableStyleElement type="firstRowStripe" dxfId="140"/>
      <tableStyleElement type="secondRowStripe" dxfId="139"/>
    </tableStyle>
    <tableStyle name="All responses-style 4" pivot="0" count="3" xr9:uid="{00000000-0011-0000-FFFF-FFFF03000000}">
      <tableStyleElement type="headerRow" dxfId="138"/>
      <tableStyleElement type="firstRowStripe" dxfId="137"/>
      <tableStyleElement type="secondRowStripe" dxfId="136"/>
    </tableStyle>
    <tableStyle name="All responses-style 5" pivot="0" count="3" xr9:uid="{00000000-0011-0000-FFFF-FFFF04000000}">
      <tableStyleElement type="headerRow" dxfId="135"/>
      <tableStyleElement type="firstRowStripe" dxfId="134"/>
      <tableStyleElement type="secondRowStripe" dxfId="133"/>
    </tableStyle>
    <tableStyle name="All responses-style 6" pivot="0" count="3" xr9:uid="{00000000-0011-0000-FFFF-FFFF05000000}">
      <tableStyleElement type="headerRow" dxfId="132"/>
      <tableStyleElement type="firstRowStripe" dxfId="131"/>
      <tableStyleElement type="secondRowStripe" dxfId="130"/>
    </tableStyle>
    <tableStyle name="All responses-style 7" pivot="0" count="3" xr9:uid="{00000000-0011-0000-FFFF-FFFF06000000}">
      <tableStyleElement type="headerRow" dxfId="129"/>
      <tableStyleElement type="firstRowStripe" dxfId="128"/>
      <tableStyleElement type="secondRowStripe" dxfId="127"/>
    </tableStyle>
    <tableStyle name="All responses-style 8" pivot="0" count="3" xr9:uid="{00000000-0011-0000-FFFF-FFFF07000000}">
      <tableStyleElement type="headerRow" dxfId="126"/>
      <tableStyleElement type="firstRowStripe" dxfId="125"/>
      <tableStyleElement type="secondRowStripe" dxfId="124"/>
    </tableStyle>
    <tableStyle name="All responses-style 9" pivot="0" count="3" xr9:uid="{00000000-0011-0000-FFFF-FFFF08000000}">
      <tableStyleElement type="headerRow" dxfId="123"/>
      <tableStyleElement type="firstRowStripe" dxfId="122"/>
      <tableStyleElement type="secondRowStripe" dxfId="121"/>
    </tableStyle>
    <tableStyle name="All responses-style 10" pivot="0" count="3" xr9:uid="{00000000-0011-0000-FFFF-FFFF09000000}">
      <tableStyleElement type="headerRow" dxfId="120"/>
      <tableStyleElement type="firstRowStripe" dxfId="119"/>
      <tableStyleElement type="secondRowStripe" dxfId="118"/>
    </tableStyle>
    <tableStyle name="All responses-style 11" pivot="0" count="3" xr9:uid="{00000000-0011-0000-FFFF-FFFF0A000000}">
      <tableStyleElement type="headerRow" dxfId="117"/>
      <tableStyleElement type="firstRowStripe" dxfId="116"/>
      <tableStyleElement type="secondRowStripe" dxfId="115"/>
    </tableStyle>
    <tableStyle name="All responses-style 12" pivot="0" count="2" xr9:uid="{00000000-0011-0000-FFFF-FFFF0B000000}">
      <tableStyleElement type="firstRowStripe" dxfId="114"/>
      <tableStyleElement type="secondRowStripe" dxfId="113"/>
    </tableStyle>
    <tableStyle name="All responses-style 13" pivot="0" count="2" xr9:uid="{00000000-0011-0000-FFFF-FFFF0C000000}">
      <tableStyleElement type="firstRowStripe" dxfId="112"/>
      <tableStyleElement type="secondRowStripe" dxfId="111"/>
    </tableStyle>
    <tableStyle name="All responses-style 14" pivot="0" count="2" xr9:uid="{00000000-0011-0000-FFFF-FFFF0D000000}">
      <tableStyleElement type="firstRowStripe" dxfId="110"/>
      <tableStyleElement type="secondRowStripe" dxfId="109"/>
    </tableStyle>
    <tableStyle name="All responses-style 15" pivot="0" count="3" xr9:uid="{00000000-0011-0000-FFFF-FFFF0E000000}">
      <tableStyleElement type="headerRow" dxfId="108"/>
      <tableStyleElement type="firstRowStripe" dxfId="107"/>
      <tableStyleElement type="secondRowStripe" dxfId="106"/>
    </tableStyle>
    <tableStyle name="All responses-style 16" pivot="0" count="2" xr9:uid="{00000000-0011-0000-FFFF-FFFF0F000000}">
      <tableStyleElement type="firstRowStripe" dxfId="105"/>
      <tableStyleElement type="secondRowStripe" dxfId="104"/>
    </tableStyle>
    <tableStyle name="All responses-style 17" pivot="0" count="2" xr9:uid="{00000000-0011-0000-FFFF-FFFF10000000}">
      <tableStyleElement type="firstRowStripe" dxfId="103"/>
      <tableStyleElement type="secondRowStripe" dxfId="102"/>
    </tableStyle>
    <tableStyle name="Waikato-style" pivot="0" count="3" xr9:uid="{00000000-0011-0000-FFFF-FFFF11000000}">
      <tableStyleElement type="headerRow" dxfId="101"/>
      <tableStyleElement type="firstRowStripe" dxfId="100"/>
      <tableStyleElement type="secondRowStripe" dxfId="99"/>
    </tableStyle>
    <tableStyle name="Waikato-style 2" pivot="0" count="3" xr9:uid="{00000000-0011-0000-FFFF-FFFF12000000}">
      <tableStyleElement type="headerRow" dxfId="98"/>
      <tableStyleElement type="firstRowStripe" dxfId="97"/>
      <tableStyleElement type="secondRowStripe" dxfId="96"/>
    </tableStyle>
    <tableStyle name="Waikato-style 3" pivot="0" count="3" xr9:uid="{00000000-0011-0000-FFFF-FFFF13000000}">
      <tableStyleElement type="headerRow" dxfId="95"/>
      <tableStyleElement type="firstRowStripe" dxfId="94"/>
      <tableStyleElement type="secondRowStripe" dxfId="93"/>
    </tableStyle>
    <tableStyle name="Waikato-style 4" pivot="0" count="3" xr9:uid="{00000000-0011-0000-FFFF-FFFF14000000}">
      <tableStyleElement type="headerRow" dxfId="92"/>
      <tableStyleElement type="firstRowStripe" dxfId="91"/>
      <tableStyleElement type="secondRowStripe" dxfId="90"/>
    </tableStyle>
    <tableStyle name="Waikato-style 5" pivot="0" count="3" xr9:uid="{00000000-0011-0000-FFFF-FFFF15000000}">
      <tableStyleElement type="headerRow" dxfId="89"/>
      <tableStyleElement type="firstRowStripe" dxfId="88"/>
      <tableStyleElement type="secondRowStripe" dxfId="87"/>
    </tableStyle>
    <tableStyle name="Waikato-style 6" pivot="0" count="3" xr9:uid="{00000000-0011-0000-FFFF-FFFF16000000}">
      <tableStyleElement type="headerRow" dxfId="86"/>
      <tableStyleElement type="firstRowStripe" dxfId="85"/>
      <tableStyleElement type="secondRowStripe" dxfId="84"/>
    </tableStyle>
    <tableStyle name="Waikato-style 7" pivot="0" count="3" xr9:uid="{00000000-0011-0000-FFFF-FFFF17000000}">
      <tableStyleElement type="headerRow" dxfId="83"/>
      <tableStyleElement type="firstRowStripe" dxfId="82"/>
      <tableStyleElement type="secondRowStripe" dxfId="81"/>
    </tableStyle>
    <tableStyle name="Waikato-style 8" pivot="0" count="3" xr9:uid="{00000000-0011-0000-FFFF-FFFF18000000}">
      <tableStyleElement type="headerRow" dxfId="80"/>
      <tableStyleElement type="firstRowStripe" dxfId="79"/>
      <tableStyleElement type="secondRowStripe" dxfId="78"/>
    </tableStyle>
    <tableStyle name="Waikato-style 9" pivot="0" count="3" xr9:uid="{00000000-0011-0000-FFFF-FFFF19000000}">
      <tableStyleElement type="headerRow" dxfId="77"/>
      <tableStyleElement type="firstRowStripe" dxfId="76"/>
      <tableStyleElement type="secondRowStripe" dxfId="75"/>
    </tableStyle>
    <tableStyle name="Waikato-style 10" pivot="0" count="3" xr9:uid="{00000000-0011-0000-FFFF-FFFF1A000000}">
      <tableStyleElement type="headerRow" dxfId="74"/>
      <tableStyleElement type="firstRowStripe" dxfId="73"/>
      <tableStyleElement type="secondRowStripe" dxfId="72"/>
    </tableStyle>
    <tableStyle name="Canterbury-style" pivot="0" count="3" xr9:uid="{00000000-0011-0000-FFFF-FFFF1B000000}">
      <tableStyleElement type="headerRow" dxfId="71"/>
      <tableStyleElement type="firstRowStripe" dxfId="70"/>
      <tableStyleElement type="secondRowStripe" dxfId="69"/>
    </tableStyle>
    <tableStyle name="Canterbury-style 2" pivot="0" count="3" xr9:uid="{00000000-0011-0000-FFFF-FFFF1C000000}">
      <tableStyleElement type="headerRow" dxfId="68"/>
      <tableStyleElement type="firstRowStripe" dxfId="67"/>
      <tableStyleElement type="secondRowStripe" dxfId="66"/>
    </tableStyle>
    <tableStyle name="Canterbury-style 3" pivot="0" count="3" xr9:uid="{00000000-0011-0000-FFFF-FFFF1D000000}">
      <tableStyleElement type="headerRow" dxfId="65"/>
      <tableStyleElement type="firstRowStripe" dxfId="64"/>
      <tableStyleElement type="secondRowStripe" dxfId="63"/>
    </tableStyle>
    <tableStyle name="Canterbury-style 4" pivot="0" count="3" xr9:uid="{00000000-0011-0000-FFFF-FFFF1E000000}">
      <tableStyleElement type="headerRow" dxfId="62"/>
      <tableStyleElement type="firstRowStripe" dxfId="61"/>
      <tableStyleElement type="secondRowStripe" dxfId="60"/>
    </tableStyle>
    <tableStyle name="Canterbury-style 5" pivot="0" count="3" xr9:uid="{00000000-0011-0000-FFFF-FFFF1F000000}">
      <tableStyleElement type="headerRow" dxfId="59"/>
      <tableStyleElement type="firstRowStripe" dxfId="58"/>
      <tableStyleElement type="secondRowStripe" dxfId="57"/>
    </tableStyle>
    <tableStyle name="Canterbury-style 6" pivot="0" count="3" xr9:uid="{00000000-0011-0000-FFFF-FFFF20000000}">
      <tableStyleElement type="headerRow" dxfId="56"/>
      <tableStyleElement type="firstRowStripe" dxfId="55"/>
      <tableStyleElement type="secondRowStripe" dxfId="54"/>
    </tableStyle>
    <tableStyle name="Canterbury-style 7" pivot="0" count="3" xr9:uid="{00000000-0011-0000-FFFF-FFFF21000000}">
      <tableStyleElement type="headerRow" dxfId="53"/>
      <tableStyleElement type="firstRowStripe" dxfId="52"/>
      <tableStyleElement type="secondRowStripe" dxfId="51"/>
    </tableStyle>
    <tableStyle name="Canterbury-style 8" pivot="0" count="3" xr9:uid="{00000000-0011-0000-FFFF-FFFF22000000}">
      <tableStyleElement type="headerRow" dxfId="50"/>
      <tableStyleElement type="firstRowStripe" dxfId="49"/>
      <tableStyleElement type="secondRowStripe" dxfId="48"/>
    </tableStyle>
    <tableStyle name="Hawkes Bay-style" pivot="0" count="3" xr9:uid="{00000000-0011-0000-FFFF-FFFF23000000}">
      <tableStyleElement type="headerRow" dxfId="47"/>
      <tableStyleElement type="firstRowStripe" dxfId="46"/>
      <tableStyleElement type="secondRowStripe" dxfId="45"/>
    </tableStyle>
    <tableStyle name="Hawkes Bay-style 2" pivot="0" count="3" xr9:uid="{00000000-0011-0000-FFFF-FFFF24000000}">
      <tableStyleElement type="headerRow" dxfId="44"/>
      <tableStyleElement type="firstRowStripe" dxfId="43"/>
      <tableStyleElement type="secondRowStripe" dxfId="42"/>
    </tableStyle>
    <tableStyle name="Hawkes Bay-style 3" pivot="0" count="3" xr9:uid="{00000000-0011-0000-FFFF-FFFF25000000}">
      <tableStyleElement type="headerRow" dxfId="41"/>
      <tableStyleElement type="firstRowStripe" dxfId="40"/>
      <tableStyleElement type="secondRowStripe" dxfId="39"/>
    </tableStyle>
    <tableStyle name="Hawkes Bay-style 4" pivot="0" count="3" xr9:uid="{00000000-0011-0000-FFFF-FFFF26000000}">
      <tableStyleElement type="headerRow" dxfId="38"/>
      <tableStyleElement type="firstRowStripe" dxfId="37"/>
      <tableStyleElement type="secondRowStripe" dxfId="36"/>
    </tableStyle>
    <tableStyle name="Hawkes Bay-style 5" pivot="0" count="3" xr9:uid="{00000000-0011-0000-FFFF-FFFF27000000}">
      <tableStyleElement type="headerRow" dxfId="35"/>
      <tableStyleElement type="firstRowStripe" dxfId="34"/>
      <tableStyleElement type="secondRowStripe" dxfId="33"/>
    </tableStyle>
    <tableStyle name="Hawkes Bay-style 6" pivot="0" count="3" xr9:uid="{00000000-0011-0000-FFFF-FFFF28000000}">
      <tableStyleElement type="headerRow" dxfId="32"/>
      <tableStyleElement type="firstRowStripe" dxfId="31"/>
      <tableStyleElement type="secondRowStripe" dxfId="30"/>
    </tableStyle>
    <tableStyle name="Hawkes Bay-style 7" pivot="0" count="3" xr9:uid="{00000000-0011-0000-FFFF-FFFF29000000}">
      <tableStyleElement type="headerRow" dxfId="29"/>
      <tableStyleElement type="firstRowStripe" dxfId="28"/>
      <tableStyleElement type="secondRowStripe" dxfId="27"/>
    </tableStyle>
    <tableStyle name="Hawkes Bay-style 8" pivot="0" count="3" xr9:uid="{00000000-0011-0000-FFFF-FFFF2A000000}">
      <tableStyleElement type="headerRow" dxfId="26"/>
      <tableStyleElement type="firstRowStripe" dxfId="25"/>
      <tableStyleElement type="secondRowStripe" dxfId="24"/>
    </tableStyle>
    <tableStyle name="BoP-style" pivot="0" count="3" xr9:uid="{00000000-0011-0000-FFFF-FFFF2B000000}">
      <tableStyleElement type="headerRow" dxfId="23"/>
      <tableStyleElement type="firstRowStripe" dxfId="22"/>
      <tableStyleElement type="secondRowStripe" dxfId="21"/>
    </tableStyle>
    <tableStyle name="BoP-style 2" pivot="0" count="3" xr9:uid="{00000000-0011-0000-FFFF-FFFF2C000000}">
      <tableStyleElement type="headerRow" dxfId="20"/>
      <tableStyleElement type="firstRowStripe" dxfId="19"/>
      <tableStyleElement type="secondRowStripe" dxfId="18"/>
    </tableStyle>
    <tableStyle name="BoP-style 3" pivot="0" count="3" xr9:uid="{00000000-0011-0000-FFFF-FFFF2D000000}">
      <tableStyleElement type="headerRow" dxfId="17"/>
      <tableStyleElement type="firstRowStripe" dxfId="16"/>
      <tableStyleElement type="secondRowStripe" dxfId="15"/>
    </tableStyle>
    <tableStyle name="BoP-style 4" pivot="0" count="3" xr9:uid="{00000000-0011-0000-FFFF-FFFF2E000000}">
      <tableStyleElement type="headerRow" dxfId="14"/>
      <tableStyleElement type="firstRowStripe" dxfId="13"/>
      <tableStyleElement type="secondRowStripe" dxfId="12"/>
    </tableStyle>
    <tableStyle name="BoP-style 5" pivot="0" count="3" xr9:uid="{00000000-0011-0000-FFFF-FFFF2F000000}">
      <tableStyleElement type="headerRow" dxfId="11"/>
      <tableStyleElement type="firstRowStripe" dxfId="10"/>
      <tableStyleElement type="secondRowStripe" dxfId="9"/>
    </tableStyle>
    <tableStyle name="BoP-style 6" pivot="0" count="3" xr9:uid="{00000000-0011-0000-FFFF-FFFF30000000}">
      <tableStyleElement type="headerRow" dxfId="8"/>
      <tableStyleElement type="firstRowStripe" dxfId="7"/>
      <tableStyleElement type="secondRowStripe" dxfId="6"/>
    </tableStyle>
    <tableStyle name="BoP-style 7" pivot="0" count="3" xr9:uid="{00000000-0011-0000-FFFF-FFFF31000000}">
      <tableStyleElement type="headerRow" dxfId="5"/>
      <tableStyleElement type="firstRowStripe" dxfId="4"/>
      <tableStyleElement type="secondRowStripe" dxfId="3"/>
    </tableStyle>
    <tableStyle name="BoP-style 8" pivot="0" count="3" xr9:uid="{00000000-0011-0000-FFFF-FFFF3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BJ2:BK1000">
  <tableColumns count="2">
    <tableColumn id="1" xr3:uid="{00000000-0010-0000-1100-000001000000}" name="(WK) DateGMT"/>
    <tableColumn id="2" xr3:uid="{00000000-0010-0000-1100-000002000000}" name="(WK) TimeGMT"/>
  </tableColumns>
  <tableStyleInfo name="Waikato-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A2:AU1000">
  <tableColumns count="21">
    <tableColumn id="1" xr3:uid="{00000000-0010-0000-1A00-000001000000}" name="(VHF_Tr) Eastings One"/>
    <tableColumn id="2" xr3:uid="{00000000-0010-0000-1A00-000002000000}" name="(VHF_Tr) Northings One"/>
    <tableColumn id="3" xr3:uid="{00000000-0010-0000-1A00-000003000000}" name="(VHF_Tr) Bearing One"/>
    <tableColumn id="4" xr3:uid="{00000000-0010-0000-1A00-000004000000}" name="(VHF_Tr) Distance One"/>
    <tableColumn id="5" xr3:uid="{00000000-0010-0000-1A00-000005000000}" name="(VHF_Tr) Eastings Two"/>
    <tableColumn id="6" xr3:uid="{00000000-0010-0000-1A00-000006000000}" name="(VHF_Tr) NorthingsTwo"/>
    <tableColumn id="7" xr3:uid="{00000000-0010-0000-1A00-000007000000}" name="(VHF_Tr) Bearing Two"/>
    <tableColumn id="8" xr3:uid="{00000000-0010-0000-1A00-000008000000}" name="(VHF_Tr) Distance Two"/>
    <tableColumn id="9" xr3:uid="{00000000-0010-0000-1A00-000009000000}" name="(VHF_Tr) Eastings Three"/>
    <tableColumn id="10" xr3:uid="{00000000-0010-0000-1A00-00000A000000}" name="(VHF_Tr) Northings Three"/>
    <tableColumn id="11" xr3:uid="{00000000-0010-0000-1A00-00000B000000}" name="(VHF_Tr) Bearing Three"/>
    <tableColumn id="12" xr3:uid="{00000000-0010-0000-1A00-00000C000000}" name="(VHF_Tr) Distance Three"/>
    <tableColumn id="13" xr3:uid="{00000000-0010-0000-1A00-00000D000000}" name="(VHF_Tr) Eastings Four"/>
    <tableColumn id="14" xr3:uid="{00000000-0010-0000-1A00-00000E000000}" name="(VHF_Tr) Northings Four"/>
    <tableColumn id="15" xr3:uid="{00000000-0010-0000-1A00-00000F000000}" name="(VHF_Tr) Bearing Four"/>
    <tableColumn id="16" xr3:uid="{00000000-0010-0000-1A00-000010000000}" name="(VHF_Tr) Distance Four"/>
    <tableColumn id="17" xr3:uid="{00000000-0010-0000-1A00-000011000000}" name="(VHF_Tr) Eastings Five"/>
    <tableColumn id="18" xr3:uid="{00000000-0010-0000-1A00-000012000000}" name="(VHF_Tr) Northings Five"/>
    <tableColumn id="19" xr3:uid="{00000000-0010-0000-1A00-000013000000}" name="(VHF_Tr) Bearing Five"/>
    <tableColumn id="20" xr3:uid="{00000000-0010-0000-1A00-000014000000}" name="(VHF_Tr) Distance Five"/>
    <tableColumn id="21" xr3:uid="{00000000-0010-0000-1A00-000015000000}" name="(VHF_Tr) Notes"/>
  </tableColumns>
  <tableStyleInfo name="Waikato-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B1000">
  <tableColumns count="2">
    <tableColumn id="1" xr3:uid="{00000000-0010-0000-2B00-000001000000}" name="Timestamp"/>
    <tableColumn id="2" xr3:uid="{00000000-0010-0000-2B00-000002000000}" name="Which region was your matuku caught in?"/>
  </tableColumns>
  <tableStyleInfo name="BoP-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V1:AY999">
  <tableColumns count="4">
    <tableColumn id="1" xr3:uid="{00000000-0010-0000-2C00-000001000000}" name="(VHF_MT) What pulse rate did you find?"/>
    <tableColumn id="2" xr3:uid="{00000000-0010-0000-2C00-000002000000}" name="(VHF_MT) Eastings"/>
    <tableColumn id="3" xr3:uid="{00000000-0010-0000-2C00-000003000000}" name="(VHF_MT) Northings"/>
    <tableColumn id="4" xr3:uid="{00000000-0010-0000-2C00-000004000000}" name="(VHF_MT) Notes"/>
  </tableColumns>
  <tableStyleInfo name="BoP-style 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C1:G1000">
  <tableColumns count="5">
    <tableColumn id="1" xr3:uid="{00000000-0010-0000-2D00-000001000000}" name="(BP) Bird ID"/>
    <tableColumn id="2" xr3:uid="{00000000-0010-0000-2D00-000002000000}" name="(BP) Date"/>
    <tableColumn id="3" xr3:uid="{00000000-0010-0000-2D00-000003000000}" name="(BP) Time"/>
    <tableColumn id="4" xr3:uid="{00000000-0010-0000-2D00-000004000000}" name="(BP) Location"/>
    <tableColumn id="6" xr3:uid="{00000000-0010-0000-2D00-000006000000}" name="(BP) What location method did you use?"/>
  </tableColumns>
  <tableStyleInfo name="BoP-style 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L1:Z999">
  <tableColumns count="15">
    <tableColumn id="1" xr3:uid="{00000000-0010-0000-2E00-000001000000}" name="(VHF_CA) Did you see the bird?"/>
    <tableColumn id="2" xr3:uid="{00000000-0010-0000-2E00-000002000000}" name="(VHF_CA) Eastings"/>
    <tableColumn id="3" xr3:uid="{00000000-0010-0000-2E00-000003000000}" name="(VHF_CA)  Northings"/>
    <tableColumn id="4" xr3:uid="{00000000-0010-0000-2E00-000004000000}" name="(VHF CA) How to get a waypoint for your bird using a map"/>
    <tableColumn id="5" xr3:uid="{00000000-0010-0000-2E00-000005000000}" name="(VHF_CA) If grazed, was stock present at the time of the observation?"/>
    <tableColumn id="6" xr3:uid="{00000000-0010-0000-2E00-000006000000}" name="(VHF_CA) Wet/dry?"/>
    <tableColumn id="7" xr3:uid="{00000000-0010-0000-2E00-000007000000}" name="(VHF_CA) Water depth at bird"/>
    <tableColumn id="8" xr3:uid="{00000000-0010-0000-2E00-000008000000}" name="(VHF_CA) Distance to nearest water"/>
    <tableColumn id="9" xr3:uid="{00000000-0010-0000-2E00-000009000000}" name="(VHF_CA) Exact habitat"/>
    <tableColumn id="10" xr3:uid="{00000000-0010-0000-2E00-00000A000000}" name="(VHF_CA) Notes"/>
    <tableColumn id="11" xr3:uid="{00000000-0010-0000-2E00-00000B000000}" name="(VHF CA) If grazed, was stock present at the time of the observation?"/>
    <tableColumn id="12" xr3:uid="{00000000-0010-0000-2E00-00000C000000}" name="(VHF CA) Wet/dry?"/>
    <tableColumn id="13" xr3:uid="{00000000-0010-0000-2E00-00000D000000}" name="(VHF CA) Water depth at bird"/>
    <tableColumn id="14" xr3:uid="{00000000-0010-0000-2E00-00000E000000}" name="(VHF CA) Distance to nearest water"/>
    <tableColumn id="15" xr3:uid="{00000000-0010-0000-2E00-00000F000000}" name="(VHF CA) Exact habitat"/>
  </tableColumns>
  <tableStyleInfo name="BoP-style 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Z1:BC999">
  <tableColumns count="4">
    <tableColumn id="1" xr3:uid="{00000000-0010-0000-2F00-000001000000}" name="(GPS) What was the accuracy of the fix?"/>
    <tableColumn id="2" xr3:uid="{00000000-0010-0000-2F00-000002000000}" name="(GPS) Eastings"/>
    <tableColumn id="3" xr3:uid="{00000000-0010-0000-2F00-000003000000}" name="(GPS) Northings"/>
    <tableColumn id="4" xr3:uid="{00000000-0010-0000-2F00-000004000000}" name="(GPS) Notes"/>
  </tableColumns>
  <tableStyleInfo name="BoP-style 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A1:AU999">
  <tableColumns count="21">
    <tableColumn id="1" xr3:uid="{00000000-0010-0000-3000-000001000000}" name="(VHF_Tr) Eastings One"/>
    <tableColumn id="2" xr3:uid="{00000000-0010-0000-3000-000002000000}" name="(VHF_Tr) Northings One"/>
    <tableColumn id="3" xr3:uid="{00000000-0010-0000-3000-000003000000}" name="(VHF_Tr) Bearing One"/>
    <tableColumn id="4" xr3:uid="{00000000-0010-0000-3000-000004000000}" name="(VHF_Tr) Distance One"/>
    <tableColumn id="5" xr3:uid="{00000000-0010-0000-3000-000005000000}" name="(VHF_Tr) Eastings Two"/>
    <tableColumn id="6" xr3:uid="{00000000-0010-0000-3000-000006000000}" name="(VHF_Tr) NorthingsTwo"/>
    <tableColumn id="7" xr3:uid="{00000000-0010-0000-3000-000007000000}" name="(VHF_Tr) Bearing Two"/>
    <tableColumn id="8" xr3:uid="{00000000-0010-0000-3000-000008000000}" name="(VHF_Tr) Distance Two"/>
    <tableColumn id="9" xr3:uid="{00000000-0010-0000-3000-000009000000}" name="(VHF_Tr) Eastings Three"/>
    <tableColumn id="10" xr3:uid="{00000000-0010-0000-3000-00000A000000}" name="(VHF_Tr) Northings Three"/>
    <tableColumn id="11" xr3:uid="{00000000-0010-0000-3000-00000B000000}" name="(VHF_Tr) Bearing Three"/>
    <tableColumn id="12" xr3:uid="{00000000-0010-0000-3000-00000C000000}" name="(VHF_Tr) Distance Three"/>
    <tableColumn id="13" xr3:uid="{00000000-0010-0000-3000-00000D000000}" name="(VHF_Tr) Eastings Four"/>
    <tableColumn id="14" xr3:uid="{00000000-0010-0000-3000-00000E000000}" name="(VHF_Tr) Northings Four"/>
    <tableColumn id="15" xr3:uid="{00000000-0010-0000-3000-00000F000000}" name="(VHF_Tr) Bearing Four"/>
    <tableColumn id="16" xr3:uid="{00000000-0010-0000-3000-000010000000}" name="(VHF_Tr) Distance Four"/>
    <tableColumn id="17" xr3:uid="{00000000-0010-0000-3000-000011000000}" name="(VHF_Tr) Eastings Five"/>
    <tableColumn id="18" xr3:uid="{00000000-0010-0000-3000-000012000000}" name="(VHF_Tr) Northings Five"/>
    <tableColumn id="19" xr3:uid="{00000000-0010-0000-3000-000013000000}" name="(VHF_Tr) Bearing Five"/>
    <tableColumn id="20" xr3:uid="{00000000-0010-0000-3000-000014000000}" name="(VHF_Tr) Distance Five"/>
    <tableColumn id="21" xr3:uid="{00000000-0010-0000-3000-000015000000}" name="(VHF_Tr) Notes"/>
  </tableColumns>
  <tableStyleInfo name="BoP-style 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BD1:BE999">
  <tableColumns count="2">
    <tableColumn id="1" xr3:uid="{00000000-0010-0000-3100-000001000000}" name="(AWOL) Where did you look?"/>
    <tableColumn id="2" xr3:uid="{00000000-0010-0000-3100-000002000000}" name="(AWOL) Notes"/>
  </tableColumns>
  <tableStyleInfo name="BoP-style 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H1:K999">
  <tableColumns count="4">
    <tableColumn id="1" xr3:uid="{00000000-0010-0000-3200-000001000000}" name="(SAT) What was the accuracy of the fix?"/>
    <tableColumn id="2" xr3:uid="{00000000-0010-0000-3200-000002000000}" name="(SAT) Eastings"/>
    <tableColumn id="3" xr3:uid="{00000000-0010-0000-3200-000003000000}" name="(SAT) Northings"/>
    <tableColumn id="4" xr3:uid="{00000000-0010-0000-3200-000004000000}" name="(SAT) Notes"/>
  </tableColumns>
  <tableStyleInfo name="BoP-style 8"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BH2:BI1000">
  <tableColumns count="2">
    <tableColumn id="1" xr3:uid="{00000000-0010-0000-1200-000001000000}" name="(SAT) Lat"/>
    <tableColumn id="2" xr3:uid="{00000000-0010-0000-1200-000002000000}" name="(SAT) Long"/>
  </tableColumns>
  <tableStyleInfo name="Waikato-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H2:K1000">
  <tableColumns count="4">
    <tableColumn id="1" xr3:uid="{00000000-0010-0000-1300-000001000000}" name="(SAT) What was the accuracy of the fix?"/>
    <tableColumn id="2" xr3:uid="{00000000-0010-0000-1300-000002000000}" name="(SAT) Eastings"/>
    <tableColumn id="3" xr3:uid="{00000000-0010-0000-1300-000003000000}" name="(SAT) Northings"/>
    <tableColumn id="4" xr3:uid="{00000000-0010-0000-1300-000004000000}" name="(SAT) Notes"/>
  </tableColumns>
  <tableStyleInfo name="Waikato-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Z2:BC1000">
  <tableColumns count="4">
    <tableColumn id="1" xr3:uid="{00000000-0010-0000-1400-000001000000}" name="(GPS) What was the accuracy of the fix?"/>
    <tableColumn id="2" xr3:uid="{00000000-0010-0000-1400-000002000000}" name="(GPS) Eastings"/>
    <tableColumn id="3" xr3:uid="{00000000-0010-0000-1400-000003000000}" name="(GPS) Northings"/>
    <tableColumn id="4" xr3:uid="{00000000-0010-0000-1400-000004000000}" name="(GPS) Notes"/>
  </tableColumns>
  <tableStyleInfo name="Waikato-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2:B1000">
  <tableColumns count="2">
    <tableColumn id="1" xr3:uid="{00000000-0010-0000-1500-000001000000}" name="Timestamp"/>
    <tableColumn id="2" xr3:uid="{00000000-0010-0000-1500-000002000000}" name="Which region was your matuku caught in?"/>
  </tableColumns>
  <tableStyleInfo name="Waikato-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BD2:BE1000">
  <tableColumns count="2">
    <tableColumn id="1" xr3:uid="{00000000-0010-0000-1600-000001000000}" name="(AWOL) Where did you look?"/>
    <tableColumn id="2" xr3:uid="{00000000-0010-0000-1600-000002000000}" name="(AWOL) Notes"/>
  </tableColumns>
  <tableStyleInfo name="Waikato-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C2:G1000">
  <tableColumns count="5">
    <tableColumn id="1" xr3:uid="{00000000-0010-0000-1700-000001000000}" name="(WK) Bird ID"/>
    <tableColumn id="2" xr3:uid="{00000000-0010-0000-1700-000002000000}" name="(WK) Date"/>
    <tableColumn id="3" xr3:uid="{00000000-0010-0000-1700-000003000000}" name="(WK) Time"/>
    <tableColumn id="4" xr3:uid="{00000000-0010-0000-1700-000004000000}" name="(WK) Location"/>
    <tableColumn id="6" xr3:uid="{00000000-0010-0000-1700-000006000000}" name="(WK) What location method did you use?"/>
  </tableColumns>
  <tableStyleInfo name="Waikato-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L2:Z1000">
  <tableColumns count="15">
    <tableColumn id="1" xr3:uid="{00000000-0010-0000-1800-000001000000}" name="(VHF_CA) Did you see the bird?"/>
    <tableColumn id="2" xr3:uid="{00000000-0010-0000-1800-000002000000}" name="(VHF_CA) Eastings"/>
    <tableColumn id="3" xr3:uid="{00000000-0010-0000-1800-000003000000}" name="(VHF_CA)  Northings"/>
    <tableColumn id="4" xr3:uid="{00000000-0010-0000-1800-000004000000}" name="(VHF CA) How to get a waypoint for your bird using a map"/>
    <tableColumn id="5" xr3:uid="{00000000-0010-0000-1800-000005000000}" name="(VHF_CA) If grazed, was stock present at the time of the observation?"/>
    <tableColumn id="6" xr3:uid="{00000000-0010-0000-1800-000006000000}" name="(VHF_CA) Wet/dry?"/>
    <tableColumn id="7" xr3:uid="{00000000-0010-0000-1800-000007000000}" name="(VHF_CA) Water depth at bird"/>
    <tableColumn id="8" xr3:uid="{00000000-0010-0000-1800-000008000000}" name="(VHF_CA) Distance to nearest water"/>
    <tableColumn id="9" xr3:uid="{00000000-0010-0000-1800-000009000000}" name="(VHF_CA) Exact habitat"/>
    <tableColumn id="10" xr3:uid="{00000000-0010-0000-1800-00000A000000}" name="(VHF_CA) Notes"/>
    <tableColumn id="11" xr3:uid="{00000000-0010-0000-1800-00000B000000}" name="(VHF CA) If grazed, was stock present at the time of the observation?"/>
    <tableColumn id="12" xr3:uid="{00000000-0010-0000-1800-00000C000000}" name="(VHF CA) Wet/dry?"/>
    <tableColumn id="13" xr3:uid="{00000000-0010-0000-1800-00000D000000}" name="(VHF CA) Water depth at bird"/>
    <tableColumn id="14" xr3:uid="{00000000-0010-0000-1800-00000E000000}" name="(VHF CA) Distance to nearest water"/>
    <tableColumn id="15" xr3:uid="{00000000-0010-0000-1800-00000F000000}" name="(VHF CA) Exact habitat"/>
  </tableColumns>
  <tableStyleInfo name="Waikato-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V2:AY1000">
  <tableColumns count="4">
    <tableColumn id="1" xr3:uid="{00000000-0010-0000-1900-000001000000}" name="(VHF_MT) What pulse rate did you find?"/>
    <tableColumn id="2" xr3:uid="{00000000-0010-0000-1900-000002000000}" name="(VHF_MT) Eastings"/>
    <tableColumn id="3" xr3:uid="{00000000-0010-0000-1900-000003000000}" name="(VHF_MT) Northings"/>
    <tableColumn id="4" xr3:uid="{00000000-0010-0000-1900-000004000000}" name="(VHF_MT) Notes"/>
  </tableColumns>
  <tableStyleInfo name="Waikato-style 9"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K1000"/>
  <sheetViews>
    <sheetView tabSelected="1" workbookViewId="0">
      <pane ySplit="2" topLeftCell="A3" activePane="bottomLeft" state="frozen"/>
      <selection pane="bottomLeft"/>
    </sheetView>
  </sheetViews>
  <sheetFormatPr defaultColWidth="14.453125" defaultRowHeight="15.75" customHeight="1" x14ac:dyDescent="0.25"/>
  <cols>
    <col min="2" max="2" width="9.81640625" customWidth="1"/>
    <col min="3" max="3" width="8.26953125" customWidth="1"/>
    <col min="4" max="4" width="11.1796875" customWidth="1"/>
    <col min="5" max="5" width="9" customWidth="1"/>
    <col min="7" max="7" width="63.81640625" customWidth="1"/>
    <col min="62" max="62" width="11.1796875" customWidth="1"/>
    <col min="63" max="63" width="9" customWidth="1"/>
  </cols>
  <sheetData>
    <row r="1" spans="1:63" ht="15.75" customHeight="1" x14ac:dyDescent="0.35">
      <c r="A1" s="15" t="s">
        <v>1</v>
      </c>
    </row>
    <row r="2" spans="1:63" ht="15.75" customHeight="1" x14ac:dyDescent="0.25">
      <c r="A2" s="1" t="str">
        <f ca="1">IFERROR(__xludf.DUMMYFUNCTION("query('All responses'!A:CA, "" select A,B,O,P,Q,R,S,T where B = 'Waikato' "",1 )"),"Timestamp")</f>
        <v>Timestamp</v>
      </c>
      <c r="B2" s="1" t="str">
        <f ca="1">IFERROR(__xludf.DUMMYFUNCTION("""COMPUTED_VALUE"""),"Which region was your matuku caught in?")</f>
        <v>Which region was your matuku caught in?</v>
      </c>
      <c r="C2" s="1" t="str">
        <f ca="1">IFERROR(__xludf.DUMMYFUNCTION("""COMPUTED_VALUE"""),"(WK) Bird ID")</f>
        <v>(WK) Bird ID</v>
      </c>
      <c r="D2" s="1" t="str">
        <f ca="1">IFERROR(__xludf.DUMMYFUNCTION("""COMPUTED_VALUE"""),"(WK) Date")</f>
        <v>(WK) Date</v>
      </c>
      <c r="E2" s="1" t="str">
        <f ca="1">IFERROR(__xludf.DUMMYFUNCTION("""COMPUTED_VALUE"""),"(WK) Time")</f>
        <v>(WK) Time</v>
      </c>
      <c r="F2" s="1" t="str">
        <f ca="1">IFERROR(__xludf.DUMMYFUNCTION("""COMPUTED_VALUE"""),"(WK) Location")</f>
        <v>(WK) Location</v>
      </c>
      <c r="G2" s="1" t="str">
        <f ca="1">IFERROR(__xludf.DUMMYFUNCTION("""COMPUTED_VALUE"""),"(WK) What location method did you use?")</f>
        <v>(WK) What location method did you use?</v>
      </c>
      <c r="H2" s="2" t="str">
        <f ca="1">IFERROR(__xludf.DUMMYFUNCTION("query('All responses'!A1:CU999,"" select AA,AB,AC,AD,AE,AF,AG,AH,AI,AJ,AK,AL,AM,AN,AO,AP,AQ,AR,AS,AT,AU,AV,AW,AX,AY,AZ,BA,BB,BC,BD,BE,BF,BG,BH,BI,BJ,BK,BL,BM,BN,BO,BP,BQ,BR,BS,BT,BU,BV,BW,BX,BZ,CA,CB,CC,CD,CE where B = 'Waikato' "",1)"),"(SAT) What was the accuracy of the fix?")</f>
        <v>(SAT) What was the accuracy of the fix?</v>
      </c>
      <c r="I2" s="2" t="str">
        <f ca="1">IFERROR(__xludf.DUMMYFUNCTION("""COMPUTED_VALUE"""),"(SAT) Eastings")</f>
        <v>(SAT) Eastings</v>
      </c>
      <c r="J2" s="2" t="str">
        <f ca="1">IFERROR(__xludf.DUMMYFUNCTION("""COMPUTED_VALUE"""),"(SAT) Northings")</f>
        <v>(SAT) Northings</v>
      </c>
      <c r="K2" s="2" t="str">
        <f ca="1">IFERROR(__xludf.DUMMYFUNCTION("""COMPUTED_VALUE"""),"(SAT) Notes")</f>
        <v>(SAT) Notes</v>
      </c>
      <c r="L2" s="2" t="str">
        <f ca="1">IFERROR(__xludf.DUMMYFUNCTION("""COMPUTED_VALUE"""),"(VHF_CA) Did you see the bird?")</f>
        <v>(VHF_CA) Did you see the bird?</v>
      </c>
      <c r="M2" s="2" t="str">
        <f ca="1">IFERROR(__xludf.DUMMYFUNCTION("""COMPUTED_VALUE"""),"(VHF_CA) Eastings")</f>
        <v>(VHF_CA) Eastings</v>
      </c>
      <c r="N2" s="2" t="str">
        <f ca="1">IFERROR(__xludf.DUMMYFUNCTION("""COMPUTED_VALUE"""),"(VHF_CA)  Northings")</f>
        <v>(VHF_CA)  Northings</v>
      </c>
      <c r="O2" s="2" t="str">
        <f ca="1">IFERROR(__xludf.DUMMYFUNCTION("""COMPUTED_VALUE"""),"(VHF CA) How to get a waypoint for your bird using a map")</f>
        <v>(VHF CA) How to get a waypoint for your bird using a map</v>
      </c>
      <c r="P2" s="2" t="str">
        <f ca="1">IFERROR(__xludf.DUMMYFUNCTION("""COMPUTED_VALUE"""),"(VHF_CA) If grazed, was stock present at the time of the observation?")</f>
        <v>(VHF_CA) If grazed, was stock present at the time of the observation?</v>
      </c>
      <c r="Q2" s="2" t="str">
        <f ca="1">IFERROR(__xludf.DUMMYFUNCTION("""COMPUTED_VALUE"""),"(VHF_CA) Wet/dry?")</f>
        <v>(VHF_CA) Wet/dry?</v>
      </c>
      <c r="R2" s="2" t="str">
        <f ca="1">IFERROR(__xludf.DUMMYFUNCTION("""COMPUTED_VALUE"""),"(VHF_CA) Water depth at bird")</f>
        <v>(VHF_CA) Water depth at bird</v>
      </c>
      <c r="S2" s="2" t="str">
        <f ca="1">IFERROR(__xludf.DUMMYFUNCTION("""COMPUTED_VALUE"""),"(VHF_CA) Distance to nearest water")</f>
        <v>(VHF_CA) Distance to nearest water</v>
      </c>
      <c r="T2" s="2" t="str">
        <f ca="1">IFERROR(__xludf.DUMMYFUNCTION("""COMPUTED_VALUE"""),"(VHF_CA) Exact habitat")</f>
        <v>(VHF_CA) Exact habitat</v>
      </c>
      <c r="U2" s="2" t="str">
        <f ca="1">IFERROR(__xludf.DUMMYFUNCTION("""COMPUTED_VALUE"""),"(VHF_CA) Notes")</f>
        <v>(VHF_CA) Notes</v>
      </c>
      <c r="V2" s="2" t="str">
        <f ca="1">IFERROR(__xludf.DUMMYFUNCTION("""COMPUTED_VALUE"""),"(VHF CA) If grazed, was stock present at the time of the observation?")</f>
        <v>(VHF CA) If grazed, was stock present at the time of the observation?</v>
      </c>
      <c r="W2" s="2" t="str">
        <f ca="1">IFERROR(__xludf.DUMMYFUNCTION("""COMPUTED_VALUE"""),"(VHF CA) Wet/dry?")</f>
        <v>(VHF CA) Wet/dry?</v>
      </c>
      <c r="X2" s="2" t="str">
        <f ca="1">IFERROR(__xludf.DUMMYFUNCTION("""COMPUTED_VALUE"""),"(VHF CA) Water depth at bird")</f>
        <v>(VHF CA) Water depth at bird</v>
      </c>
      <c r="Y2" s="2" t="str">
        <f ca="1">IFERROR(__xludf.DUMMYFUNCTION("""COMPUTED_VALUE"""),"(VHF CA) Distance to nearest water")</f>
        <v>(VHF CA) Distance to nearest water</v>
      </c>
      <c r="Z2" s="2" t="str">
        <f ca="1">IFERROR(__xludf.DUMMYFUNCTION("""COMPUTED_VALUE"""),"(VHF CA) Exact habitat")</f>
        <v>(VHF CA) Exact habitat</v>
      </c>
      <c r="AA2" s="2" t="str">
        <f ca="1">IFERROR(__xludf.DUMMYFUNCTION("""COMPUTED_VALUE"""),"(VHF_Tr) Eastings One")</f>
        <v>(VHF_Tr) Eastings One</v>
      </c>
      <c r="AB2" s="2" t="str">
        <f ca="1">IFERROR(__xludf.DUMMYFUNCTION("""COMPUTED_VALUE"""),"(VHF_Tr) Northings One")</f>
        <v>(VHF_Tr) Northings One</v>
      </c>
      <c r="AC2" s="2" t="str">
        <f ca="1">IFERROR(__xludf.DUMMYFUNCTION("""COMPUTED_VALUE"""),"(VHF_Tr) Bearing One")</f>
        <v>(VHF_Tr) Bearing One</v>
      </c>
      <c r="AD2" s="2" t="str">
        <f ca="1">IFERROR(__xludf.DUMMYFUNCTION("""COMPUTED_VALUE"""),"(VHF_Tr) Distance One")</f>
        <v>(VHF_Tr) Distance One</v>
      </c>
      <c r="AE2" s="2" t="str">
        <f ca="1">IFERROR(__xludf.DUMMYFUNCTION("""COMPUTED_VALUE"""),"(VHF_Tr) Eastings Two")</f>
        <v>(VHF_Tr) Eastings Two</v>
      </c>
      <c r="AF2" s="2" t="str">
        <f ca="1">IFERROR(__xludf.DUMMYFUNCTION("""COMPUTED_VALUE"""),"(VHF_Tr) NorthingsTwo")</f>
        <v>(VHF_Tr) NorthingsTwo</v>
      </c>
      <c r="AG2" s="2" t="str">
        <f ca="1">IFERROR(__xludf.DUMMYFUNCTION("""COMPUTED_VALUE"""),"(VHF_Tr) Bearing Two")</f>
        <v>(VHF_Tr) Bearing Two</v>
      </c>
      <c r="AH2" s="2" t="str">
        <f ca="1">IFERROR(__xludf.DUMMYFUNCTION("""COMPUTED_VALUE"""),"(VHF_Tr) Distance Two")</f>
        <v>(VHF_Tr) Distance Two</v>
      </c>
      <c r="AI2" s="2" t="str">
        <f ca="1">IFERROR(__xludf.DUMMYFUNCTION("""COMPUTED_VALUE"""),"(VHF_Tr) Eastings Three")</f>
        <v>(VHF_Tr) Eastings Three</v>
      </c>
      <c r="AJ2" s="2" t="str">
        <f ca="1">IFERROR(__xludf.DUMMYFUNCTION("""COMPUTED_VALUE"""),"(VHF_Tr) Northings Three")</f>
        <v>(VHF_Tr) Northings Three</v>
      </c>
      <c r="AK2" s="2" t="str">
        <f ca="1">IFERROR(__xludf.DUMMYFUNCTION("""COMPUTED_VALUE"""),"(VHF_Tr) Bearing Three")</f>
        <v>(VHF_Tr) Bearing Three</v>
      </c>
      <c r="AL2" s="2" t="str">
        <f ca="1">IFERROR(__xludf.DUMMYFUNCTION("""COMPUTED_VALUE"""),"(VHF_Tr) Distance Three")</f>
        <v>(VHF_Tr) Distance Three</v>
      </c>
      <c r="AM2" s="2" t="str">
        <f ca="1">IFERROR(__xludf.DUMMYFUNCTION("""COMPUTED_VALUE"""),"(VHF_Tr) Eastings Four")</f>
        <v>(VHF_Tr) Eastings Four</v>
      </c>
      <c r="AN2" s="2" t="str">
        <f ca="1">IFERROR(__xludf.DUMMYFUNCTION("""COMPUTED_VALUE"""),"(VHF_Tr) Northings Four")</f>
        <v>(VHF_Tr) Northings Four</v>
      </c>
      <c r="AO2" s="2" t="str">
        <f ca="1">IFERROR(__xludf.DUMMYFUNCTION("""COMPUTED_VALUE"""),"(VHF_Tr) Bearing Four")</f>
        <v>(VHF_Tr) Bearing Four</v>
      </c>
      <c r="AP2" s="2" t="str">
        <f ca="1">IFERROR(__xludf.DUMMYFUNCTION("""COMPUTED_VALUE"""),"(VHF_Tr) Distance Four")</f>
        <v>(VHF_Tr) Distance Four</v>
      </c>
      <c r="AQ2" s="2" t="str">
        <f ca="1">IFERROR(__xludf.DUMMYFUNCTION("""COMPUTED_VALUE"""),"(VHF_Tr) Eastings Five")</f>
        <v>(VHF_Tr) Eastings Five</v>
      </c>
      <c r="AR2" s="2" t="str">
        <f ca="1">IFERROR(__xludf.DUMMYFUNCTION("""COMPUTED_VALUE"""),"(VHF_Tr) Northings Five")</f>
        <v>(VHF_Tr) Northings Five</v>
      </c>
      <c r="AS2" s="2" t="str">
        <f ca="1">IFERROR(__xludf.DUMMYFUNCTION("""COMPUTED_VALUE"""),"(VHF_Tr) Bearing Five")</f>
        <v>(VHF_Tr) Bearing Five</v>
      </c>
      <c r="AT2" s="2" t="str">
        <f ca="1">IFERROR(__xludf.DUMMYFUNCTION("""COMPUTED_VALUE"""),"(VHF_Tr) Distance Five")</f>
        <v>(VHF_Tr) Distance Five</v>
      </c>
      <c r="AU2" s="2" t="str">
        <f ca="1">IFERROR(__xludf.DUMMYFUNCTION("""COMPUTED_VALUE"""),"(VHF_Tr) Notes")</f>
        <v>(VHF_Tr) Notes</v>
      </c>
      <c r="AV2" s="2" t="str">
        <f ca="1">IFERROR(__xludf.DUMMYFUNCTION("""COMPUTED_VALUE"""),"(VHF_MT) What pulse rate did you find?")</f>
        <v>(VHF_MT) What pulse rate did you find?</v>
      </c>
      <c r="AW2" s="2" t="str">
        <f ca="1">IFERROR(__xludf.DUMMYFUNCTION("""COMPUTED_VALUE"""),"(VHF_MT) Eastings")</f>
        <v>(VHF_MT) Eastings</v>
      </c>
      <c r="AX2" s="2" t="str">
        <f ca="1">IFERROR(__xludf.DUMMYFUNCTION("""COMPUTED_VALUE"""),"(VHF_MT) Northings")</f>
        <v>(VHF_MT) Northings</v>
      </c>
      <c r="AY2" s="2" t="str">
        <f ca="1">IFERROR(__xludf.DUMMYFUNCTION("""COMPUTED_VALUE"""),"(VHF_MT) Notes")</f>
        <v>(VHF_MT) Notes</v>
      </c>
      <c r="AZ2" s="2" t="str">
        <f ca="1">IFERROR(__xludf.DUMMYFUNCTION("""COMPUTED_VALUE"""),"(GPS) What was the accuracy of the fix?")</f>
        <v>(GPS) What was the accuracy of the fix?</v>
      </c>
      <c r="BA2" s="2" t="str">
        <f ca="1">IFERROR(__xludf.DUMMYFUNCTION("""COMPUTED_VALUE"""),"(GPS) Eastings")</f>
        <v>(GPS) Eastings</v>
      </c>
      <c r="BB2" s="2" t="str">
        <f ca="1">IFERROR(__xludf.DUMMYFUNCTION("""COMPUTED_VALUE"""),"(GPS) Northings")</f>
        <v>(GPS) Northings</v>
      </c>
      <c r="BC2" s="2" t="str">
        <f ca="1">IFERROR(__xludf.DUMMYFUNCTION("""COMPUTED_VALUE"""),"(GPS) Notes")</f>
        <v>(GPS) Notes</v>
      </c>
      <c r="BD2" s="2" t="str">
        <f ca="1">IFERROR(__xludf.DUMMYFUNCTION("""COMPUTED_VALUE"""),"(AWOL) Where did you look?")</f>
        <v>(AWOL) Where did you look?</v>
      </c>
      <c r="BE2" s="2" t="str">
        <f ca="1">IFERROR(__xludf.DUMMYFUNCTION("""COMPUTED_VALUE"""),"(AWOL) Notes")</f>
        <v>(AWOL) Notes</v>
      </c>
      <c r="BF2" t="str">
        <f ca="1">IFERROR(__xludf.DUMMYFUNCTION("""COMPUTED_VALUE"""),"(Fly) Where did you look?")</f>
        <v>(Fly) Where did you look?</v>
      </c>
      <c r="BG2" t="str">
        <f ca="1">IFERROR(__xludf.DUMMYFUNCTION("""COMPUTED_VALUE"""),"(Fly) Notes")</f>
        <v>(Fly) Notes</v>
      </c>
      <c r="BH2" s="2" t="str">
        <f ca="1">IFERROR(__xludf.DUMMYFUNCTION("""COMPUTED_VALUE"""),"(SAT) Lat")</f>
        <v>(SAT) Lat</v>
      </c>
      <c r="BI2" s="11" t="str">
        <f ca="1">IFERROR(__xludf.DUMMYFUNCTION("""COMPUTED_VALUE"""),"(SAT) Long")</f>
        <v>(SAT) Long</v>
      </c>
      <c r="BJ2" s="1" t="str">
        <f ca="1">IFERROR(__xludf.DUMMYFUNCTION("""COMPUTED_VALUE"""),"(WK) DateGMT")</f>
        <v>(WK) DateGMT</v>
      </c>
      <c r="BK2" s="1" t="str">
        <f ca="1">IFERROR(__xludf.DUMMYFUNCTION("""COMPUTED_VALUE"""),"(WK) TimeGMT")</f>
        <v>(WK) TimeGMT</v>
      </c>
    </row>
    <row r="3" spans="1:63" ht="15.75" customHeight="1" x14ac:dyDescent="0.25">
      <c r="A3" s="7">
        <f ca="1">IFERROR(__xludf.DUMMYFUNCTION("""COMPUTED_VALUE"""),43115.9446255439)</f>
        <v>43115.944625543903</v>
      </c>
      <c r="B3" s="8" t="str">
        <f ca="1">IFERROR(__xludf.DUMMYFUNCTION("""COMPUTED_VALUE"""),"Waikato")</f>
        <v>Waikato</v>
      </c>
      <c r="C3" s="2" t="str">
        <f ca="1">IFERROR(__xludf.DUMMYFUNCTION("""COMPUTED_VALUE"""),"")</f>
        <v/>
      </c>
      <c r="D3" s="9">
        <f ca="1">IFERROR(__xludf.DUMMYFUNCTION("""COMPUTED_VALUE"""),43084)</f>
        <v>43084</v>
      </c>
      <c r="E3" s="4">
        <f ca="1">IFERROR(__xludf.DUMMYFUNCTION("""COMPUTED_VALUE"""),0.415277777778101)</f>
        <v>0.41527777777810099</v>
      </c>
      <c r="F3" s="2" t="s">
        <v>0</v>
      </c>
      <c r="G3" s="2" t="str">
        <f ca="1">IFERROR(__xludf.DUMMYFUNCTION("""COMPUTED_VALUE"""),"GPS: I converted data downloaded from ARGOS using Pinpoint software")</f>
        <v>GPS: I converted data downloaded from ARGOS using Pinpoint software</v>
      </c>
      <c r="H3" s="2" t="str">
        <f ca="1">IFERROR(__xludf.DUMMYFUNCTION("""COMPUTED_VALUE"""),"")</f>
        <v/>
      </c>
      <c r="I3" s="2" t="str">
        <f ca="1">IFERROR(__xludf.DUMMYFUNCTION("""COMPUTED_VALUE"""),"")</f>
        <v/>
      </c>
      <c r="J3" s="2" t="str">
        <f ca="1">IFERROR(__xludf.DUMMYFUNCTION("""COMPUTED_VALUE"""),"")</f>
        <v/>
      </c>
      <c r="K3" s="2" t="str">
        <f ca="1">IFERROR(__xludf.DUMMYFUNCTION("""COMPUTED_VALUE"""),"")</f>
        <v/>
      </c>
      <c r="L3" s="2" t="str">
        <f ca="1">IFERROR(__xludf.DUMMYFUNCTION("""COMPUTED_VALUE"""),"")</f>
        <v/>
      </c>
      <c r="M3" s="5" t="str">
        <f ca="1">IFERROR(__xludf.DUMMYFUNCTION("""COMPUTED_VALUE"""),"")</f>
        <v/>
      </c>
      <c r="N3" s="5" t="str">
        <f ca="1">IFERROR(__xludf.DUMMYFUNCTION("""COMPUTED_VALUE"""),"")</f>
        <v/>
      </c>
      <c r="O3" s="2" t="str">
        <f ca="1">IFERROR(__xludf.DUMMYFUNCTION("""COMPUTED_VALUE"""),"")</f>
        <v/>
      </c>
      <c r="P3" s="2" t="str">
        <f ca="1">IFERROR(__xludf.DUMMYFUNCTION("""COMPUTED_VALUE"""),"")</f>
        <v/>
      </c>
      <c r="Q3" s="2" t="str">
        <f ca="1">IFERROR(__xludf.DUMMYFUNCTION("""COMPUTED_VALUE"""),"")</f>
        <v/>
      </c>
      <c r="R3" s="2" t="str">
        <f ca="1">IFERROR(__xludf.DUMMYFUNCTION("""COMPUTED_VALUE"""),"")</f>
        <v/>
      </c>
      <c r="S3" s="2" t="str">
        <f ca="1">IFERROR(__xludf.DUMMYFUNCTION("""COMPUTED_VALUE"""),"")</f>
        <v/>
      </c>
      <c r="T3" s="2" t="str">
        <f ca="1">IFERROR(__xludf.DUMMYFUNCTION("""COMPUTED_VALUE"""),"")</f>
        <v/>
      </c>
      <c r="U3" s="2" t="str">
        <f ca="1">IFERROR(__xludf.DUMMYFUNCTION("""COMPUTED_VALUE"""),"")</f>
        <v/>
      </c>
      <c r="V3" s="2" t="str">
        <f ca="1">IFERROR(__xludf.DUMMYFUNCTION("""COMPUTED_VALUE"""),"")</f>
        <v/>
      </c>
      <c r="W3" s="2" t="str">
        <f ca="1">IFERROR(__xludf.DUMMYFUNCTION("""COMPUTED_VALUE"""),"")</f>
        <v/>
      </c>
      <c r="X3" s="2" t="str">
        <f ca="1">IFERROR(__xludf.DUMMYFUNCTION("""COMPUTED_VALUE"""),"")</f>
        <v/>
      </c>
      <c r="Y3" s="2" t="str">
        <f ca="1">IFERROR(__xludf.DUMMYFUNCTION("""COMPUTED_VALUE"""),"")</f>
        <v/>
      </c>
      <c r="Z3" s="2" t="str">
        <f ca="1">IFERROR(__xludf.DUMMYFUNCTION("""COMPUTED_VALUE"""),"")</f>
        <v/>
      </c>
      <c r="AA3" s="2" t="str">
        <f ca="1">IFERROR(__xludf.DUMMYFUNCTION("""COMPUTED_VALUE"""),"")</f>
        <v/>
      </c>
      <c r="AB3" s="2" t="str">
        <f ca="1">IFERROR(__xludf.DUMMYFUNCTION("""COMPUTED_VALUE"""),"")</f>
        <v/>
      </c>
      <c r="AC3" s="2" t="str">
        <f ca="1">IFERROR(__xludf.DUMMYFUNCTION("""COMPUTED_VALUE"""),"")</f>
        <v/>
      </c>
      <c r="AD3" s="2" t="str">
        <f ca="1">IFERROR(__xludf.DUMMYFUNCTION("""COMPUTED_VALUE"""),"")</f>
        <v/>
      </c>
      <c r="AE3" s="2" t="str">
        <f ca="1">IFERROR(__xludf.DUMMYFUNCTION("""COMPUTED_VALUE"""),"")</f>
        <v/>
      </c>
      <c r="AF3" s="2" t="str">
        <f ca="1">IFERROR(__xludf.DUMMYFUNCTION("""COMPUTED_VALUE"""),"")</f>
        <v/>
      </c>
      <c r="AG3" s="2" t="str">
        <f ca="1">IFERROR(__xludf.DUMMYFUNCTION("""COMPUTED_VALUE"""),"")</f>
        <v/>
      </c>
      <c r="AH3" s="2" t="str">
        <f ca="1">IFERROR(__xludf.DUMMYFUNCTION("""COMPUTED_VALUE"""),"")</f>
        <v/>
      </c>
      <c r="AI3" s="2" t="str">
        <f ca="1">IFERROR(__xludf.DUMMYFUNCTION("""COMPUTED_VALUE"""),"")</f>
        <v/>
      </c>
      <c r="AJ3" s="2" t="str">
        <f ca="1">IFERROR(__xludf.DUMMYFUNCTION("""COMPUTED_VALUE"""),"")</f>
        <v/>
      </c>
      <c r="AK3" s="2" t="str">
        <f ca="1">IFERROR(__xludf.DUMMYFUNCTION("""COMPUTED_VALUE"""),"")</f>
        <v/>
      </c>
      <c r="AL3" s="2" t="str">
        <f ca="1">IFERROR(__xludf.DUMMYFUNCTION("""COMPUTED_VALUE"""),"")</f>
        <v/>
      </c>
      <c r="AM3" s="2" t="str">
        <f ca="1">IFERROR(__xludf.DUMMYFUNCTION("""COMPUTED_VALUE"""),"")</f>
        <v/>
      </c>
      <c r="AN3" s="2" t="str">
        <f ca="1">IFERROR(__xludf.DUMMYFUNCTION("""COMPUTED_VALUE"""),"")</f>
        <v/>
      </c>
      <c r="AO3" s="2" t="str">
        <f ca="1">IFERROR(__xludf.DUMMYFUNCTION("""COMPUTED_VALUE"""),"")</f>
        <v/>
      </c>
      <c r="AP3" s="2" t="str">
        <f ca="1">IFERROR(__xludf.DUMMYFUNCTION("""COMPUTED_VALUE"""),"")</f>
        <v/>
      </c>
      <c r="AQ3" s="2" t="str">
        <f ca="1">IFERROR(__xludf.DUMMYFUNCTION("""COMPUTED_VALUE"""),"")</f>
        <v/>
      </c>
      <c r="AR3" s="2" t="str">
        <f ca="1">IFERROR(__xludf.DUMMYFUNCTION("""COMPUTED_VALUE"""),"")</f>
        <v/>
      </c>
      <c r="AS3" s="2" t="str">
        <f ca="1">IFERROR(__xludf.DUMMYFUNCTION("""COMPUTED_VALUE"""),"")</f>
        <v/>
      </c>
      <c r="AT3" s="2" t="str">
        <f ca="1">IFERROR(__xludf.DUMMYFUNCTION("""COMPUTED_VALUE"""),"")</f>
        <v/>
      </c>
      <c r="AU3" s="2" t="str">
        <f ca="1">IFERROR(__xludf.DUMMYFUNCTION("""COMPUTED_VALUE"""),"")</f>
        <v/>
      </c>
      <c r="AV3" s="2" t="str">
        <f ca="1">IFERROR(__xludf.DUMMYFUNCTION("""COMPUTED_VALUE"""),"")</f>
        <v/>
      </c>
      <c r="AW3" s="2" t="str">
        <f ca="1">IFERROR(__xludf.DUMMYFUNCTION("""COMPUTED_VALUE"""),"")</f>
        <v/>
      </c>
      <c r="AX3" s="2" t="str">
        <f ca="1">IFERROR(__xludf.DUMMYFUNCTION("""COMPUTED_VALUE"""),"")</f>
        <v/>
      </c>
      <c r="AY3" s="2" t="str">
        <f ca="1">IFERROR(__xludf.DUMMYFUNCTION("""COMPUTED_VALUE"""),"")</f>
        <v/>
      </c>
      <c r="AZ3" s="2" t="str">
        <f ca="1">IFERROR(__xludf.DUMMYFUNCTION("""COMPUTED_VALUE"""),"3D")</f>
        <v>3D</v>
      </c>
      <c r="BA3" s="2">
        <f ca="1">IFERROR(__xludf.DUMMYFUNCTION("""COMPUTED_VALUE"""),1791119.608)</f>
        <v>1791119.608</v>
      </c>
      <c r="BB3" s="2">
        <f ca="1">IFERROR(__xludf.DUMMYFUNCTION("""COMPUTED_VALUE"""),5869424.014)</f>
        <v>5869424.0140000004</v>
      </c>
      <c r="BC3" s="2" t="str">
        <f ca="1">IFERROR(__xludf.DUMMYFUNCTION("""COMPUTED_VALUE"""),"Note: converted from Lat Long usingwo stages:  1. Putting decimal degrees into the following website and then converting to UTM (zone 60, Hemisphere S): http://home.hiwaay.net/~taylorc/toolbox/geography/geoutm.html to convert  2. Converting UTM Zone 60 S "&amp;"to NZTM using the following website http://apps.linz.govt.nz/coordinate-conversion/index.aspx?Test=")</f>
        <v>Note: converted from Lat Long usingwo stages:  1. Putting decimal degrees into the following website and then converting to UTM (zone 60, Hemisphere S): http://home.hiwaay.net/~taylorc/toolbox/geography/geoutm.html to convert  2. Converting UTM Zone 60 S to NZTM using the following website http://apps.linz.govt.nz/coordinate-conversion/index.aspx?Test=</v>
      </c>
      <c r="BD3" s="2" t="str">
        <f ca="1">IFERROR(__xludf.DUMMYFUNCTION("""COMPUTED_VALUE"""),"")</f>
        <v/>
      </c>
      <c r="BE3" s="2" t="str">
        <f ca="1">IFERROR(__xludf.DUMMYFUNCTION("""COMPUTED_VALUE"""),"")</f>
        <v/>
      </c>
      <c r="BF3" t="str">
        <f ca="1">IFERROR(__xludf.DUMMYFUNCTION("""COMPUTED_VALUE"""),"")</f>
        <v/>
      </c>
      <c r="BG3" t="str">
        <f ca="1">IFERROR(__xludf.DUMMYFUNCTION("""COMPUTED_VALUE"""),"")</f>
        <v/>
      </c>
      <c r="BH3" s="2" t="str">
        <f ca="1">IFERROR(__xludf.DUMMYFUNCTION("""COMPUTED_VALUE"""),"")</f>
        <v/>
      </c>
      <c r="BI3" s="12" t="str">
        <f ca="1">IFERROR(__xludf.DUMMYFUNCTION("""COMPUTED_VALUE"""),"")</f>
        <v/>
      </c>
      <c r="BJ3" s="9" t="str">
        <f ca="1">IFERROR(__xludf.DUMMYFUNCTION("""COMPUTED_VALUE"""),"")</f>
        <v/>
      </c>
      <c r="BK3" s="4" t="str">
        <f ca="1">IFERROR(__xludf.DUMMYFUNCTION("""COMPUTED_VALUE"""),"")</f>
        <v/>
      </c>
    </row>
    <row r="4" spans="1:63" ht="15.75" customHeight="1" x14ac:dyDescent="0.25">
      <c r="A4" s="7">
        <f ca="1">IFERROR(__xludf.DUMMYFUNCTION("""COMPUTED_VALUE"""),43115.9760123611)</f>
        <v>43115.976012361098</v>
      </c>
      <c r="B4" s="8" t="str">
        <f ca="1">IFERROR(__xludf.DUMMYFUNCTION("""COMPUTED_VALUE"""),"Waikato")</f>
        <v>Waikato</v>
      </c>
      <c r="C4" s="2" t="str">
        <f ca="1">IFERROR(__xludf.DUMMYFUNCTION("""COMPUTED_VALUE"""),"")</f>
        <v/>
      </c>
      <c r="D4" s="9">
        <f ca="1">IFERROR(__xludf.DUMMYFUNCTION("""COMPUTED_VALUE"""),43097)</f>
        <v>43097</v>
      </c>
      <c r="E4" s="4">
        <f ca="1">IFERROR(__xludf.DUMMYFUNCTION("""COMPUTED_VALUE"""),0.415277777778101)</f>
        <v>0.41527777777810099</v>
      </c>
      <c r="F4" s="2" t="str">
        <f ca="1">IFERROR(__xludf.DUMMYFUNCTION("""COMPUTED_VALUE"""),"Dean Wetland")</f>
        <v>Dean Wetland</v>
      </c>
      <c r="G4" s="2" t="str">
        <f ca="1">IFERROR(__xludf.DUMMYFUNCTION("""COMPUTED_VALUE"""),"GPS: I converted data downloaded from ARGOS using Pinpoint software")</f>
        <v>GPS: I converted data downloaded from ARGOS using Pinpoint software</v>
      </c>
      <c r="H4" s="2" t="str">
        <f ca="1">IFERROR(__xludf.DUMMYFUNCTION("""COMPUTED_VALUE"""),"")</f>
        <v/>
      </c>
      <c r="I4" s="2" t="str">
        <f ca="1">IFERROR(__xludf.DUMMYFUNCTION("""COMPUTED_VALUE"""),"")</f>
        <v/>
      </c>
      <c r="J4" s="2" t="str">
        <f ca="1">IFERROR(__xludf.DUMMYFUNCTION("""COMPUTED_VALUE"""),"")</f>
        <v/>
      </c>
      <c r="K4" s="2" t="str">
        <f ca="1">IFERROR(__xludf.DUMMYFUNCTION("""COMPUTED_VALUE"""),"")</f>
        <v/>
      </c>
      <c r="L4" s="2" t="str">
        <f ca="1">IFERROR(__xludf.DUMMYFUNCTION("""COMPUTED_VALUE"""),"")</f>
        <v/>
      </c>
      <c r="M4" s="5" t="str">
        <f ca="1">IFERROR(__xludf.DUMMYFUNCTION("""COMPUTED_VALUE"""),"")</f>
        <v/>
      </c>
      <c r="N4" s="5" t="str">
        <f ca="1">IFERROR(__xludf.DUMMYFUNCTION("""COMPUTED_VALUE"""),"")</f>
        <v/>
      </c>
      <c r="O4" s="2" t="str">
        <f ca="1">IFERROR(__xludf.DUMMYFUNCTION("""COMPUTED_VALUE"""),"")</f>
        <v/>
      </c>
      <c r="P4" s="2" t="str">
        <f ca="1">IFERROR(__xludf.DUMMYFUNCTION("""COMPUTED_VALUE"""),"")</f>
        <v/>
      </c>
      <c r="Q4" s="2" t="str">
        <f ca="1">IFERROR(__xludf.DUMMYFUNCTION("""COMPUTED_VALUE"""),"")</f>
        <v/>
      </c>
      <c r="R4" s="2" t="str">
        <f ca="1">IFERROR(__xludf.DUMMYFUNCTION("""COMPUTED_VALUE"""),"")</f>
        <v/>
      </c>
      <c r="S4" s="2" t="str">
        <f ca="1">IFERROR(__xludf.DUMMYFUNCTION("""COMPUTED_VALUE"""),"")</f>
        <v/>
      </c>
      <c r="T4" s="2" t="str">
        <f ca="1">IFERROR(__xludf.DUMMYFUNCTION("""COMPUTED_VALUE"""),"")</f>
        <v/>
      </c>
      <c r="U4" s="2" t="str">
        <f ca="1">IFERROR(__xludf.DUMMYFUNCTION("""COMPUTED_VALUE"""),"")</f>
        <v/>
      </c>
      <c r="V4" s="2" t="str">
        <f ca="1">IFERROR(__xludf.DUMMYFUNCTION("""COMPUTED_VALUE"""),"")</f>
        <v/>
      </c>
      <c r="W4" s="2" t="str">
        <f ca="1">IFERROR(__xludf.DUMMYFUNCTION("""COMPUTED_VALUE"""),"")</f>
        <v/>
      </c>
      <c r="X4" s="2" t="str">
        <f ca="1">IFERROR(__xludf.DUMMYFUNCTION("""COMPUTED_VALUE"""),"")</f>
        <v/>
      </c>
      <c r="Y4" s="2" t="str">
        <f ca="1">IFERROR(__xludf.DUMMYFUNCTION("""COMPUTED_VALUE"""),"")</f>
        <v/>
      </c>
      <c r="Z4" s="2" t="str">
        <f ca="1">IFERROR(__xludf.DUMMYFUNCTION("""COMPUTED_VALUE"""),"")</f>
        <v/>
      </c>
      <c r="AA4" s="2" t="str">
        <f ca="1">IFERROR(__xludf.DUMMYFUNCTION("""COMPUTED_VALUE"""),"")</f>
        <v/>
      </c>
      <c r="AB4" s="2" t="str">
        <f ca="1">IFERROR(__xludf.DUMMYFUNCTION("""COMPUTED_VALUE"""),"")</f>
        <v/>
      </c>
      <c r="AC4" s="2" t="str">
        <f ca="1">IFERROR(__xludf.DUMMYFUNCTION("""COMPUTED_VALUE"""),"")</f>
        <v/>
      </c>
      <c r="AD4" s="2" t="str">
        <f ca="1">IFERROR(__xludf.DUMMYFUNCTION("""COMPUTED_VALUE"""),"")</f>
        <v/>
      </c>
      <c r="AE4" s="2" t="str">
        <f ca="1">IFERROR(__xludf.DUMMYFUNCTION("""COMPUTED_VALUE"""),"")</f>
        <v/>
      </c>
      <c r="AF4" s="2" t="str">
        <f ca="1">IFERROR(__xludf.DUMMYFUNCTION("""COMPUTED_VALUE"""),"")</f>
        <v/>
      </c>
      <c r="AG4" s="2" t="str">
        <f ca="1">IFERROR(__xludf.DUMMYFUNCTION("""COMPUTED_VALUE"""),"")</f>
        <v/>
      </c>
      <c r="AH4" s="2" t="str">
        <f ca="1">IFERROR(__xludf.DUMMYFUNCTION("""COMPUTED_VALUE"""),"")</f>
        <v/>
      </c>
      <c r="AI4" s="2" t="str">
        <f ca="1">IFERROR(__xludf.DUMMYFUNCTION("""COMPUTED_VALUE"""),"")</f>
        <v/>
      </c>
      <c r="AJ4" s="2" t="str">
        <f ca="1">IFERROR(__xludf.DUMMYFUNCTION("""COMPUTED_VALUE"""),"")</f>
        <v/>
      </c>
      <c r="AK4" s="2" t="str">
        <f ca="1">IFERROR(__xludf.DUMMYFUNCTION("""COMPUTED_VALUE"""),"")</f>
        <v/>
      </c>
      <c r="AL4" s="2" t="str">
        <f ca="1">IFERROR(__xludf.DUMMYFUNCTION("""COMPUTED_VALUE"""),"")</f>
        <v/>
      </c>
      <c r="AM4" s="2" t="str">
        <f ca="1">IFERROR(__xludf.DUMMYFUNCTION("""COMPUTED_VALUE"""),"")</f>
        <v/>
      </c>
      <c r="AN4" s="2" t="str">
        <f ca="1">IFERROR(__xludf.DUMMYFUNCTION("""COMPUTED_VALUE"""),"")</f>
        <v/>
      </c>
      <c r="AO4" s="2" t="str">
        <f ca="1">IFERROR(__xludf.DUMMYFUNCTION("""COMPUTED_VALUE"""),"")</f>
        <v/>
      </c>
      <c r="AP4" s="2" t="str">
        <f ca="1">IFERROR(__xludf.DUMMYFUNCTION("""COMPUTED_VALUE"""),"")</f>
        <v/>
      </c>
      <c r="AQ4" s="2" t="str">
        <f ca="1">IFERROR(__xludf.DUMMYFUNCTION("""COMPUTED_VALUE"""),"")</f>
        <v/>
      </c>
      <c r="AR4" s="2" t="str">
        <f ca="1">IFERROR(__xludf.DUMMYFUNCTION("""COMPUTED_VALUE"""),"")</f>
        <v/>
      </c>
      <c r="AS4" s="2" t="str">
        <f ca="1">IFERROR(__xludf.DUMMYFUNCTION("""COMPUTED_VALUE"""),"")</f>
        <v/>
      </c>
      <c r="AT4" s="2" t="str">
        <f ca="1">IFERROR(__xludf.DUMMYFUNCTION("""COMPUTED_VALUE"""),"")</f>
        <v/>
      </c>
      <c r="AU4" s="2" t="str">
        <f ca="1">IFERROR(__xludf.DUMMYFUNCTION("""COMPUTED_VALUE"""),"")</f>
        <v/>
      </c>
      <c r="AV4" s="2" t="str">
        <f ca="1">IFERROR(__xludf.DUMMYFUNCTION("""COMPUTED_VALUE"""),"")</f>
        <v/>
      </c>
      <c r="AW4" s="2" t="str">
        <f ca="1">IFERROR(__xludf.DUMMYFUNCTION("""COMPUTED_VALUE"""),"")</f>
        <v/>
      </c>
      <c r="AX4" s="2" t="str">
        <f ca="1">IFERROR(__xludf.DUMMYFUNCTION("""COMPUTED_VALUE"""),"")</f>
        <v/>
      </c>
      <c r="AY4" s="2" t="str">
        <f ca="1">IFERROR(__xludf.DUMMYFUNCTION("""COMPUTED_VALUE"""),"")</f>
        <v/>
      </c>
      <c r="AZ4" s="2" t="str">
        <f ca="1">IFERROR(__xludf.DUMMYFUNCTION("""COMPUTED_VALUE"""),"3D")</f>
        <v>3D</v>
      </c>
      <c r="BA4" s="2">
        <f ca="1">IFERROR(__xludf.DUMMYFUNCTION("""COMPUTED_VALUE"""),1781666.838)</f>
        <v>1781666.838</v>
      </c>
      <c r="BB4" s="2">
        <f ca="1">IFERROR(__xludf.DUMMYFUNCTION("""COMPUTED_VALUE"""),5874692.699)</f>
        <v>5874692.699</v>
      </c>
      <c r="BC4" s="2" t="str">
        <f ca="1">IFERROR(__xludf.DUMMYFUNCTION("""COMPUTED_VALUE"""),"Note converted from Lat Long usingwo stages:  1. Putting decimal degrees into the following website and then converting to UTM (zone 60, Hemisphere S): http://home.hiwaay.net/~taylorc/toolbox/geography/geoutm.html to convert  2. Converting UTM Zone 60 S t"&amp;"o NZTM using the following website http://apps.linz.govt.nz/coordinate-conversion/index.aspx?Test=")</f>
        <v>Note converted from Lat Long usingwo stages:  1. Putting decimal degrees into the following website and then converting to UTM (zone 60, Hemisphere S): http://home.hiwaay.net/~taylorc/toolbox/geography/geoutm.html to convert  2. Converting UTM Zone 60 S to NZTM using the following website http://apps.linz.govt.nz/coordinate-conversion/index.aspx?Test=</v>
      </c>
      <c r="BD4" s="2" t="str">
        <f ca="1">IFERROR(__xludf.DUMMYFUNCTION("""COMPUTED_VALUE"""),"")</f>
        <v/>
      </c>
      <c r="BE4" s="2" t="str">
        <f ca="1">IFERROR(__xludf.DUMMYFUNCTION("""COMPUTED_VALUE"""),"")</f>
        <v/>
      </c>
      <c r="BF4" t="str">
        <f ca="1">IFERROR(__xludf.DUMMYFUNCTION("""COMPUTED_VALUE"""),"")</f>
        <v/>
      </c>
      <c r="BG4" t="str">
        <f ca="1">IFERROR(__xludf.DUMMYFUNCTION("""COMPUTED_VALUE"""),"")</f>
        <v/>
      </c>
      <c r="BH4" s="2" t="str">
        <f ca="1">IFERROR(__xludf.DUMMYFUNCTION("""COMPUTED_VALUE"""),"")</f>
        <v/>
      </c>
      <c r="BI4" s="13" t="str">
        <f ca="1">IFERROR(__xludf.DUMMYFUNCTION("""COMPUTED_VALUE"""),"")</f>
        <v/>
      </c>
      <c r="BJ4" s="9" t="str">
        <f ca="1">IFERROR(__xludf.DUMMYFUNCTION("""COMPUTED_VALUE"""),"")</f>
        <v/>
      </c>
      <c r="BK4" s="4" t="str">
        <f ca="1">IFERROR(__xludf.DUMMYFUNCTION("""COMPUTED_VALUE"""),"")</f>
        <v/>
      </c>
    </row>
    <row r="5" spans="1:63" ht="15.75" customHeight="1" x14ac:dyDescent="0.25">
      <c r="A5" s="7">
        <f ca="1">IFERROR(__xludf.DUMMYFUNCTION("""COMPUTED_VALUE"""),43115.9786560069)</f>
        <v>43115.978656006897</v>
      </c>
      <c r="B5" s="8" t="str">
        <f ca="1">IFERROR(__xludf.DUMMYFUNCTION("""COMPUTED_VALUE"""),"Waikato")</f>
        <v>Waikato</v>
      </c>
      <c r="C5" s="2" t="str">
        <f ca="1">IFERROR(__xludf.DUMMYFUNCTION("""COMPUTED_VALUE"""),"")</f>
        <v/>
      </c>
      <c r="D5" s="9">
        <f ca="1">IFERROR(__xludf.DUMMYFUNCTION("""COMPUTED_VALUE"""),43111)</f>
        <v>43111</v>
      </c>
      <c r="E5" s="4">
        <f ca="1">IFERROR(__xludf.DUMMYFUNCTION("""COMPUTED_VALUE"""),0.415277777778101)</f>
        <v>0.41527777777810099</v>
      </c>
      <c r="F5" s="2" t="str">
        <f ca="1">IFERROR(__xludf.DUMMYFUNCTION("""COMPUTED_VALUE"""),"Dean Wetland")</f>
        <v>Dean Wetland</v>
      </c>
      <c r="G5" s="2" t="str">
        <f ca="1">IFERROR(__xludf.DUMMYFUNCTION("""COMPUTED_VALUE"""),"GPS: I converted data downloaded from ARGOS using Pinpoint software")</f>
        <v>GPS: I converted data downloaded from ARGOS using Pinpoint software</v>
      </c>
      <c r="H5" s="2" t="str">
        <f ca="1">IFERROR(__xludf.DUMMYFUNCTION("""COMPUTED_VALUE"""),"")</f>
        <v/>
      </c>
      <c r="I5" s="2" t="str">
        <f ca="1">IFERROR(__xludf.DUMMYFUNCTION("""COMPUTED_VALUE"""),"")</f>
        <v/>
      </c>
      <c r="J5" s="2" t="str">
        <f ca="1">IFERROR(__xludf.DUMMYFUNCTION("""COMPUTED_VALUE"""),"")</f>
        <v/>
      </c>
      <c r="K5" s="2" t="str">
        <f ca="1">IFERROR(__xludf.DUMMYFUNCTION("""COMPUTED_VALUE"""),"")</f>
        <v/>
      </c>
      <c r="L5" s="2" t="str">
        <f ca="1">IFERROR(__xludf.DUMMYFUNCTION("""COMPUTED_VALUE"""),"")</f>
        <v/>
      </c>
      <c r="M5" s="5" t="str">
        <f ca="1">IFERROR(__xludf.DUMMYFUNCTION("""COMPUTED_VALUE"""),"")</f>
        <v/>
      </c>
      <c r="N5" s="5" t="str">
        <f ca="1">IFERROR(__xludf.DUMMYFUNCTION("""COMPUTED_VALUE"""),"")</f>
        <v/>
      </c>
      <c r="O5" s="2" t="str">
        <f ca="1">IFERROR(__xludf.DUMMYFUNCTION("""COMPUTED_VALUE"""),"")</f>
        <v/>
      </c>
      <c r="P5" s="2" t="str">
        <f ca="1">IFERROR(__xludf.DUMMYFUNCTION("""COMPUTED_VALUE"""),"")</f>
        <v/>
      </c>
      <c r="Q5" s="2" t="str">
        <f ca="1">IFERROR(__xludf.DUMMYFUNCTION("""COMPUTED_VALUE"""),"")</f>
        <v/>
      </c>
      <c r="R5" s="2" t="str">
        <f ca="1">IFERROR(__xludf.DUMMYFUNCTION("""COMPUTED_VALUE"""),"")</f>
        <v/>
      </c>
      <c r="S5" s="2" t="str">
        <f ca="1">IFERROR(__xludf.DUMMYFUNCTION("""COMPUTED_VALUE"""),"")</f>
        <v/>
      </c>
      <c r="T5" s="2" t="str">
        <f ca="1">IFERROR(__xludf.DUMMYFUNCTION("""COMPUTED_VALUE"""),"")</f>
        <v/>
      </c>
      <c r="U5" s="2" t="str">
        <f ca="1">IFERROR(__xludf.DUMMYFUNCTION("""COMPUTED_VALUE"""),"")</f>
        <v/>
      </c>
      <c r="V5" s="2" t="str">
        <f ca="1">IFERROR(__xludf.DUMMYFUNCTION("""COMPUTED_VALUE"""),"")</f>
        <v/>
      </c>
      <c r="W5" s="2" t="str">
        <f ca="1">IFERROR(__xludf.DUMMYFUNCTION("""COMPUTED_VALUE"""),"")</f>
        <v/>
      </c>
      <c r="X5" s="2" t="str">
        <f ca="1">IFERROR(__xludf.DUMMYFUNCTION("""COMPUTED_VALUE"""),"")</f>
        <v/>
      </c>
      <c r="Y5" s="2" t="str">
        <f ca="1">IFERROR(__xludf.DUMMYFUNCTION("""COMPUTED_VALUE"""),"")</f>
        <v/>
      </c>
      <c r="Z5" s="2" t="str">
        <f ca="1">IFERROR(__xludf.DUMMYFUNCTION("""COMPUTED_VALUE"""),"")</f>
        <v/>
      </c>
      <c r="AA5" s="2" t="str">
        <f ca="1">IFERROR(__xludf.DUMMYFUNCTION("""COMPUTED_VALUE"""),"")</f>
        <v/>
      </c>
      <c r="AB5" s="2" t="str">
        <f ca="1">IFERROR(__xludf.DUMMYFUNCTION("""COMPUTED_VALUE"""),"")</f>
        <v/>
      </c>
      <c r="AC5" s="2" t="str">
        <f ca="1">IFERROR(__xludf.DUMMYFUNCTION("""COMPUTED_VALUE"""),"")</f>
        <v/>
      </c>
      <c r="AD5" s="2" t="str">
        <f ca="1">IFERROR(__xludf.DUMMYFUNCTION("""COMPUTED_VALUE"""),"")</f>
        <v/>
      </c>
      <c r="AE5" s="2" t="str">
        <f ca="1">IFERROR(__xludf.DUMMYFUNCTION("""COMPUTED_VALUE"""),"")</f>
        <v/>
      </c>
      <c r="AF5" s="2" t="str">
        <f ca="1">IFERROR(__xludf.DUMMYFUNCTION("""COMPUTED_VALUE"""),"")</f>
        <v/>
      </c>
      <c r="AG5" s="2" t="str">
        <f ca="1">IFERROR(__xludf.DUMMYFUNCTION("""COMPUTED_VALUE"""),"")</f>
        <v/>
      </c>
      <c r="AH5" s="2" t="str">
        <f ca="1">IFERROR(__xludf.DUMMYFUNCTION("""COMPUTED_VALUE"""),"")</f>
        <v/>
      </c>
      <c r="AI5" s="2" t="str">
        <f ca="1">IFERROR(__xludf.DUMMYFUNCTION("""COMPUTED_VALUE"""),"")</f>
        <v/>
      </c>
      <c r="AJ5" s="2" t="str">
        <f ca="1">IFERROR(__xludf.DUMMYFUNCTION("""COMPUTED_VALUE"""),"")</f>
        <v/>
      </c>
      <c r="AK5" s="2" t="str">
        <f ca="1">IFERROR(__xludf.DUMMYFUNCTION("""COMPUTED_VALUE"""),"")</f>
        <v/>
      </c>
      <c r="AL5" s="2" t="str">
        <f ca="1">IFERROR(__xludf.DUMMYFUNCTION("""COMPUTED_VALUE"""),"")</f>
        <v/>
      </c>
      <c r="AM5" s="2" t="str">
        <f ca="1">IFERROR(__xludf.DUMMYFUNCTION("""COMPUTED_VALUE"""),"")</f>
        <v/>
      </c>
      <c r="AN5" s="2" t="str">
        <f ca="1">IFERROR(__xludf.DUMMYFUNCTION("""COMPUTED_VALUE"""),"")</f>
        <v/>
      </c>
      <c r="AO5" s="2" t="str">
        <f ca="1">IFERROR(__xludf.DUMMYFUNCTION("""COMPUTED_VALUE"""),"")</f>
        <v/>
      </c>
      <c r="AP5" s="2" t="str">
        <f ca="1">IFERROR(__xludf.DUMMYFUNCTION("""COMPUTED_VALUE"""),"")</f>
        <v/>
      </c>
      <c r="AQ5" s="2" t="str">
        <f ca="1">IFERROR(__xludf.DUMMYFUNCTION("""COMPUTED_VALUE"""),"")</f>
        <v/>
      </c>
      <c r="AR5" s="2" t="str">
        <f ca="1">IFERROR(__xludf.DUMMYFUNCTION("""COMPUTED_VALUE"""),"")</f>
        <v/>
      </c>
      <c r="AS5" s="2" t="str">
        <f ca="1">IFERROR(__xludf.DUMMYFUNCTION("""COMPUTED_VALUE"""),"")</f>
        <v/>
      </c>
      <c r="AT5" s="2" t="str">
        <f ca="1">IFERROR(__xludf.DUMMYFUNCTION("""COMPUTED_VALUE"""),"")</f>
        <v/>
      </c>
      <c r="AU5" s="2" t="str">
        <f ca="1">IFERROR(__xludf.DUMMYFUNCTION("""COMPUTED_VALUE"""),"")</f>
        <v/>
      </c>
      <c r="AV5" s="2" t="str">
        <f ca="1">IFERROR(__xludf.DUMMYFUNCTION("""COMPUTED_VALUE"""),"")</f>
        <v/>
      </c>
      <c r="AW5" s="2" t="str">
        <f ca="1">IFERROR(__xludf.DUMMYFUNCTION("""COMPUTED_VALUE"""),"")</f>
        <v/>
      </c>
      <c r="AX5" s="2" t="str">
        <f ca="1">IFERROR(__xludf.DUMMYFUNCTION("""COMPUTED_VALUE"""),"")</f>
        <v/>
      </c>
      <c r="AY5" s="2" t="str">
        <f ca="1">IFERROR(__xludf.DUMMYFUNCTION("""COMPUTED_VALUE"""),"")</f>
        <v/>
      </c>
      <c r="AZ5" s="2" t="str">
        <f ca="1">IFERROR(__xludf.DUMMYFUNCTION("""COMPUTED_VALUE"""),"3D")</f>
        <v>3D</v>
      </c>
      <c r="BA5" s="2">
        <f ca="1">IFERROR(__xludf.DUMMYFUNCTION("""COMPUTED_VALUE"""),1781716.547)</f>
        <v>1781716.547</v>
      </c>
      <c r="BB5" s="2">
        <f ca="1">IFERROR(__xludf.DUMMYFUNCTION("""COMPUTED_VALUE"""),5874487.088)</f>
        <v>5874487.0880000005</v>
      </c>
      <c r="BC5" s="2" t="str">
        <f ca="1">IFERROR(__xludf.DUMMYFUNCTION("""COMPUTED_VALUE"""),"Note converted from Lat Long usingwo stages:  1. Putting decimal degrees into the following website and then converting to UTM (zone 60, Hemisphere S): http://home.hiwaay.net/~taylorc/toolbox/geography/geoutm.html to convert  2. Converting UTM Zone 60 S t"&amp;"o NZTM using the following website http://apps.linz.govt.nz/coordinate-conversion/index.aspx?Test=")</f>
        <v>Note converted from Lat Long usingwo stages:  1. Putting decimal degrees into the following website and then converting to UTM (zone 60, Hemisphere S): http://home.hiwaay.net/~taylorc/toolbox/geography/geoutm.html to convert  2. Converting UTM Zone 60 S to NZTM using the following website http://apps.linz.govt.nz/coordinate-conversion/index.aspx?Test=</v>
      </c>
      <c r="BD5" s="2" t="str">
        <f ca="1">IFERROR(__xludf.DUMMYFUNCTION("""COMPUTED_VALUE"""),"")</f>
        <v/>
      </c>
      <c r="BE5" s="2" t="str">
        <f ca="1">IFERROR(__xludf.DUMMYFUNCTION("""COMPUTED_VALUE"""),"")</f>
        <v/>
      </c>
      <c r="BF5" t="str">
        <f ca="1">IFERROR(__xludf.DUMMYFUNCTION("""COMPUTED_VALUE"""),"")</f>
        <v/>
      </c>
      <c r="BG5" t="str">
        <f ca="1">IFERROR(__xludf.DUMMYFUNCTION("""COMPUTED_VALUE"""),"")</f>
        <v/>
      </c>
      <c r="BH5" s="2" t="str">
        <f ca="1">IFERROR(__xludf.DUMMYFUNCTION("""COMPUTED_VALUE"""),"")</f>
        <v/>
      </c>
      <c r="BI5" s="12" t="str">
        <f ca="1">IFERROR(__xludf.DUMMYFUNCTION("""COMPUTED_VALUE"""),"")</f>
        <v/>
      </c>
      <c r="BJ5" s="9" t="str">
        <f ca="1">IFERROR(__xludf.DUMMYFUNCTION("""COMPUTED_VALUE"""),"")</f>
        <v/>
      </c>
      <c r="BK5" s="4" t="str">
        <f ca="1">IFERROR(__xludf.DUMMYFUNCTION("""COMPUTED_VALUE"""),"")</f>
        <v/>
      </c>
    </row>
    <row r="6" spans="1:63" ht="15.75" customHeight="1" x14ac:dyDescent="0.25">
      <c r="A6" s="7">
        <f ca="1">IFERROR(__xludf.DUMMYFUNCTION("""COMPUTED_VALUE"""),43115.9803918171)</f>
        <v>43115.980391817102</v>
      </c>
      <c r="B6" s="8" t="str">
        <f ca="1">IFERROR(__xludf.DUMMYFUNCTION("""COMPUTED_VALUE"""),"Waikato")</f>
        <v>Waikato</v>
      </c>
      <c r="C6" s="2" t="str">
        <f ca="1">IFERROR(__xludf.DUMMYFUNCTION("""COMPUTED_VALUE"""),"")</f>
        <v/>
      </c>
      <c r="D6" s="9">
        <f ca="1">IFERROR(__xludf.DUMMYFUNCTION("""COMPUTED_VALUE"""),43111)</f>
        <v>43111</v>
      </c>
      <c r="E6" s="4">
        <f ca="1">IFERROR(__xludf.DUMMYFUNCTION("""COMPUTED_VALUE"""),0.423611111109494)</f>
        <v>0.42361111110949401</v>
      </c>
      <c r="F6" s="2" t="str">
        <f ca="1">IFERROR(__xludf.DUMMYFUNCTION("""COMPUTED_VALUE"""),"Dean Wetland")</f>
        <v>Dean Wetland</v>
      </c>
      <c r="G6" s="2" t="str">
        <f ca="1">IFERROR(__xludf.DUMMYFUNCTION("""COMPUTED_VALUE"""),"Satellite: I downloaded a fix from ARGOS")</f>
        <v>Satellite: I downloaded a fix from ARGOS</v>
      </c>
      <c r="H6" s="2" t="str">
        <f ca="1">IFERROR(__xludf.DUMMYFUNCTION("""COMPUTED_VALUE"""),"A2")</f>
        <v>A2</v>
      </c>
      <c r="I6" s="2">
        <f ca="1">IFERROR(__xludf.DUMMYFUNCTION("""COMPUTED_VALUE"""),1780633.022)</f>
        <v>1780633.0220000001</v>
      </c>
      <c r="J6" s="2">
        <f ca="1">IFERROR(__xludf.DUMMYFUNCTION("""COMPUTED_VALUE"""),5874228.216)</f>
        <v>5874228.216</v>
      </c>
      <c r="K6" s="2" t="str">
        <f ca="1">IFERROR(__xludf.DUMMYFUNCTION("""COMPUTED_VALUE"""),"Note converted from Lat Long usingwo stages:  1. Putting decimal degrees into the following website and then converting to UTM (zone 60, Hemisphere S): http://home.hiwaay.net/~taylorc/toolbox/geography/geoutm.html to convert  2. Converting UTM Zone 60 S t"&amp;"o NZTM using the following website http://apps.linz.govt.nz/coordinate-conversion/index.aspx?Test=")</f>
        <v>Note converted from Lat Long usingwo stages:  1. Putting decimal degrees into the following website and then converting to UTM (zone 60, Hemisphere S): http://home.hiwaay.net/~taylorc/toolbox/geography/geoutm.html to convert  2. Converting UTM Zone 60 S to NZTM using the following website http://apps.linz.govt.nz/coordinate-conversion/index.aspx?Test=</v>
      </c>
      <c r="L6" s="2" t="str">
        <f ca="1">IFERROR(__xludf.DUMMYFUNCTION("""COMPUTED_VALUE"""),"")</f>
        <v/>
      </c>
      <c r="M6" s="5" t="str">
        <f ca="1">IFERROR(__xludf.DUMMYFUNCTION("""COMPUTED_VALUE"""),"")</f>
        <v/>
      </c>
      <c r="N6" s="5" t="str">
        <f ca="1">IFERROR(__xludf.DUMMYFUNCTION("""COMPUTED_VALUE"""),"")</f>
        <v/>
      </c>
      <c r="O6" s="2" t="str">
        <f ca="1">IFERROR(__xludf.DUMMYFUNCTION("""COMPUTED_VALUE"""),"")</f>
        <v/>
      </c>
      <c r="P6" s="2" t="str">
        <f ca="1">IFERROR(__xludf.DUMMYFUNCTION("""COMPUTED_VALUE"""),"")</f>
        <v/>
      </c>
      <c r="Q6" s="2" t="str">
        <f ca="1">IFERROR(__xludf.DUMMYFUNCTION("""COMPUTED_VALUE"""),"")</f>
        <v/>
      </c>
      <c r="R6" s="2" t="str">
        <f ca="1">IFERROR(__xludf.DUMMYFUNCTION("""COMPUTED_VALUE"""),"")</f>
        <v/>
      </c>
      <c r="S6" s="2" t="str">
        <f ca="1">IFERROR(__xludf.DUMMYFUNCTION("""COMPUTED_VALUE"""),"")</f>
        <v/>
      </c>
      <c r="T6" s="2" t="str">
        <f ca="1">IFERROR(__xludf.DUMMYFUNCTION("""COMPUTED_VALUE"""),"")</f>
        <v/>
      </c>
      <c r="U6" s="2" t="str">
        <f ca="1">IFERROR(__xludf.DUMMYFUNCTION("""COMPUTED_VALUE"""),"")</f>
        <v/>
      </c>
      <c r="V6" s="2" t="str">
        <f ca="1">IFERROR(__xludf.DUMMYFUNCTION("""COMPUTED_VALUE"""),"")</f>
        <v/>
      </c>
      <c r="W6" s="2" t="str">
        <f ca="1">IFERROR(__xludf.DUMMYFUNCTION("""COMPUTED_VALUE"""),"")</f>
        <v/>
      </c>
      <c r="X6" s="2" t="str">
        <f ca="1">IFERROR(__xludf.DUMMYFUNCTION("""COMPUTED_VALUE"""),"")</f>
        <v/>
      </c>
      <c r="Y6" s="2" t="str">
        <f ca="1">IFERROR(__xludf.DUMMYFUNCTION("""COMPUTED_VALUE"""),"")</f>
        <v/>
      </c>
      <c r="Z6" s="2" t="str">
        <f ca="1">IFERROR(__xludf.DUMMYFUNCTION("""COMPUTED_VALUE"""),"")</f>
        <v/>
      </c>
      <c r="AA6" s="2" t="str">
        <f ca="1">IFERROR(__xludf.DUMMYFUNCTION("""COMPUTED_VALUE"""),"")</f>
        <v/>
      </c>
      <c r="AB6" s="2" t="str">
        <f ca="1">IFERROR(__xludf.DUMMYFUNCTION("""COMPUTED_VALUE"""),"")</f>
        <v/>
      </c>
      <c r="AC6" s="2" t="str">
        <f ca="1">IFERROR(__xludf.DUMMYFUNCTION("""COMPUTED_VALUE"""),"")</f>
        <v/>
      </c>
      <c r="AD6" s="2" t="str">
        <f ca="1">IFERROR(__xludf.DUMMYFUNCTION("""COMPUTED_VALUE"""),"")</f>
        <v/>
      </c>
      <c r="AE6" s="2" t="str">
        <f ca="1">IFERROR(__xludf.DUMMYFUNCTION("""COMPUTED_VALUE"""),"")</f>
        <v/>
      </c>
      <c r="AF6" s="2" t="str">
        <f ca="1">IFERROR(__xludf.DUMMYFUNCTION("""COMPUTED_VALUE"""),"")</f>
        <v/>
      </c>
      <c r="AG6" s="2" t="str">
        <f ca="1">IFERROR(__xludf.DUMMYFUNCTION("""COMPUTED_VALUE"""),"")</f>
        <v/>
      </c>
      <c r="AH6" s="2" t="str">
        <f ca="1">IFERROR(__xludf.DUMMYFUNCTION("""COMPUTED_VALUE"""),"")</f>
        <v/>
      </c>
      <c r="AI6" s="2" t="str">
        <f ca="1">IFERROR(__xludf.DUMMYFUNCTION("""COMPUTED_VALUE"""),"")</f>
        <v/>
      </c>
      <c r="AJ6" s="2" t="str">
        <f ca="1">IFERROR(__xludf.DUMMYFUNCTION("""COMPUTED_VALUE"""),"")</f>
        <v/>
      </c>
      <c r="AK6" s="2" t="str">
        <f ca="1">IFERROR(__xludf.DUMMYFUNCTION("""COMPUTED_VALUE"""),"")</f>
        <v/>
      </c>
      <c r="AL6" s="2" t="str">
        <f ca="1">IFERROR(__xludf.DUMMYFUNCTION("""COMPUTED_VALUE"""),"")</f>
        <v/>
      </c>
      <c r="AM6" s="2" t="str">
        <f ca="1">IFERROR(__xludf.DUMMYFUNCTION("""COMPUTED_VALUE"""),"")</f>
        <v/>
      </c>
      <c r="AN6" s="2" t="str">
        <f ca="1">IFERROR(__xludf.DUMMYFUNCTION("""COMPUTED_VALUE"""),"")</f>
        <v/>
      </c>
      <c r="AO6" s="2" t="str">
        <f ca="1">IFERROR(__xludf.DUMMYFUNCTION("""COMPUTED_VALUE"""),"")</f>
        <v/>
      </c>
      <c r="AP6" s="2" t="str">
        <f ca="1">IFERROR(__xludf.DUMMYFUNCTION("""COMPUTED_VALUE"""),"")</f>
        <v/>
      </c>
      <c r="AQ6" s="2" t="str">
        <f ca="1">IFERROR(__xludf.DUMMYFUNCTION("""COMPUTED_VALUE"""),"")</f>
        <v/>
      </c>
      <c r="AR6" s="2" t="str">
        <f ca="1">IFERROR(__xludf.DUMMYFUNCTION("""COMPUTED_VALUE"""),"")</f>
        <v/>
      </c>
      <c r="AS6" s="2" t="str">
        <f ca="1">IFERROR(__xludf.DUMMYFUNCTION("""COMPUTED_VALUE"""),"")</f>
        <v/>
      </c>
      <c r="AT6" s="2" t="str">
        <f ca="1">IFERROR(__xludf.DUMMYFUNCTION("""COMPUTED_VALUE"""),"")</f>
        <v/>
      </c>
      <c r="AU6" s="2" t="str">
        <f ca="1">IFERROR(__xludf.DUMMYFUNCTION("""COMPUTED_VALUE"""),"")</f>
        <v/>
      </c>
      <c r="AV6" s="2" t="str">
        <f ca="1">IFERROR(__xludf.DUMMYFUNCTION("""COMPUTED_VALUE"""),"")</f>
        <v/>
      </c>
      <c r="AW6" s="2" t="str">
        <f ca="1">IFERROR(__xludf.DUMMYFUNCTION("""COMPUTED_VALUE"""),"")</f>
        <v/>
      </c>
      <c r="AX6" s="2" t="str">
        <f ca="1">IFERROR(__xludf.DUMMYFUNCTION("""COMPUTED_VALUE"""),"")</f>
        <v/>
      </c>
      <c r="AY6" s="2" t="str">
        <f ca="1">IFERROR(__xludf.DUMMYFUNCTION("""COMPUTED_VALUE"""),"")</f>
        <v/>
      </c>
      <c r="AZ6" s="2" t="str">
        <f ca="1">IFERROR(__xludf.DUMMYFUNCTION("""COMPUTED_VALUE"""),"")</f>
        <v/>
      </c>
      <c r="BA6" s="2" t="str">
        <f ca="1">IFERROR(__xludf.DUMMYFUNCTION("""COMPUTED_VALUE"""),"")</f>
        <v/>
      </c>
      <c r="BB6" s="2" t="str">
        <f ca="1">IFERROR(__xludf.DUMMYFUNCTION("""COMPUTED_VALUE"""),"")</f>
        <v/>
      </c>
      <c r="BC6" s="2" t="str">
        <f ca="1">IFERROR(__xludf.DUMMYFUNCTION("""COMPUTED_VALUE"""),"")</f>
        <v/>
      </c>
      <c r="BD6" s="2" t="str">
        <f ca="1">IFERROR(__xludf.DUMMYFUNCTION("""COMPUTED_VALUE"""),"")</f>
        <v/>
      </c>
      <c r="BE6" s="2" t="str">
        <f ca="1">IFERROR(__xludf.DUMMYFUNCTION("""COMPUTED_VALUE"""),"")</f>
        <v/>
      </c>
      <c r="BF6" t="str">
        <f ca="1">IFERROR(__xludf.DUMMYFUNCTION("""COMPUTED_VALUE"""),"")</f>
        <v/>
      </c>
      <c r="BG6" t="str">
        <f ca="1">IFERROR(__xludf.DUMMYFUNCTION("""COMPUTED_VALUE"""),"")</f>
        <v/>
      </c>
      <c r="BH6" s="2" t="str">
        <f ca="1">IFERROR(__xludf.DUMMYFUNCTION("""COMPUTED_VALUE"""),"")</f>
        <v/>
      </c>
      <c r="BI6" s="14" t="str">
        <f ca="1">IFERROR(__xludf.DUMMYFUNCTION("""COMPUTED_VALUE"""),"")</f>
        <v/>
      </c>
      <c r="BJ6" s="9" t="str">
        <f ca="1">IFERROR(__xludf.DUMMYFUNCTION("""COMPUTED_VALUE"""),"")</f>
        <v/>
      </c>
      <c r="BK6" s="4" t="str">
        <f ca="1">IFERROR(__xludf.DUMMYFUNCTION("""COMPUTED_VALUE"""),"")</f>
        <v/>
      </c>
    </row>
    <row r="7" spans="1:63" ht="15.75" customHeight="1" x14ac:dyDescent="0.25">
      <c r="A7" s="7">
        <f ca="1">IFERROR(__xludf.DUMMYFUNCTION("""COMPUTED_VALUE"""),43116.3716320717)</f>
        <v>43116.371632071699</v>
      </c>
      <c r="B7" s="8" t="str">
        <f ca="1">IFERROR(__xludf.DUMMYFUNCTION("""COMPUTED_VALUE"""),"Waikato")</f>
        <v>Waikato</v>
      </c>
      <c r="C7" s="2" t="str">
        <f ca="1">IFERROR(__xludf.DUMMYFUNCTION("""COMPUTED_VALUE"""),"")</f>
        <v/>
      </c>
      <c r="D7" s="9">
        <f ca="1">IFERROR(__xludf.DUMMYFUNCTION("""COMPUTED_VALUE"""),43115)</f>
        <v>43115</v>
      </c>
      <c r="E7" s="4">
        <f ca="1">IFERROR(__xludf.DUMMYFUNCTION("""COMPUTED_VALUE"""),0.451388888890505)</f>
        <v>0.45138888889050499</v>
      </c>
      <c r="F7" s="2" t="str">
        <f ca="1">IFERROR(__xludf.DUMMYFUNCTION("""COMPUTED_VALUE"""),"Dean Wetland")</f>
        <v>Dean Wetland</v>
      </c>
      <c r="G7" s="2" t="str">
        <f ca="1">IFERROR(__xludf.DUMMYFUNCTION("""COMPUTED_VALUE"""),"VHF (triangulation): I triangulated the bird with at least three bearings")</f>
        <v>VHF (triangulation): I triangulated the bird with at least three bearings</v>
      </c>
      <c r="H7" s="2" t="str">
        <f ca="1">IFERROR(__xludf.DUMMYFUNCTION("""COMPUTED_VALUE"""),"")</f>
        <v/>
      </c>
      <c r="I7" s="2" t="str">
        <f ca="1">IFERROR(__xludf.DUMMYFUNCTION("""COMPUTED_VALUE"""),"")</f>
        <v/>
      </c>
      <c r="J7" s="2" t="str">
        <f ca="1">IFERROR(__xludf.DUMMYFUNCTION("""COMPUTED_VALUE"""),"")</f>
        <v/>
      </c>
      <c r="K7" s="2" t="str">
        <f ca="1">IFERROR(__xludf.DUMMYFUNCTION("""COMPUTED_VALUE"""),"")</f>
        <v/>
      </c>
      <c r="L7" s="2" t="str">
        <f ca="1">IFERROR(__xludf.DUMMYFUNCTION("""COMPUTED_VALUE"""),"")</f>
        <v/>
      </c>
      <c r="M7" s="5" t="str">
        <f ca="1">IFERROR(__xludf.DUMMYFUNCTION("""COMPUTED_VALUE"""),"")</f>
        <v/>
      </c>
      <c r="N7" s="5" t="str">
        <f ca="1">IFERROR(__xludf.DUMMYFUNCTION("""COMPUTED_VALUE"""),"")</f>
        <v/>
      </c>
      <c r="O7" s="2" t="str">
        <f ca="1">IFERROR(__xludf.DUMMYFUNCTION("""COMPUTED_VALUE"""),"")</f>
        <v/>
      </c>
      <c r="P7" s="2" t="str">
        <f ca="1">IFERROR(__xludf.DUMMYFUNCTION("""COMPUTED_VALUE"""),"")</f>
        <v/>
      </c>
      <c r="Q7" s="2" t="str">
        <f ca="1">IFERROR(__xludf.DUMMYFUNCTION("""COMPUTED_VALUE"""),"")</f>
        <v/>
      </c>
      <c r="R7" s="2" t="str">
        <f ca="1">IFERROR(__xludf.DUMMYFUNCTION("""COMPUTED_VALUE"""),"")</f>
        <v/>
      </c>
      <c r="S7" s="2" t="str">
        <f ca="1">IFERROR(__xludf.DUMMYFUNCTION("""COMPUTED_VALUE"""),"")</f>
        <v/>
      </c>
      <c r="T7" s="2" t="str">
        <f ca="1">IFERROR(__xludf.DUMMYFUNCTION("""COMPUTED_VALUE"""),"")</f>
        <v/>
      </c>
      <c r="U7" s="2" t="str">
        <f ca="1">IFERROR(__xludf.DUMMYFUNCTION("""COMPUTED_VALUE"""),"")</f>
        <v/>
      </c>
      <c r="V7" s="2" t="str">
        <f ca="1">IFERROR(__xludf.DUMMYFUNCTION("""COMPUTED_VALUE"""),"")</f>
        <v/>
      </c>
      <c r="W7" s="2" t="str">
        <f ca="1">IFERROR(__xludf.DUMMYFUNCTION("""COMPUTED_VALUE"""),"")</f>
        <v/>
      </c>
      <c r="X7" s="2" t="str">
        <f ca="1">IFERROR(__xludf.DUMMYFUNCTION("""COMPUTED_VALUE"""),"")</f>
        <v/>
      </c>
      <c r="Y7" s="2" t="str">
        <f ca="1">IFERROR(__xludf.DUMMYFUNCTION("""COMPUTED_VALUE"""),"")</f>
        <v/>
      </c>
      <c r="Z7" s="2" t="str">
        <f ca="1">IFERROR(__xludf.DUMMYFUNCTION("""COMPUTED_VALUE"""),"")</f>
        <v/>
      </c>
      <c r="AA7" s="2">
        <f ca="1">IFERROR(__xludf.DUMMYFUNCTION("""COMPUTED_VALUE"""),1781111)</f>
        <v>1781111</v>
      </c>
      <c r="AB7" s="2">
        <f ca="1">IFERROR(__xludf.DUMMYFUNCTION("""COMPUTED_VALUE"""),5874194)</f>
        <v>5874194</v>
      </c>
      <c r="AC7" s="2">
        <f ca="1">IFERROR(__xludf.DUMMYFUNCTION("""COMPUTED_VALUE"""),32)</f>
        <v>32</v>
      </c>
      <c r="AD7" s="2" t="str">
        <f ca="1">IFERROR(__xludf.DUMMYFUNCTION("""COMPUTED_VALUE"""),"Medium - Signal was good but bird was not close.")</f>
        <v>Medium - Signal was good but bird was not close.</v>
      </c>
      <c r="AE7" s="2">
        <f ca="1">IFERROR(__xludf.DUMMYFUNCTION("""COMPUTED_VALUE"""),1781633)</f>
        <v>1781633</v>
      </c>
      <c r="AF7" s="2">
        <f ca="1">IFERROR(__xludf.DUMMYFUNCTION("""COMPUTED_VALUE"""),5874189)</f>
        <v>5874189</v>
      </c>
      <c r="AG7" s="2">
        <f ca="1">IFERROR(__xludf.DUMMYFUNCTION("""COMPUTED_VALUE"""),358)</f>
        <v>358</v>
      </c>
      <c r="AH7" s="2" t="str">
        <f ca="1">IFERROR(__xludf.DUMMYFUNCTION("""COMPUTED_VALUE"""),"Medium - Signal was good but bird was not close.")</f>
        <v>Medium - Signal was good but bird was not close.</v>
      </c>
      <c r="AI7" s="2">
        <f ca="1">IFERROR(__xludf.DUMMYFUNCTION("""COMPUTED_VALUE"""),1782393)</f>
        <v>1782393</v>
      </c>
      <c r="AJ7" s="2">
        <f ca="1">IFERROR(__xludf.DUMMYFUNCTION("""COMPUTED_VALUE"""),5874349)</f>
        <v>5874349</v>
      </c>
      <c r="AK7" s="2">
        <f ca="1">IFERROR(__xludf.DUMMYFUNCTION("""COMPUTED_VALUE"""),275)</f>
        <v>275</v>
      </c>
      <c r="AL7" s="2" t="str">
        <f ca="1">IFERROR(__xludf.DUMMYFUNCTION("""COMPUTED_VALUE"""),"Medium - Signal was good but bird was not close.")</f>
        <v>Medium - Signal was good but bird was not close.</v>
      </c>
      <c r="AM7" s="2" t="str">
        <f ca="1">IFERROR(__xludf.DUMMYFUNCTION("""COMPUTED_VALUE"""),"")</f>
        <v/>
      </c>
      <c r="AN7" s="2" t="str">
        <f ca="1">IFERROR(__xludf.DUMMYFUNCTION("""COMPUTED_VALUE"""),"")</f>
        <v/>
      </c>
      <c r="AO7" s="2" t="str">
        <f ca="1">IFERROR(__xludf.DUMMYFUNCTION("""COMPUTED_VALUE"""),"")</f>
        <v/>
      </c>
      <c r="AP7" s="2" t="str">
        <f ca="1">IFERROR(__xludf.DUMMYFUNCTION("""COMPUTED_VALUE"""),"")</f>
        <v/>
      </c>
      <c r="AQ7" s="2" t="str">
        <f ca="1">IFERROR(__xludf.DUMMYFUNCTION("""COMPUTED_VALUE"""),"")</f>
        <v/>
      </c>
      <c r="AR7" s="2" t="str">
        <f ca="1">IFERROR(__xludf.DUMMYFUNCTION("""COMPUTED_VALUE"""),"")</f>
        <v/>
      </c>
      <c r="AS7" s="2" t="str">
        <f ca="1">IFERROR(__xludf.DUMMYFUNCTION("""COMPUTED_VALUE"""),"")</f>
        <v/>
      </c>
      <c r="AT7" s="2" t="str">
        <f ca="1">IFERROR(__xludf.DUMMYFUNCTION("""COMPUTED_VALUE"""),"")</f>
        <v/>
      </c>
      <c r="AU7" s="2" t="str">
        <f ca="1">IFERROR(__xludf.DUMMYFUNCTION("""COMPUTED_VALUE"""),"no")</f>
        <v>no</v>
      </c>
      <c r="AV7" s="2" t="str">
        <f ca="1">IFERROR(__xludf.DUMMYFUNCTION("""COMPUTED_VALUE"""),"")</f>
        <v/>
      </c>
      <c r="AW7" s="2" t="str">
        <f ca="1">IFERROR(__xludf.DUMMYFUNCTION("""COMPUTED_VALUE"""),"")</f>
        <v/>
      </c>
      <c r="AX7" s="2" t="str">
        <f ca="1">IFERROR(__xludf.DUMMYFUNCTION("""COMPUTED_VALUE"""),"")</f>
        <v/>
      </c>
      <c r="AY7" s="2" t="str">
        <f ca="1">IFERROR(__xludf.DUMMYFUNCTION("""COMPUTED_VALUE"""),"")</f>
        <v/>
      </c>
      <c r="AZ7" s="2" t="str">
        <f ca="1">IFERROR(__xludf.DUMMYFUNCTION("""COMPUTED_VALUE"""),"")</f>
        <v/>
      </c>
      <c r="BA7" s="2" t="str">
        <f ca="1">IFERROR(__xludf.DUMMYFUNCTION("""COMPUTED_VALUE"""),"")</f>
        <v/>
      </c>
      <c r="BB7" s="2" t="str">
        <f ca="1">IFERROR(__xludf.DUMMYFUNCTION("""COMPUTED_VALUE"""),"")</f>
        <v/>
      </c>
      <c r="BC7" s="2" t="str">
        <f ca="1">IFERROR(__xludf.DUMMYFUNCTION("""COMPUTED_VALUE"""),"")</f>
        <v/>
      </c>
      <c r="BD7" s="2" t="str">
        <f ca="1">IFERROR(__xludf.DUMMYFUNCTION("""COMPUTED_VALUE"""),"")</f>
        <v/>
      </c>
      <c r="BE7" s="2" t="str">
        <f ca="1">IFERROR(__xludf.DUMMYFUNCTION("""COMPUTED_VALUE"""),"")</f>
        <v/>
      </c>
      <c r="BF7" t="str">
        <f ca="1">IFERROR(__xludf.DUMMYFUNCTION("""COMPUTED_VALUE"""),"")</f>
        <v/>
      </c>
      <c r="BG7" t="str">
        <f ca="1">IFERROR(__xludf.DUMMYFUNCTION("""COMPUTED_VALUE"""),"")</f>
        <v/>
      </c>
      <c r="BH7" s="2" t="str">
        <f ca="1">IFERROR(__xludf.DUMMYFUNCTION("""COMPUTED_VALUE"""),"")</f>
        <v/>
      </c>
      <c r="BI7" s="12" t="str">
        <f ca="1">IFERROR(__xludf.DUMMYFUNCTION("""COMPUTED_VALUE"""),"")</f>
        <v/>
      </c>
      <c r="BJ7" s="9" t="str">
        <f ca="1">IFERROR(__xludf.DUMMYFUNCTION("""COMPUTED_VALUE"""),"")</f>
        <v/>
      </c>
      <c r="BK7" s="4" t="str">
        <f ca="1">IFERROR(__xludf.DUMMYFUNCTION("""COMPUTED_VALUE"""),"")</f>
        <v/>
      </c>
    </row>
    <row r="8" spans="1:63" ht="15.75" customHeight="1" x14ac:dyDescent="0.25">
      <c r="A8" s="7">
        <f ca="1">IFERROR(__xludf.DUMMYFUNCTION("""COMPUTED_VALUE"""),43116.5990655555)</f>
        <v>43116.5990655555</v>
      </c>
      <c r="B8" s="8" t="str">
        <f ca="1">IFERROR(__xludf.DUMMYFUNCTION("""COMPUTED_VALUE"""),"Waikato")</f>
        <v>Waikato</v>
      </c>
      <c r="C8" s="2" t="str">
        <f ca="1">IFERROR(__xludf.DUMMYFUNCTION("""COMPUTED_VALUE"""),"")</f>
        <v/>
      </c>
      <c r="D8" s="9">
        <f ca="1">IFERROR(__xludf.DUMMYFUNCTION("""COMPUTED_VALUE"""),43089)</f>
        <v>43089</v>
      </c>
      <c r="E8" s="4">
        <f ca="1">IFERROR(__xludf.DUMMYFUNCTION("""COMPUTED_VALUE"""),0.541666666667879)</f>
        <v>0.54166666666787899</v>
      </c>
      <c r="F8" s="2" t="str">
        <f ca="1">IFERROR(__xludf.DUMMYFUNCTION("""COMPUTED_VALUE"""),"Whangamarino northern bog, Coalfields Rd")</f>
        <v>Whangamarino northern bog, Coalfields Rd</v>
      </c>
      <c r="G8" s="2" t="str">
        <f ca="1">IFERROR(__xludf.DUMMYFUNCTION("""COMPUTED_VALUE"""),"VHF (Mortality): I just listened to see if the signal was on mortality")</f>
        <v>VHF (Mortality): I just listened to see if the signal was on mortality</v>
      </c>
      <c r="H8" s="2" t="str">
        <f ca="1">IFERROR(__xludf.DUMMYFUNCTION("""COMPUTED_VALUE"""),"")</f>
        <v/>
      </c>
      <c r="I8" s="2" t="str">
        <f ca="1">IFERROR(__xludf.DUMMYFUNCTION("""COMPUTED_VALUE"""),"")</f>
        <v/>
      </c>
      <c r="J8" s="2" t="str">
        <f ca="1">IFERROR(__xludf.DUMMYFUNCTION("""COMPUTED_VALUE"""),"")</f>
        <v/>
      </c>
      <c r="K8" s="2" t="str">
        <f ca="1">IFERROR(__xludf.DUMMYFUNCTION("""COMPUTED_VALUE"""),"")</f>
        <v/>
      </c>
      <c r="L8" s="2" t="str">
        <f ca="1">IFERROR(__xludf.DUMMYFUNCTION("""COMPUTED_VALUE"""),"")</f>
        <v/>
      </c>
      <c r="M8" s="5" t="str">
        <f ca="1">IFERROR(__xludf.DUMMYFUNCTION("""COMPUTED_VALUE"""),"")</f>
        <v/>
      </c>
      <c r="N8" s="5" t="str">
        <f ca="1">IFERROR(__xludf.DUMMYFUNCTION("""COMPUTED_VALUE"""),"")</f>
        <v/>
      </c>
      <c r="O8" s="2" t="str">
        <f ca="1">IFERROR(__xludf.DUMMYFUNCTION("""COMPUTED_VALUE"""),"")</f>
        <v/>
      </c>
      <c r="P8" s="2" t="str">
        <f ca="1">IFERROR(__xludf.DUMMYFUNCTION("""COMPUTED_VALUE"""),"")</f>
        <v/>
      </c>
      <c r="Q8" s="2" t="str">
        <f ca="1">IFERROR(__xludf.DUMMYFUNCTION("""COMPUTED_VALUE"""),"")</f>
        <v/>
      </c>
      <c r="R8" s="2" t="str">
        <f ca="1">IFERROR(__xludf.DUMMYFUNCTION("""COMPUTED_VALUE"""),"")</f>
        <v/>
      </c>
      <c r="S8" s="2" t="str">
        <f ca="1">IFERROR(__xludf.DUMMYFUNCTION("""COMPUTED_VALUE"""),"")</f>
        <v/>
      </c>
      <c r="T8" s="2" t="str">
        <f ca="1">IFERROR(__xludf.DUMMYFUNCTION("""COMPUTED_VALUE"""),"")</f>
        <v/>
      </c>
      <c r="U8" s="2" t="str">
        <f ca="1">IFERROR(__xludf.DUMMYFUNCTION("""COMPUTED_VALUE"""),"")</f>
        <v/>
      </c>
      <c r="V8" s="2" t="str">
        <f ca="1">IFERROR(__xludf.DUMMYFUNCTION("""COMPUTED_VALUE"""),"")</f>
        <v/>
      </c>
      <c r="W8" s="2" t="str">
        <f ca="1">IFERROR(__xludf.DUMMYFUNCTION("""COMPUTED_VALUE"""),"")</f>
        <v/>
      </c>
      <c r="X8" s="2" t="str">
        <f ca="1">IFERROR(__xludf.DUMMYFUNCTION("""COMPUTED_VALUE"""),"")</f>
        <v/>
      </c>
      <c r="Y8" s="2" t="str">
        <f ca="1">IFERROR(__xludf.DUMMYFUNCTION("""COMPUTED_VALUE"""),"")</f>
        <v/>
      </c>
      <c r="Z8" s="2" t="str">
        <f ca="1">IFERROR(__xludf.DUMMYFUNCTION("""COMPUTED_VALUE"""),"")</f>
        <v/>
      </c>
      <c r="AA8" s="2" t="str">
        <f ca="1">IFERROR(__xludf.DUMMYFUNCTION("""COMPUTED_VALUE"""),"")</f>
        <v/>
      </c>
      <c r="AB8" s="2" t="str">
        <f ca="1">IFERROR(__xludf.DUMMYFUNCTION("""COMPUTED_VALUE"""),"")</f>
        <v/>
      </c>
      <c r="AC8" s="2" t="str">
        <f ca="1">IFERROR(__xludf.DUMMYFUNCTION("""COMPUTED_VALUE"""),"")</f>
        <v/>
      </c>
      <c r="AD8" s="2" t="str">
        <f ca="1">IFERROR(__xludf.DUMMYFUNCTION("""COMPUTED_VALUE"""),"")</f>
        <v/>
      </c>
      <c r="AE8" s="2" t="str">
        <f ca="1">IFERROR(__xludf.DUMMYFUNCTION("""COMPUTED_VALUE"""),"")</f>
        <v/>
      </c>
      <c r="AF8" s="2" t="str">
        <f ca="1">IFERROR(__xludf.DUMMYFUNCTION("""COMPUTED_VALUE"""),"")</f>
        <v/>
      </c>
      <c r="AG8" s="2" t="str">
        <f ca="1">IFERROR(__xludf.DUMMYFUNCTION("""COMPUTED_VALUE"""),"")</f>
        <v/>
      </c>
      <c r="AH8" s="2" t="str">
        <f ca="1">IFERROR(__xludf.DUMMYFUNCTION("""COMPUTED_VALUE"""),"")</f>
        <v/>
      </c>
      <c r="AI8" s="2" t="str">
        <f ca="1">IFERROR(__xludf.DUMMYFUNCTION("""COMPUTED_VALUE"""),"")</f>
        <v/>
      </c>
      <c r="AJ8" s="2" t="str">
        <f ca="1">IFERROR(__xludf.DUMMYFUNCTION("""COMPUTED_VALUE"""),"")</f>
        <v/>
      </c>
      <c r="AK8" s="2" t="str">
        <f ca="1">IFERROR(__xludf.DUMMYFUNCTION("""COMPUTED_VALUE"""),"")</f>
        <v/>
      </c>
      <c r="AL8" s="2" t="str">
        <f ca="1">IFERROR(__xludf.DUMMYFUNCTION("""COMPUTED_VALUE"""),"")</f>
        <v/>
      </c>
      <c r="AM8" s="2" t="str">
        <f ca="1">IFERROR(__xludf.DUMMYFUNCTION("""COMPUTED_VALUE"""),"")</f>
        <v/>
      </c>
      <c r="AN8" s="2" t="str">
        <f ca="1">IFERROR(__xludf.DUMMYFUNCTION("""COMPUTED_VALUE"""),"")</f>
        <v/>
      </c>
      <c r="AO8" s="2" t="str">
        <f ca="1">IFERROR(__xludf.DUMMYFUNCTION("""COMPUTED_VALUE"""),"")</f>
        <v/>
      </c>
      <c r="AP8" s="2" t="str">
        <f ca="1">IFERROR(__xludf.DUMMYFUNCTION("""COMPUTED_VALUE"""),"")</f>
        <v/>
      </c>
      <c r="AQ8" s="2" t="str">
        <f ca="1">IFERROR(__xludf.DUMMYFUNCTION("""COMPUTED_VALUE"""),"")</f>
        <v/>
      </c>
      <c r="AR8" s="2" t="str">
        <f ca="1">IFERROR(__xludf.DUMMYFUNCTION("""COMPUTED_VALUE"""),"")</f>
        <v/>
      </c>
      <c r="AS8" s="2" t="str">
        <f ca="1">IFERROR(__xludf.DUMMYFUNCTION("""COMPUTED_VALUE"""),"")</f>
        <v/>
      </c>
      <c r="AT8" s="2" t="str">
        <f ca="1">IFERROR(__xludf.DUMMYFUNCTION("""COMPUTED_VALUE"""),"")</f>
        <v/>
      </c>
      <c r="AU8" s="2" t="str">
        <f ca="1">IFERROR(__xludf.DUMMYFUNCTION("""COMPUTED_VALUE"""),"")</f>
        <v/>
      </c>
      <c r="AV8" s="2" t="str">
        <f ca="1">IFERROR(__xludf.DUMMYFUNCTION("""COMPUTED_VALUE"""),"30 pulses per minute - great all is well")</f>
        <v>30 pulses per minute - great all is well</v>
      </c>
      <c r="AW8" s="2">
        <f ca="1">IFERROR(__xludf.DUMMYFUNCTION("""COMPUTED_VALUE"""),1791472)</f>
        <v>1791472</v>
      </c>
      <c r="AX8" s="2">
        <f ca="1">IFERROR(__xludf.DUMMYFUNCTION("""COMPUTED_VALUE"""),5869096)</f>
        <v>5869096</v>
      </c>
      <c r="AY8" s="2" t="str">
        <f ca="1">IFERROR(__xludf.DUMMYFUNCTION("""COMPUTED_VALUE"""),"Weak signal and fading in and out but definitely a live signal. Still in same area as he was caught.")</f>
        <v>Weak signal and fading in and out but definitely a live signal. Still in same area as he was caught.</v>
      </c>
      <c r="AZ8" s="2" t="str">
        <f ca="1">IFERROR(__xludf.DUMMYFUNCTION("""COMPUTED_VALUE"""),"")</f>
        <v/>
      </c>
      <c r="BA8" s="2" t="str">
        <f ca="1">IFERROR(__xludf.DUMMYFUNCTION("""COMPUTED_VALUE"""),"")</f>
        <v/>
      </c>
      <c r="BB8" s="2" t="str">
        <f ca="1">IFERROR(__xludf.DUMMYFUNCTION("""COMPUTED_VALUE"""),"")</f>
        <v/>
      </c>
      <c r="BC8" s="2" t="str">
        <f ca="1">IFERROR(__xludf.DUMMYFUNCTION("""COMPUTED_VALUE"""),"")</f>
        <v/>
      </c>
      <c r="BD8" s="2" t="str">
        <f ca="1">IFERROR(__xludf.DUMMYFUNCTION("""COMPUTED_VALUE"""),"")</f>
        <v/>
      </c>
      <c r="BE8" s="2" t="str">
        <f ca="1">IFERROR(__xludf.DUMMYFUNCTION("""COMPUTED_VALUE"""),"")</f>
        <v/>
      </c>
      <c r="BF8" t="str">
        <f ca="1">IFERROR(__xludf.DUMMYFUNCTION("""COMPUTED_VALUE"""),"")</f>
        <v/>
      </c>
      <c r="BG8" t="str">
        <f ca="1">IFERROR(__xludf.DUMMYFUNCTION("""COMPUTED_VALUE"""),"")</f>
        <v/>
      </c>
      <c r="BH8" s="2" t="str">
        <f ca="1">IFERROR(__xludf.DUMMYFUNCTION("""COMPUTED_VALUE"""),"")</f>
        <v/>
      </c>
      <c r="BI8" s="13" t="str">
        <f ca="1">IFERROR(__xludf.DUMMYFUNCTION("""COMPUTED_VALUE"""),"")</f>
        <v/>
      </c>
      <c r="BJ8" s="9" t="str">
        <f ca="1">IFERROR(__xludf.DUMMYFUNCTION("""COMPUTED_VALUE"""),"")</f>
        <v/>
      </c>
      <c r="BK8" s="4" t="str">
        <f ca="1">IFERROR(__xludf.DUMMYFUNCTION("""COMPUTED_VALUE"""),"")</f>
        <v/>
      </c>
    </row>
    <row r="9" spans="1:63" ht="15.75" customHeight="1" x14ac:dyDescent="0.25">
      <c r="A9" s="7">
        <f ca="1">IFERROR(__xludf.DUMMYFUNCTION("""COMPUTED_VALUE"""),43116.6096926851)</f>
        <v>43116.609692685102</v>
      </c>
      <c r="B9" s="8" t="str">
        <f ca="1">IFERROR(__xludf.DUMMYFUNCTION("""COMPUTED_VALUE"""),"Waikato")</f>
        <v>Waikato</v>
      </c>
      <c r="C9" s="2" t="str">
        <f ca="1">IFERROR(__xludf.DUMMYFUNCTION("""COMPUTED_VALUE"""),"")</f>
        <v/>
      </c>
      <c r="D9" s="9">
        <f ca="1">IFERROR(__xludf.DUMMYFUNCTION("""COMPUTED_VALUE"""),43104)</f>
        <v>43104</v>
      </c>
      <c r="E9" s="4">
        <f ca="1">IFERROR(__xludf.DUMMYFUNCTION("""COMPUTED_VALUE"""),0.416666666667879)</f>
        <v>0.41666666666787899</v>
      </c>
      <c r="F9" s="2" t="str">
        <f ca="1">IFERROR(__xludf.DUMMYFUNCTION("""COMPUTED_VALUE"""),"Whangamarino")</f>
        <v>Whangamarino</v>
      </c>
      <c r="G9" s="2" t="str">
        <f ca="1">IFERROR(__xludf.DUMMYFUNCTION("""COMPUTED_VALUE"""),"None: I listened for the bird but was unable to find it")</f>
        <v>None: I listened for the bird but was unable to find it</v>
      </c>
      <c r="H9" s="2" t="str">
        <f ca="1">IFERROR(__xludf.DUMMYFUNCTION("""COMPUTED_VALUE"""),"")</f>
        <v/>
      </c>
      <c r="I9" s="2" t="str">
        <f ca="1">IFERROR(__xludf.DUMMYFUNCTION("""COMPUTED_VALUE"""),"")</f>
        <v/>
      </c>
      <c r="J9" s="2" t="str">
        <f ca="1">IFERROR(__xludf.DUMMYFUNCTION("""COMPUTED_VALUE"""),"")</f>
        <v/>
      </c>
      <c r="K9" s="2" t="str">
        <f ca="1">IFERROR(__xludf.DUMMYFUNCTION("""COMPUTED_VALUE"""),"")</f>
        <v/>
      </c>
      <c r="L9" s="2" t="str">
        <f ca="1">IFERROR(__xludf.DUMMYFUNCTION("""COMPUTED_VALUE"""),"")</f>
        <v/>
      </c>
      <c r="M9" s="5" t="str">
        <f ca="1">IFERROR(__xludf.DUMMYFUNCTION("""COMPUTED_VALUE"""),"")</f>
        <v/>
      </c>
      <c r="N9" s="5" t="str">
        <f ca="1">IFERROR(__xludf.DUMMYFUNCTION("""COMPUTED_VALUE"""),"")</f>
        <v/>
      </c>
      <c r="O9" s="2" t="str">
        <f ca="1">IFERROR(__xludf.DUMMYFUNCTION("""COMPUTED_VALUE"""),"")</f>
        <v/>
      </c>
      <c r="P9" s="2" t="str">
        <f ca="1">IFERROR(__xludf.DUMMYFUNCTION("""COMPUTED_VALUE"""),"")</f>
        <v/>
      </c>
      <c r="Q9" s="2" t="str">
        <f ca="1">IFERROR(__xludf.DUMMYFUNCTION("""COMPUTED_VALUE"""),"")</f>
        <v/>
      </c>
      <c r="R9" s="2" t="str">
        <f ca="1">IFERROR(__xludf.DUMMYFUNCTION("""COMPUTED_VALUE"""),"")</f>
        <v/>
      </c>
      <c r="S9" s="2" t="str">
        <f ca="1">IFERROR(__xludf.DUMMYFUNCTION("""COMPUTED_VALUE"""),"")</f>
        <v/>
      </c>
      <c r="T9" s="2" t="str">
        <f ca="1">IFERROR(__xludf.DUMMYFUNCTION("""COMPUTED_VALUE"""),"")</f>
        <v/>
      </c>
      <c r="U9" s="2" t="str">
        <f ca="1">IFERROR(__xludf.DUMMYFUNCTION("""COMPUTED_VALUE"""),"")</f>
        <v/>
      </c>
      <c r="V9" s="2" t="str">
        <f ca="1">IFERROR(__xludf.DUMMYFUNCTION("""COMPUTED_VALUE"""),"")</f>
        <v/>
      </c>
      <c r="W9" s="2" t="str">
        <f ca="1">IFERROR(__xludf.DUMMYFUNCTION("""COMPUTED_VALUE"""),"")</f>
        <v/>
      </c>
      <c r="X9" s="2" t="str">
        <f ca="1">IFERROR(__xludf.DUMMYFUNCTION("""COMPUTED_VALUE"""),"")</f>
        <v/>
      </c>
      <c r="Y9" s="2" t="str">
        <f ca="1">IFERROR(__xludf.DUMMYFUNCTION("""COMPUTED_VALUE"""),"")</f>
        <v/>
      </c>
      <c r="Z9" s="2" t="str">
        <f ca="1">IFERROR(__xludf.DUMMYFUNCTION("""COMPUTED_VALUE"""),"")</f>
        <v/>
      </c>
      <c r="AA9" s="2" t="str">
        <f ca="1">IFERROR(__xludf.DUMMYFUNCTION("""COMPUTED_VALUE"""),"")</f>
        <v/>
      </c>
      <c r="AB9" s="2" t="str">
        <f ca="1">IFERROR(__xludf.DUMMYFUNCTION("""COMPUTED_VALUE"""),"")</f>
        <v/>
      </c>
      <c r="AC9" s="2" t="str">
        <f ca="1">IFERROR(__xludf.DUMMYFUNCTION("""COMPUTED_VALUE"""),"")</f>
        <v/>
      </c>
      <c r="AD9" s="2" t="str">
        <f ca="1">IFERROR(__xludf.DUMMYFUNCTION("""COMPUTED_VALUE"""),"")</f>
        <v/>
      </c>
      <c r="AE9" s="2" t="str">
        <f ca="1">IFERROR(__xludf.DUMMYFUNCTION("""COMPUTED_VALUE"""),"")</f>
        <v/>
      </c>
      <c r="AF9" s="2" t="str">
        <f ca="1">IFERROR(__xludf.DUMMYFUNCTION("""COMPUTED_VALUE"""),"")</f>
        <v/>
      </c>
      <c r="AG9" s="2" t="str">
        <f ca="1">IFERROR(__xludf.DUMMYFUNCTION("""COMPUTED_VALUE"""),"")</f>
        <v/>
      </c>
      <c r="AH9" s="2" t="str">
        <f ca="1">IFERROR(__xludf.DUMMYFUNCTION("""COMPUTED_VALUE"""),"")</f>
        <v/>
      </c>
      <c r="AI9" s="2" t="str">
        <f ca="1">IFERROR(__xludf.DUMMYFUNCTION("""COMPUTED_VALUE"""),"")</f>
        <v/>
      </c>
      <c r="AJ9" s="2" t="str">
        <f ca="1">IFERROR(__xludf.DUMMYFUNCTION("""COMPUTED_VALUE"""),"")</f>
        <v/>
      </c>
      <c r="AK9" s="2" t="str">
        <f ca="1">IFERROR(__xludf.DUMMYFUNCTION("""COMPUTED_VALUE"""),"")</f>
        <v/>
      </c>
      <c r="AL9" s="2" t="str">
        <f ca="1">IFERROR(__xludf.DUMMYFUNCTION("""COMPUTED_VALUE"""),"")</f>
        <v/>
      </c>
      <c r="AM9" s="2" t="str">
        <f ca="1">IFERROR(__xludf.DUMMYFUNCTION("""COMPUTED_VALUE"""),"")</f>
        <v/>
      </c>
      <c r="AN9" s="2" t="str">
        <f ca="1">IFERROR(__xludf.DUMMYFUNCTION("""COMPUTED_VALUE"""),"")</f>
        <v/>
      </c>
      <c r="AO9" s="2" t="str">
        <f ca="1">IFERROR(__xludf.DUMMYFUNCTION("""COMPUTED_VALUE"""),"")</f>
        <v/>
      </c>
      <c r="AP9" s="2" t="str">
        <f ca="1">IFERROR(__xludf.DUMMYFUNCTION("""COMPUTED_VALUE"""),"")</f>
        <v/>
      </c>
      <c r="AQ9" s="2" t="str">
        <f ca="1">IFERROR(__xludf.DUMMYFUNCTION("""COMPUTED_VALUE"""),"")</f>
        <v/>
      </c>
      <c r="AR9" s="2" t="str">
        <f ca="1">IFERROR(__xludf.DUMMYFUNCTION("""COMPUTED_VALUE"""),"")</f>
        <v/>
      </c>
      <c r="AS9" s="2" t="str">
        <f ca="1">IFERROR(__xludf.DUMMYFUNCTION("""COMPUTED_VALUE"""),"")</f>
        <v/>
      </c>
      <c r="AT9" s="2" t="str">
        <f ca="1">IFERROR(__xludf.DUMMYFUNCTION("""COMPUTED_VALUE"""),"")</f>
        <v/>
      </c>
      <c r="AU9" s="2" t="str">
        <f ca="1">IFERROR(__xludf.DUMMYFUNCTION("""COMPUTED_VALUE"""),"")</f>
        <v/>
      </c>
      <c r="AV9" s="2" t="str">
        <f ca="1">IFERROR(__xludf.DUMMYFUNCTION("""COMPUTED_VALUE"""),"")</f>
        <v/>
      </c>
      <c r="AW9" s="2" t="str">
        <f ca="1">IFERROR(__xludf.DUMMYFUNCTION("""COMPUTED_VALUE"""),"")</f>
        <v/>
      </c>
      <c r="AX9" s="2" t="str">
        <f ca="1">IFERROR(__xludf.DUMMYFUNCTION("""COMPUTED_VALUE"""),"")</f>
        <v/>
      </c>
      <c r="AY9" s="2" t="str">
        <f ca="1">IFERROR(__xludf.DUMMYFUNCTION("""COMPUTED_VALUE"""),"")</f>
        <v/>
      </c>
      <c r="AZ9" s="2" t="str">
        <f ca="1">IFERROR(__xludf.DUMMYFUNCTION("""COMPUTED_VALUE"""),"")</f>
        <v/>
      </c>
      <c r="BA9" s="2" t="str">
        <f ca="1">IFERROR(__xludf.DUMMYFUNCTION("""COMPUTED_VALUE"""),"")</f>
        <v/>
      </c>
      <c r="BB9" s="2" t="str">
        <f ca="1">IFERROR(__xludf.DUMMYFUNCTION("""COMPUTED_VALUE"""),"")</f>
        <v/>
      </c>
      <c r="BC9" s="2" t="str">
        <f ca="1">IFERROR(__xludf.DUMMYFUNCTION("""COMPUTED_VALUE"""),"")</f>
        <v/>
      </c>
      <c r="BD9" s="2" t="str">
        <f ca="1">IFERROR(__xludf.DUMMYFUNCTION("""COMPUTED_VALUE"""),"Whangamarino - Coalfields Rd, Island Block Rd, Falls Rd")</f>
        <v>Whangamarino - Coalfields Rd, Island Block Rd, Falls Rd</v>
      </c>
      <c r="BE9" s="2" t="str">
        <f ca="1">IFERROR(__xludf.DUMMYFUNCTION("""COMPUTED_VALUE"""),"No")</f>
        <v>No</v>
      </c>
      <c r="BF9" t="str">
        <f ca="1">IFERROR(__xludf.DUMMYFUNCTION("""COMPUTED_VALUE"""),"")</f>
        <v/>
      </c>
      <c r="BG9" t="str">
        <f ca="1">IFERROR(__xludf.DUMMYFUNCTION("""COMPUTED_VALUE"""),"")</f>
        <v/>
      </c>
      <c r="BH9" s="2" t="str">
        <f ca="1">IFERROR(__xludf.DUMMYFUNCTION("""COMPUTED_VALUE"""),"")</f>
        <v/>
      </c>
      <c r="BI9" s="12" t="str">
        <f ca="1">IFERROR(__xludf.DUMMYFUNCTION("""COMPUTED_VALUE"""),"")</f>
        <v/>
      </c>
      <c r="BJ9" s="9" t="str">
        <f ca="1">IFERROR(__xludf.DUMMYFUNCTION("""COMPUTED_VALUE"""),"")</f>
        <v/>
      </c>
      <c r="BK9" s="4" t="str">
        <f ca="1">IFERROR(__xludf.DUMMYFUNCTION("""COMPUTED_VALUE"""),"")</f>
        <v/>
      </c>
    </row>
    <row r="10" spans="1:63" ht="15.75" customHeight="1" x14ac:dyDescent="0.25">
      <c r="A10" s="7">
        <f ca="1">IFERROR(__xludf.DUMMYFUNCTION("""COMPUTED_VALUE"""),43116.6112898379)</f>
        <v>43116.6112898379</v>
      </c>
      <c r="B10" s="8" t="str">
        <f ca="1">IFERROR(__xludf.DUMMYFUNCTION("""COMPUTED_VALUE"""),"Waikato")</f>
        <v>Waikato</v>
      </c>
      <c r="C10" s="2" t="str">
        <f ca="1">IFERROR(__xludf.DUMMYFUNCTION("""COMPUTED_VALUE"""),"")</f>
        <v/>
      </c>
      <c r="D10" s="9">
        <f ca="1">IFERROR(__xludf.DUMMYFUNCTION("""COMPUTED_VALUE"""),43109)</f>
        <v>43109</v>
      </c>
      <c r="E10" s="4">
        <f ca="1">IFERROR(__xludf.DUMMYFUNCTION("""COMPUTED_VALUE"""),0.4375)</f>
        <v>0.4375</v>
      </c>
      <c r="F10" s="2" t="str">
        <f ca="1">IFERROR(__xludf.DUMMYFUNCTION("""COMPUTED_VALUE"""),"Whangamarino")</f>
        <v>Whangamarino</v>
      </c>
      <c r="G10" s="2" t="str">
        <f ca="1">IFERROR(__xludf.DUMMYFUNCTION("""COMPUTED_VALUE"""),"None: I listened for the bird but was unable to find it")</f>
        <v>None: I listened for the bird but was unable to find it</v>
      </c>
      <c r="H10" s="2" t="str">
        <f ca="1">IFERROR(__xludf.DUMMYFUNCTION("""COMPUTED_VALUE"""),"")</f>
        <v/>
      </c>
      <c r="I10" s="2" t="str">
        <f ca="1">IFERROR(__xludf.DUMMYFUNCTION("""COMPUTED_VALUE"""),"")</f>
        <v/>
      </c>
      <c r="J10" s="2" t="str">
        <f ca="1">IFERROR(__xludf.DUMMYFUNCTION("""COMPUTED_VALUE"""),"")</f>
        <v/>
      </c>
      <c r="K10" s="2" t="str">
        <f ca="1">IFERROR(__xludf.DUMMYFUNCTION("""COMPUTED_VALUE"""),"")</f>
        <v/>
      </c>
      <c r="L10" s="2" t="str">
        <f ca="1">IFERROR(__xludf.DUMMYFUNCTION("""COMPUTED_VALUE"""),"")</f>
        <v/>
      </c>
      <c r="M10" s="5" t="str">
        <f ca="1">IFERROR(__xludf.DUMMYFUNCTION("""COMPUTED_VALUE"""),"")</f>
        <v/>
      </c>
      <c r="N10" s="5" t="str">
        <f ca="1">IFERROR(__xludf.DUMMYFUNCTION("""COMPUTED_VALUE"""),"")</f>
        <v/>
      </c>
      <c r="O10" s="2" t="str">
        <f ca="1">IFERROR(__xludf.DUMMYFUNCTION("""COMPUTED_VALUE"""),"")</f>
        <v/>
      </c>
      <c r="P10" s="2" t="str">
        <f ca="1">IFERROR(__xludf.DUMMYFUNCTION("""COMPUTED_VALUE"""),"")</f>
        <v/>
      </c>
      <c r="Q10" s="2" t="str">
        <f ca="1">IFERROR(__xludf.DUMMYFUNCTION("""COMPUTED_VALUE"""),"")</f>
        <v/>
      </c>
      <c r="R10" s="2" t="str">
        <f ca="1">IFERROR(__xludf.DUMMYFUNCTION("""COMPUTED_VALUE"""),"")</f>
        <v/>
      </c>
      <c r="S10" s="2" t="str">
        <f ca="1">IFERROR(__xludf.DUMMYFUNCTION("""COMPUTED_VALUE"""),"")</f>
        <v/>
      </c>
      <c r="T10" s="2" t="str">
        <f ca="1">IFERROR(__xludf.DUMMYFUNCTION("""COMPUTED_VALUE"""),"")</f>
        <v/>
      </c>
      <c r="U10" s="2" t="str">
        <f ca="1">IFERROR(__xludf.DUMMYFUNCTION("""COMPUTED_VALUE"""),"")</f>
        <v/>
      </c>
      <c r="V10" s="2" t="str">
        <f ca="1">IFERROR(__xludf.DUMMYFUNCTION("""COMPUTED_VALUE"""),"")</f>
        <v/>
      </c>
      <c r="W10" s="2" t="str">
        <f ca="1">IFERROR(__xludf.DUMMYFUNCTION("""COMPUTED_VALUE"""),"")</f>
        <v/>
      </c>
      <c r="X10" s="2" t="str">
        <f ca="1">IFERROR(__xludf.DUMMYFUNCTION("""COMPUTED_VALUE"""),"")</f>
        <v/>
      </c>
      <c r="Y10" s="2" t="str">
        <f ca="1">IFERROR(__xludf.DUMMYFUNCTION("""COMPUTED_VALUE"""),"")</f>
        <v/>
      </c>
      <c r="Z10" s="2" t="str">
        <f ca="1">IFERROR(__xludf.DUMMYFUNCTION("""COMPUTED_VALUE"""),"")</f>
        <v/>
      </c>
      <c r="AA10" s="2" t="str">
        <f ca="1">IFERROR(__xludf.DUMMYFUNCTION("""COMPUTED_VALUE"""),"")</f>
        <v/>
      </c>
      <c r="AB10" s="2" t="str">
        <f ca="1">IFERROR(__xludf.DUMMYFUNCTION("""COMPUTED_VALUE"""),"")</f>
        <v/>
      </c>
      <c r="AC10" s="2" t="str">
        <f ca="1">IFERROR(__xludf.DUMMYFUNCTION("""COMPUTED_VALUE"""),"")</f>
        <v/>
      </c>
      <c r="AD10" s="2" t="str">
        <f ca="1">IFERROR(__xludf.DUMMYFUNCTION("""COMPUTED_VALUE"""),"")</f>
        <v/>
      </c>
      <c r="AE10" s="2" t="str">
        <f ca="1">IFERROR(__xludf.DUMMYFUNCTION("""COMPUTED_VALUE"""),"")</f>
        <v/>
      </c>
      <c r="AF10" s="2" t="str">
        <f ca="1">IFERROR(__xludf.DUMMYFUNCTION("""COMPUTED_VALUE"""),"")</f>
        <v/>
      </c>
      <c r="AG10" s="2" t="str">
        <f ca="1">IFERROR(__xludf.DUMMYFUNCTION("""COMPUTED_VALUE"""),"")</f>
        <v/>
      </c>
      <c r="AH10" s="2" t="str">
        <f ca="1">IFERROR(__xludf.DUMMYFUNCTION("""COMPUTED_VALUE"""),"")</f>
        <v/>
      </c>
      <c r="AI10" s="2" t="str">
        <f ca="1">IFERROR(__xludf.DUMMYFUNCTION("""COMPUTED_VALUE"""),"")</f>
        <v/>
      </c>
      <c r="AJ10" s="2" t="str">
        <f ca="1">IFERROR(__xludf.DUMMYFUNCTION("""COMPUTED_VALUE"""),"")</f>
        <v/>
      </c>
      <c r="AK10" s="2" t="str">
        <f ca="1">IFERROR(__xludf.DUMMYFUNCTION("""COMPUTED_VALUE"""),"")</f>
        <v/>
      </c>
      <c r="AL10" s="2" t="str">
        <f ca="1">IFERROR(__xludf.DUMMYFUNCTION("""COMPUTED_VALUE"""),"")</f>
        <v/>
      </c>
      <c r="AM10" s="2" t="str">
        <f ca="1">IFERROR(__xludf.DUMMYFUNCTION("""COMPUTED_VALUE"""),"")</f>
        <v/>
      </c>
      <c r="AN10" s="2" t="str">
        <f ca="1">IFERROR(__xludf.DUMMYFUNCTION("""COMPUTED_VALUE"""),"")</f>
        <v/>
      </c>
      <c r="AO10" s="2" t="str">
        <f ca="1">IFERROR(__xludf.DUMMYFUNCTION("""COMPUTED_VALUE"""),"")</f>
        <v/>
      </c>
      <c r="AP10" s="2" t="str">
        <f ca="1">IFERROR(__xludf.DUMMYFUNCTION("""COMPUTED_VALUE"""),"")</f>
        <v/>
      </c>
      <c r="AQ10" s="2" t="str">
        <f ca="1">IFERROR(__xludf.DUMMYFUNCTION("""COMPUTED_VALUE"""),"")</f>
        <v/>
      </c>
      <c r="AR10" s="2" t="str">
        <f ca="1">IFERROR(__xludf.DUMMYFUNCTION("""COMPUTED_VALUE"""),"")</f>
        <v/>
      </c>
      <c r="AS10" s="2" t="str">
        <f ca="1">IFERROR(__xludf.DUMMYFUNCTION("""COMPUTED_VALUE"""),"")</f>
        <v/>
      </c>
      <c r="AT10" s="2" t="str">
        <f ca="1">IFERROR(__xludf.DUMMYFUNCTION("""COMPUTED_VALUE"""),"")</f>
        <v/>
      </c>
      <c r="AU10" s="2" t="str">
        <f ca="1">IFERROR(__xludf.DUMMYFUNCTION("""COMPUTED_VALUE"""),"")</f>
        <v/>
      </c>
      <c r="AV10" s="2" t="str">
        <f ca="1">IFERROR(__xludf.DUMMYFUNCTION("""COMPUTED_VALUE"""),"")</f>
        <v/>
      </c>
      <c r="AW10" s="2" t="str">
        <f ca="1">IFERROR(__xludf.DUMMYFUNCTION("""COMPUTED_VALUE"""),"")</f>
        <v/>
      </c>
      <c r="AX10" s="2" t="str">
        <f ca="1">IFERROR(__xludf.DUMMYFUNCTION("""COMPUTED_VALUE"""),"")</f>
        <v/>
      </c>
      <c r="AY10" s="2" t="str">
        <f ca="1">IFERROR(__xludf.DUMMYFUNCTION("""COMPUTED_VALUE"""),"")</f>
        <v/>
      </c>
      <c r="AZ10" s="2" t="str">
        <f ca="1">IFERROR(__xludf.DUMMYFUNCTION("""COMPUTED_VALUE"""),"")</f>
        <v/>
      </c>
      <c r="BA10" s="2" t="str">
        <f ca="1">IFERROR(__xludf.DUMMYFUNCTION("""COMPUTED_VALUE"""),"")</f>
        <v/>
      </c>
      <c r="BB10" s="2" t="str">
        <f ca="1">IFERROR(__xludf.DUMMYFUNCTION("""COMPUTED_VALUE"""),"")</f>
        <v/>
      </c>
      <c r="BC10" s="2" t="str">
        <f ca="1">IFERROR(__xludf.DUMMYFUNCTION("""COMPUTED_VALUE"""),"")</f>
        <v/>
      </c>
      <c r="BD10" s="2" t="str">
        <f ca="1">IFERROR(__xludf.DUMMYFUNCTION("""COMPUTED_VALUE"""),"Whangamarino - Coalfields Rd, Island Block Rd, Falls Rd, Causeway, Hills behind Kopuku")</f>
        <v>Whangamarino - Coalfields Rd, Island Block Rd, Falls Rd, Causeway, Hills behind Kopuku</v>
      </c>
      <c r="BE10" s="2" t="str">
        <f ca="1">IFERROR(__xludf.DUMMYFUNCTION("""COMPUTED_VALUE"""),"No")</f>
        <v>No</v>
      </c>
      <c r="BF10" t="str">
        <f ca="1">IFERROR(__xludf.DUMMYFUNCTION("""COMPUTED_VALUE"""),"")</f>
        <v/>
      </c>
      <c r="BG10" t="str">
        <f ca="1">IFERROR(__xludf.DUMMYFUNCTION("""COMPUTED_VALUE"""),"")</f>
        <v/>
      </c>
      <c r="BH10" s="2" t="str">
        <f ca="1">IFERROR(__xludf.DUMMYFUNCTION("""COMPUTED_VALUE"""),"")</f>
        <v/>
      </c>
      <c r="BI10" s="13" t="str">
        <f ca="1">IFERROR(__xludf.DUMMYFUNCTION("""COMPUTED_VALUE"""),"")</f>
        <v/>
      </c>
      <c r="BJ10" s="9" t="str">
        <f ca="1">IFERROR(__xludf.DUMMYFUNCTION("""COMPUTED_VALUE"""),"")</f>
        <v/>
      </c>
      <c r="BK10" s="4" t="str">
        <f ca="1">IFERROR(__xludf.DUMMYFUNCTION("""COMPUTED_VALUE"""),"")</f>
        <v/>
      </c>
    </row>
    <row r="11" spans="1:63" ht="15.75" customHeight="1" x14ac:dyDescent="0.25">
      <c r="A11" s="7">
        <f ca="1">IFERROR(__xludf.DUMMYFUNCTION("""COMPUTED_VALUE"""),43119.3485479513)</f>
        <v>43119.348547951296</v>
      </c>
      <c r="B11" s="8" t="str">
        <f ca="1">IFERROR(__xludf.DUMMYFUNCTION("""COMPUTED_VALUE"""),"Waikato")</f>
        <v>Waikato</v>
      </c>
      <c r="C11" s="2" t="str">
        <f ca="1">IFERROR(__xludf.DUMMYFUNCTION("""COMPUTED_VALUE"""),"")</f>
        <v/>
      </c>
      <c r="D11" s="9">
        <f ca="1">IFERROR(__xludf.DUMMYFUNCTION("""COMPUTED_VALUE"""),43118)</f>
        <v>43118</v>
      </c>
      <c r="E11" s="4">
        <f ca="1">IFERROR(__xludf.DUMMYFUNCTION("""COMPUTED_VALUE"""),0.388888888890505)</f>
        <v>0.38888888889050499</v>
      </c>
      <c r="F11" s="2" t="str">
        <f ca="1">IFERROR(__xludf.DUMMYFUNCTION("""COMPUTED_VALUE"""),"Dean Wetland")</f>
        <v>Dean Wetland</v>
      </c>
      <c r="G11" s="2" t="str">
        <f ca="1">IFERROR(__xludf.DUMMYFUNCTION("""COMPUTED_VALUE"""),"VHF (triangulation): I triangulated the bird with at least three bearings")</f>
        <v>VHF (triangulation): I triangulated the bird with at least three bearings</v>
      </c>
      <c r="H11" s="2" t="str">
        <f ca="1">IFERROR(__xludf.DUMMYFUNCTION("""COMPUTED_VALUE"""),"")</f>
        <v/>
      </c>
      <c r="I11" s="2" t="str">
        <f ca="1">IFERROR(__xludf.DUMMYFUNCTION("""COMPUTED_VALUE"""),"")</f>
        <v/>
      </c>
      <c r="J11" s="2" t="str">
        <f ca="1">IFERROR(__xludf.DUMMYFUNCTION("""COMPUTED_VALUE"""),"")</f>
        <v/>
      </c>
      <c r="K11" s="2" t="str">
        <f ca="1">IFERROR(__xludf.DUMMYFUNCTION("""COMPUTED_VALUE"""),"")</f>
        <v/>
      </c>
      <c r="L11" s="2" t="str">
        <f ca="1">IFERROR(__xludf.DUMMYFUNCTION("""COMPUTED_VALUE"""),"")</f>
        <v/>
      </c>
      <c r="M11" s="5" t="str">
        <f ca="1">IFERROR(__xludf.DUMMYFUNCTION("""COMPUTED_VALUE"""),"")</f>
        <v/>
      </c>
      <c r="N11" s="5" t="str">
        <f ca="1">IFERROR(__xludf.DUMMYFUNCTION("""COMPUTED_VALUE"""),"")</f>
        <v/>
      </c>
      <c r="O11" s="2" t="str">
        <f ca="1">IFERROR(__xludf.DUMMYFUNCTION("""COMPUTED_VALUE"""),"")</f>
        <v/>
      </c>
      <c r="P11" s="2" t="str">
        <f ca="1">IFERROR(__xludf.DUMMYFUNCTION("""COMPUTED_VALUE"""),"")</f>
        <v/>
      </c>
      <c r="Q11" s="2" t="str">
        <f ca="1">IFERROR(__xludf.DUMMYFUNCTION("""COMPUTED_VALUE"""),"")</f>
        <v/>
      </c>
      <c r="R11" s="2" t="str">
        <f ca="1">IFERROR(__xludf.DUMMYFUNCTION("""COMPUTED_VALUE"""),"")</f>
        <v/>
      </c>
      <c r="S11" s="2" t="str">
        <f ca="1">IFERROR(__xludf.DUMMYFUNCTION("""COMPUTED_VALUE"""),"")</f>
        <v/>
      </c>
      <c r="T11" s="2" t="str">
        <f ca="1">IFERROR(__xludf.DUMMYFUNCTION("""COMPUTED_VALUE"""),"")</f>
        <v/>
      </c>
      <c r="U11" s="2" t="str">
        <f ca="1">IFERROR(__xludf.DUMMYFUNCTION("""COMPUTED_VALUE"""),"")</f>
        <v/>
      </c>
      <c r="V11" s="2" t="str">
        <f ca="1">IFERROR(__xludf.DUMMYFUNCTION("""COMPUTED_VALUE"""),"")</f>
        <v/>
      </c>
      <c r="W11" s="2" t="str">
        <f ca="1">IFERROR(__xludf.DUMMYFUNCTION("""COMPUTED_VALUE"""),"")</f>
        <v/>
      </c>
      <c r="X11" s="2" t="str">
        <f ca="1">IFERROR(__xludf.DUMMYFUNCTION("""COMPUTED_VALUE"""),"")</f>
        <v/>
      </c>
      <c r="Y11" s="2" t="str">
        <f ca="1">IFERROR(__xludf.DUMMYFUNCTION("""COMPUTED_VALUE"""),"")</f>
        <v/>
      </c>
      <c r="Z11" s="2" t="str">
        <f ca="1">IFERROR(__xludf.DUMMYFUNCTION("""COMPUTED_VALUE"""),"")</f>
        <v/>
      </c>
      <c r="AA11" s="2">
        <f ca="1">IFERROR(__xludf.DUMMYFUNCTION("""COMPUTED_VALUE"""),1781105)</f>
        <v>1781105</v>
      </c>
      <c r="AB11" s="2">
        <f ca="1">IFERROR(__xludf.DUMMYFUNCTION("""COMPUTED_VALUE"""),5874194)</f>
        <v>5874194</v>
      </c>
      <c r="AC11" s="2">
        <f ca="1">IFERROR(__xludf.DUMMYFUNCTION("""COMPUTED_VALUE"""),32)</f>
        <v>32</v>
      </c>
      <c r="AD11" s="2" t="str">
        <f ca="1">IFERROR(__xludf.DUMMYFUNCTION("""COMPUTED_VALUE"""),"Medium - Signal was good but bird was not close.")</f>
        <v>Medium - Signal was good but bird was not close.</v>
      </c>
      <c r="AE11" s="2">
        <f ca="1">IFERROR(__xludf.DUMMYFUNCTION("""COMPUTED_VALUE"""),1781634)</f>
        <v>1781634</v>
      </c>
      <c r="AF11" s="2">
        <f ca="1">IFERROR(__xludf.DUMMYFUNCTION("""COMPUTED_VALUE"""),5871485)</f>
        <v>5871485</v>
      </c>
      <c r="AG11" s="2">
        <f ca="1">IFERROR(__xludf.DUMMYFUNCTION("""COMPUTED_VALUE"""),5)</f>
        <v>5</v>
      </c>
      <c r="AH11" s="2" t="str">
        <f ca="1">IFERROR(__xludf.DUMMYFUNCTION("""COMPUTED_VALUE"""),"Medium - Signal was good but bird was not close.")</f>
        <v>Medium - Signal was good but bird was not close.</v>
      </c>
      <c r="AI11" s="2">
        <f ca="1">IFERROR(__xludf.DUMMYFUNCTION("""COMPUTED_VALUE"""),1782387)</f>
        <v>1782387</v>
      </c>
      <c r="AJ11" s="2">
        <f ca="1">IFERROR(__xludf.DUMMYFUNCTION("""COMPUTED_VALUE"""),5874344)</f>
        <v>5874344</v>
      </c>
      <c r="AK11" s="2">
        <f ca="1">IFERROR(__xludf.DUMMYFUNCTION("""COMPUTED_VALUE"""),270)</f>
        <v>270</v>
      </c>
      <c r="AL11" s="2" t="str">
        <f ca="1">IFERROR(__xludf.DUMMYFUNCTION("""COMPUTED_VALUE"""),"Medium - Signal was good but bird was not close.")</f>
        <v>Medium - Signal was good but bird was not close.</v>
      </c>
      <c r="AM11" s="2" t="str">
        <f ca="1">IFERROR(__xludf.DUMMYFUNCTION("""COMPUTED_VALUE"""),"")</f>
        <v/>
      </c>
      <c r="AN11" s="2" t="str">
        <f ca="1">IFERROR(__xludf.DUMMYFUNCTION("""COMPUTED_VALUE"""),"")</f>
        <v/>
      </c>
      <c r="AO11" s="2" t="str">
        <f ca="1">IFERROR(__xludf.DUMMYFUNCTION("""COMPUTED_VALUE"""),"")</f>
        <v/>
      </c>
      <c r="AP11" s="2" t="str">
        <f ca="1">IFERROR(__xludf.DUMMYFUNCTION("""COMPUTED_VALUE"""),"")</f>
        <v/>
      </c>
      <c r="AQ11" s="2" t="str">
        <f ca="1">IFERROR(__xludf.DUMMYFUNCTION("""COMPUTED_VALUE"""),"")</f>
        <v/>
      </c>
      <c r="AR11" s="2" t="str">
        <f ca="1">IFERROR(__xludf.DUMMYFUNCTION("""COMPUTED_VALUE"""),"")</f>
        <v/>
      </c>
      <c r="AS11" s="2" t="str">
        <f ca="1">IFERROR(__xludf.DUMMYFUNCTION("""COMPUTED_VALUE"""),"")</f>
        <v/>
      </c>
      <c r="AT11" s="2" t="str">
        <f ca="1">IFERROR(__xludf.DUMMYFUNCTION("""COMPUTED_VALUE"""),"")</f>
        <v/>
      </c>
      <c r="AU11" s="2" t="str">
        <f ca="1">IFERROR(__xludf.DUMMYFUNCTION("""COMPUTED_VALUE"""),"No")</f>
        <v>No</v>
      </c>
      <c r="AV11" s="2" t="str">
        <f ca="1">IFERROR(__xludf.DUMMYFUNCTION("""COMPUTED_VALUE"""),"")</f>
        <v/>
      </c>
      <c r="AW11" s="2" t="str">
        <f ca="1">IFERROR(__xludf.DUMMYFUNCTION("""COMPUTED_VALUE"""),"")</f>
        <v/>
      </c>
      <c r="AX11" s="2" t="str">
        <f ca="1">IFERROR(__xludf.DUMMYFUNCTION("""COMPUTED_VALUE"""),"")</f>
        <v/>
      </c>
      <c r="AY11" s="2" t="str">
        <f ca="1">IFERROR(__xludf.DUMMYFUNCTION("""COMPUTED_VALUE"""),"")</f>
        <v/>
      </c>
      <c r="AZ11" s="2" t="str">
        <f ca="1">IFERROR(__xludf.DUMMYFUNCTION("""COMPUTED_VALUE"""),"")</f>
        <v/>
      </c>
      <c r="BA11" s="2" t="str">
        <f ca="1">IFERROR(__xludf.DUMMYFUNCTION("""COMPUTED_VALUE"""),"")</f>
        <v/>
      </c>
      <c r="BB11" s="2" t="str">
        <f ca="1">IFERROR(__xludf.DUMMYFUNCTION("""COMPUTED_VALUE"""),"")</f>
        <v/>
      </c>
      <c r="BC11" s="2" t="str">
        <f ca="1">IFERROR(__xludf.DUMMYFUNCTION("""COMPUTED_VALUE"""),"")</f>
        <v/>
      </c>
      <c r="BD11" s="2" t="str">
        <f ca="1">IFERROR(__xludf.DUMMYFUNCTION("""COMPUTED_VALUE"""),"")</f>
        <v/>
      </c>
      <c r="BE11" s="2" t="str">
        <f ca="1">IFERROR(__xludf.DUMMYFUNCTION("""COMPUTED_VALUE"""),"")</f>
        <v/>
      </c>
      <c r="BF11" t="str">
        <f ca="1">IFERROR(__xludf.DUMMYFUNCTION("""COMPUTED_VALUE"""),"")</f>
        <v/>
      </c>
      <c r="BG11" t="str">
        <f ca="1">IFERROR(__xludf.DUMMYFUNCTION("""COMPUTED_VALUE"""),"")</f>
        <v/>
      </c>
      <c r="BH11" s="2" t="str">
        <f ca="1">IFERROR(__xludf.DUMMYFUNCTION("""COMPUTED_VALUE"""),"")</f>
        <v/>
      </c>
      <c r="BI11" s="12" t="str">
        <f ca="1">IFERROR(__xludf.DUMMYFUNCTION("""COMPUTED_VALUE"""),"")</f>
        <v/>
      </c>
      <c r="BJ11" s="9" t="str">
        <f ca="1">IFERROR(__xludf.DUMMYFUNCTION("""COMPUTED_VALUE"""),"")</f>
        <v/>
      </c>
      <c r="BK11" s="4" t="str">
        <f ca="1">IFERROR(__xludf.DUMMYFUNCTION("""COMPUTED_VALUE"""),"")</f>
        <v/>
      </c>
    </row>
    <row r="12" spans="1:63" ht="15.75" customHeight="1" x14ac:dyDescent="0.25">
      <c r="A12" s="7">
        <f ca="1">IFERROR(__xludf.DUMMYFUNCTION("""COMPUTED_VALUE"""),43132.3545487268)</f>
        <v>43132.354548726798</v>
      </c>
      <c r="B12" s="8" t="str">
        <f ca="1">IFERROR(__xludf.DUMMYFUNCTION("""COMPUTED_VALUE"""),"Waikato")</f>
        <v>Waikato</v>
      </c>
      <c r="C12" s="2" t="str">
        <f ca="1">IFERROR(__xludf.DUMMYFUNCTION("""COMPUTED_VALUE"""),"")</f>
        <v/>
      </c>
      <c r="D12" s="9">
        <f ca="1">IFERROR(__xludf.DUMMYFUNCTION("""COMPUTED_VALUE"""),43131)</f>
        <v>43131</v>
      </c>
      <c r="E12" s="4">
        <f ca="1">IFERROR(__xludf.DUMMYFUNCTION("""COMPUTED_VALUE"""),0.479166666667879)</f>
        <v>0.47916666666787899</v>
      </c>
      <c r="F12" s="2" t="str">
        <f ca="1">IFERROR(__xludf.DUMMYFUNCTION("""COMPUTED_VALUE"""),"Dean Wetland")</f>
        <v>Dean Wetland</v>
      </c>
      <c r="G12" s="2" t="str">
        <f ca="1">IFERROR(__xludf.DUMMYFUNCTION("""COMPUTED_VALUE"""),"VHF (triangulation): I triangulated the bird with at least three bearings")</f>
        <v>VHF (triangulation): I triangulated the bird with at least three bearings</v>
      </c>
      <c r="H12" s="2" t="str">
        <f ca="1">IFERROR(__xludf.DUMMYFUNCTION("""COMPUTED_VALUE"""),"")</f>
        <v/>
      </c>
      <c r="I12" s="2" t="str">
        <f ca="1">IFERROR(__xludf.DUMMYFUNCTION("""COMPUTED_VALUE"""),"")</f>
        <v/>
      </c>
      <c r="J12" s="2" t="str">
        <f ca="1">IFERROR(__xludf.DUMMYFUNCTION("""COMPUTED_VALUE"""),"")</f>
        <v/>
      </c>
      <c r="K12" s="2" t="str">
        <f ca="1">IFERROR(__xludf.DUMMYFUNCTION("""COMPUTED_VALUE"""),"")</f>
        <v/>
      </c>
      <c r="L12" s="2" t="str">
        <f ca="1">IFERROR(__xludf.DUMMYFUNCTION("""COMPUTED_VALUE"""),"")</f>
        <v/>
      </c>
      <c r="M12" s="5" t="str">
        <f ca="1">IFERROR(__xludf.DUMMYFUNCTION("""COMPUTED_VALUE"""),"")</f>
        <v/>
      </c>
      <c r="N12" s="5" t="str">
        <f ca="1">IFERROR(__xludf.DUMMYFUNCTION("""COMPUTED_VALUE"""),"")</f>
        <v/>
      </c>
      <c r="O12" s="2" t="str">
        <f ca="1">IFERROR(__xludf.DUMMYFUNCTION("""COMPUTED_VALUE"""),"")</f>
        <v/>
      </c>
      <c r="P12" s="2" t="str">
        <f ca="1">IFERROR(__xludf.DUMMYFUNCTION("""COMPUTED_VALUE"""),"")</f>
        <v/>
      </c>
      <c r="Q12" s="2" t="str">
        <f ca="1">IFERROR(__xludf.DUMMYFUNCTION("""COMPUTED_VALUE"""),"")</f>
        <v/>
      </c>
      <c r="R12" s="2" t="str">
        <f ca="1">IFERROR(__xludf.DUMMYFUNCTION("""COMPUTED_VALUE"""),"")</f>
        <v/>
      </c>
      <c r="S12" s="2" t="str">
        <f ca="1">IFERROR(__xludf.DUMMYFUNCTION("""COMPUTED_VALUE"""),"")</f>
        <v/>
      </c>
      <c r="T12" s="2" t="str">
        <f ca="1">IFERROR(__xludf.DUMMYFUNCTION("""COMPUTED_VALUE"""),"")</f>
        <v/>
      </c>
      <c r="U12" s="2" t="str">
        <f ca="1">IFERROR(__xludf.DUMMYFUNCTION("""COMPUTED_VALUE"""),"")</f>
        <v/>
      </c>
      <c r="V12" s="2" t="str">
        <f ca="1">IFERROR(__xludf.DUMMYFUNCTION("""COMPUTED_VALUE"""),"")</f>
        <v/>
      </c>
      <c r="W12" s="2" t="str">
        <f ca="1">IFERROR(__xludf.DUMMYFUNCTION("""COMPUTED_VALUE"""),"")</f>
        <v/>
      </c>
      <c r="X12" s="2" t="str">
        <f ca="1">IFERROR(__xludf.DUMMYFUNCTION("""COMPUTED_VALUE"""),"")</f>
        <v/>
      </c>
      <c r="Y12" s="2" t="str">
        <f ca="1">IFERROR(__xludf.DUMMYFUNCTION("""COMPUTED_VALUE"""),"")</f>
        <v/>
      </c>
      <c r="Z12" s="2" t="str">
        <f ca="1">IFERROR(__xludf.DUMMYFUNCTION("""COMPUTED_VALUE"""),"")</f>
        <v/>
      </c>
      <c r="AA12" s="2">
        <f ca="1">IFERROR(__xludf.DUMMYFUNCTION("""COMPUTED_VALUE"""),1781124)</f>
        <v>1781124</v>
      </c>
      <c r="AB12" s="2">
        <f ca="1">IFERROR(__xludf.DUMMYFUNCTION("""COMPUTED_VALUE"""),8574272)</f>
        <v>8574272</v>
      </c>
      <c r="AC12" s="2">
        <f ca="1">IFERROR(__xludf.DUMMYFUNCTION("""COMPUTED_VALUE"""),26)</f>
        <v>26</v>
      </c>
      <c r="AD12" s="2" t="str">
        <f ca="1">IFERROR(__xludf.DUMMYFUNCTION("""COMPUTED_VALUE"""),"Medium - Signal was good but bird was not close.")</f>
        <v>Medium - Signal was good but bird was not close.</v>
      </c>
      <c r="AE12" s="2">
        <f ca="1">IFERROR(__xludf.DUMMYFUNCTION("""COMPUTED_VALUE"""),1781630)</f>
        <v>1781630</v>
      </c>
      <c r="AF12" s="2">
        <f ca="1">IFERROR(__xludf.DUMMYFUNCTION("""COMPUTED_VALUE"""),5874186)</f>
        <v>5874186</v>
      </c>
      <c r="AG12" s="2">
        <f ca="1">IFERROR(__xludf.DUMMYFUNCTION("""COMPUTED_VALUE"""),350)</f>
        <v>350</v>
      </c>
      <c r="AH12" s="2" t="str">
        <f ca="1">IFERROR(__xludf.DUMMYFUNCTION("""COMPUTED_VALUE"""),"Medium - Signal was good but bird was not close.")</f>
        <v>Medium - Signal was good but bird was not close.</v>
      </c>
      <c r="AI12" s="2">
        <f ca="1">IFERROR(__xludf.DUMMYFUNCTION("""COMPUTED_VALUE"""),1782385)</f>
        <v>1782385</v>
      </c>
      <c r="AJ12" s="2">
        <f ca="1">IFERROR(__xludf.DUMMYFUNCTION("""COMPUTED_VALUE"""),5874347)</f>
        <v>5874347</v>
      </c>
      <c r="AK12" s="2">
        <f ca="1">IFERROR(__xludf.DUMMYFUNCTION("""COMPUTED_VALUE"""),282)</f>
        <v>282</v>
      </c>
      <c r="AL12" s="2" t="str">
        <f ca="1">IFERROR(__xludf.DUMMYFUNCTION("""COMPUTED_VALUE"""),"Medium - Signal was good but bird was not close.")</f>
        <v>Medium - Signal was good but bird was not close.</v>
      </c>
      <c r="AM12" s="2" t="str">
        <f ca="1">IFERROR(__xludf.DUMMYFUNCTION("""COMPUTED_VALUE"""),"")</f>
        <v/>
      </c>
      <c r="AN12" s="2" t="str">
        <f ca="1">IFERROR(__xludf.DUMMYFUNCTION("""COMPUTED_VALUE"""),"")</f>
        <v/>
      </c>
      <c r="AO12" s="2" t="str">
        <f ca="1">IFERROR(__xludf.DUMMYFUNCTION("""COMPUTED_VALUE"""),"")</f>
        <v/>
      </c>
      <c r="AP12" s="2" t="str">
        <f ca="1">IFERROR(__xludf.DUMMYFUNCTION("""COMPUTED_VALUE"""),"")</f>
        <v/>
      </c>
      <c r="AQ12" s="2" t="str">
        <f ca="1">IFERROR(__xludf.DUMMYFUNCTION("""COMPUTED_VALUE"""),"")</f>
        <v/>
      </c>
      <c r="AR12" s="2" t="str">
        <f ca="1">IFERROR(__xludf.DUMMYFUNCTION("""COMPUTED_VALUE"""),"")</f>
        <v/>
      </c>
      <c r="AS12" s="2" t="str">
        <f ca="1">IFERROR(__xludf.DUMMYFUNCTION("""COMPUTED_VALUE"""),"")</f>
        <v/>
      </c>
      <c r="AT12" s="2" t="str">
        <f ca="1">IFERROR(__xludf.DUMMYFUNCTION("""COMPUTED_VALUE"""),"")</f>
        <v/>
      </c>
      <c r="AU12" s="2" t="str">
        <f ca="1">IFERROR(__xludf.DUMMYFUNCTION("""COMPUTED_VALUE"""),"no")</f>
        <v>no</v>
      </c>
      <c r="AV12" s="2" t="str">
        <f ca="1">IFERROR(__xludf.DUMMYFUNCTION("""COMPUTED_VALUE"""),"")</f>
        <v/>
      </c>
      <c r="AW12" s="2" t="str">
        <f ca="1">IFERROR(__xludf.DUMMYFUNCTION("""COMPUTED_VALUE"""),"")</f>
        <v/>
      </c>
      <c r="AX12" s="2" t="str">
        <f ca="1">IFERROR(__xludf.DUMMYFUNCTION("""COMPUTED_VALUE"""),"")</f>
        <v/>
      </c>
      <c r="AY12" s="2" t="str">
        <f ca="1">IFERROR(__xludf.DUMMYFUNCTION("""COMPUTED_VALUE"""),"")</f>
        <v/>
      </c>
      <c r="AZ12" s="2" t="str">
        <f ca="1">IFERROR(__xludf.DUMMYFUNCTION("""COMPUTED_VALUE"""),"")</f>
        <v/>
      </c>
      <c r="BA12" s="2" t="str">
        <f ca="1">IFERROR(__xludf.DUMMYFUNCTION("""COMPUTED_VALUE"""),"")</f>
        <v/>
      </c>
      <c r="BB12" s="2" t="str">
        <f ca="1">IFERROR(__xludf.DUMMYFUNCTION("""COMPUTED_VALUE"""),"")</f>
        <v/>
      </c>
      <c r="BC12" s="2" t="str">
        <f ca="1">IFERROR(__xludf.DUMMYFUNCTION("""COMPUTED_VALUE"""),"")</f>
        <v/>
      </c>
      <c r="BD12" s="2" t="str">
        <f ca="1">IFERROR(__xludf.DUMMYFUNCTION("""COMPUTED_VALUE"""),"")</f>
        <v/>
      </c>
      <c r="BE12" s="2" t="str">
        <f ca="1">IFERROR(__xludf.DUMMYFUNCTION("""COMPUTED_VALUE"""),"")</f>
        <v/>
      </c>
      <c r="BF12" t="str">
        <f ca="1">IFERROR(__xludf.DUMMYFUNCTION("""COMPUTED_VALUE"""),"")</f>
        <v/>
      </c>
      <c r="BG12" t="str">
        <f ca="1">IFERROR(__xludf.DUMMYFUNCTION("""COMPUTED_VALUE"""),"")</f>
        <v/>
      </c>
      <c r="BH12" s="2" t="str">
        <f ca="1">IFERROR(__xludf.DUMMYFUNCTION("""COMPUTED_VALUE"""),"")</f>
        <v/>
      </c>
      <c r="BI12" s="13" t="str">
        <f ca="1">IFERROR(__xludf.DUMMYFUNCTION("""COMPUTED_VALUE"""),"")</f>
        <v/>
      </c>
      <c r="BJ12" s="9" t="str">
        <f ca="1">IFERROR(__xludf.DUMMYFUNCTION("""COMPUTED_VALUE"""),"")</f>
        <v/>
      </c>
      <c r="BK12" s="4" t="str">
        <f ca="1">IFERROR(__xludf.DUMMYFUNCTION("""COMPUTED_VALUE"""),"")</f>
        <v/>
      </c>
    </row>
    <row r="13" spans="1:63" ht="15.75" customHeight="1" x14ac:dyDescent="0.25">
      <c r="A13" s="7">
        <f ca="1">IFERROR(__xludf.DUMMYFUNCTION("""COMPUTED_VALUE"""),43143.3793155902)</f>
        <v>43143.379315590202</v>
      </c>
      <c r="B13" s="8" t="str">
        <f ca="1">IFERROR(__xludf.DUMMYFUNCTION("""COMPUTED_VALUE"""),"Waikato")</f>
        <v>Waikato</v>
      </c>
      <c r="C13" s="2" t="str">
        <f ca="1">IFERROR(__xludf.DUMMYFUNCTION("""COMPUTED_VALUE"""),"")</f>
        <v/>
      </c>
      <c r="D13" s="9">
        <f ca="1">IFERROR(__xludf.DUMMYFUNCTION("""COMPUTED_VALUE"""),43140)</f>
        <v>43140</v>
      </c>
      <c r="E13" s="4">
        <f ca="1">IFERROR(__xludf.DUMMYFUNCTION("""COMPUTED_VALUE"""),0.45833333333212)</f>
        <v>0.45833333333212001</v>
      </c>
      <c r="F13" s="2" t="str">
        <f ca="1">IFERROR(__xludf.DUMMYFUNCTION("""COMPUTED_VALUE"""),"Dean wetland")</f>
        <v>Dean wetland</v>
      </c>
      <c r="G13" s="2" t="str">
        <f ca="1">IFERROR(__xludf.DUMMYFUNCTION("""COMPUTED_VALUE"""),"VHF (close approach): I followed the signal until I got within 50 m of the bird")</f>
        <v>VHF (close approach): I followed the signal until I got within 50 m of the bird</v>
      </c>
      <c r="H13" s="2" t="str">
        <f ca="1">IFERROR(__xludf.DUMMYFUNCTION("""COMPUTED_VALUE"""),"")</f>
        <v/>
      </c>
      <c r="I13" s="2" t="str">
        <f ca="1">IFERROR(__xludf.DUMMYFUNCTION("""COMPUTED_VALUE"""),"")</f>
        <v/>
      </c>
      <c r="J13" s="2" t="str">
        <f ca="1">IFERROR(__xludf.DUMMYFUNCTION("""COMPUTED_VALUE"""),"")</f>
        <v/>
      </c>
      <c r="K13" s="2" t="str">
        <f ca="1">IFERROR(__xludf.DUMMYFUNCTION("""COMPUTED_VALUE"""),"")</f>
        <v/>
      </c>
      <c r="L13" s="2" t="str">
        <f ca="1">IFERROR(__xludf.DUMMYFUNCTION("""COMPUTED_VALUE"""),"No - I got very close to the bird but it was well hidden in the vegetation")</f>
        <v>No - I got very close to the bird but it was well hidden in the vegetation</v>
      </c>
      <c r="M13" s="5">
        <f ca="1">IFERROR(__xludf.DUMMYFUNCTION("""COMPUTED_VALUE"""),1781726)</f>
        <v>1781726</v>
      </c>
      <c r="N13" s="5">
        <f ca="1">IFERROR(__xludf.DUMMYFUNCTION("""COMPUTED_VALUE"""),5874437)</f>
        <v>5874437</v>
      </c>
      <c r="O13" s="2" t="str">
        <f ca="1">IFERROR(__xludf.DUMMYFUNCTION("""COMPUTED_VALUE"""),"")</f>
        <v/>
      </c>
      <c r="P13" s="2" t="str">
        <f ca="1">IFERROR(__xludf.DUMMYFUNCTION("""COMPUTED_VALUE"""),"N/A - not grazed")</f>
        <v>N/A - not grazed</v>
      </c>
      <c r="Q13" s="2" t="str">
        <f ca="1">IFERROR(__xludf.DUMMYFUNCTION("""COMPUTED_VALUE"""),"Wet")</f>
        <v>Wet</v>
      </c>
      <c r="R13" s="2" t="str">
        <f ca="1">IFERROR(__xludf.DUMMYFUNCTION("""COMPUTED_VALUE"""),"Don't know")</f>
        <v>Don't know</v>
      </c>
      <c r="S13" s="2" t="str">
        <f ca="1">IFERROR(__xludf.DUMMYFUNCTION("""COMPUTED_VALUE"""),"20m")</f>
        <v>20m</v>
      </c>
      <c r="T13" s="2" t="str">
        <f ca="1">IFERROR(__xludf.DUMMYFUNCTION("""COMPUTED_VALUE"""),"Don't know")</f>
        <v>Don't know</v>
      </c>
      <c r="U13" s="2" t="str">
        <f ca="1">IFERROR(__xludf.DUMMYFUNCTION("""COMPUTED_VALUE"""),"Close to edge of F&amp;G pond in very thick vegetation")</f>
        <v>Close to edge of F&amp;G pond in very thick vegetation</v>
      </c>
      <c r="V13" s="2" t="str">
        <f ca="1">IFERROR(__xludf.DUMMYFUNCTION("""COMPUTED_VALUE"""),"")</f>
        <v/>
      </c>
      <c r="W13" s="2" t="str">
        <f ca="1">IFERROR(__xludf.DUMMYFUNCTION("""COMPUTED_VALUE"""),"")</f>
        <v/>
      </c>
      <c r="X13" s="2" t="str">
        <f ca="1">IFERROR(__xludf.DUMMYFUNCTION("""COMPUTED_VALUE"""),"")</f>
        <v/>
      </c>
      <c r="Y13" s="2" t="str">
        <f ca="1">IFERROR(__xludf.DUMMYFUNCTION("""COMPUTED_VALUE"""),"")</f>
        <v/>
      </c>
      <c r="Z13" s="2" t="str">
        <f ca="1">IFERROR(__xludf.DUMMYFUNCTION("""COMPUTED_VALUE"""),"")</f>
        <v/>
      </c>
      <c r="AA13" s="2" t="str">
        <f ca="1">IFERROR(__xludf.DUMMYFUNCTION("""COMPUTED_VALUE"""),"")</f>
        <v/>
      </c>
      <c r="AB13" s="2" t="str">
        <f ca="1">IFERROR(__xludf.DUMMYFUNCTION("""COMPUTED_VALUE"""),"")</f>
        <v/>
      </c>
      <c r="AC13" s="2" t="str">
        <f ca="1">IFERROR(__xludf.DUMMYFUNCTION("""COMPUTED_VALUE"""),"")</f>
        <v/>
      </c>
      <c r="AD13" s="2" t="str">
        <f ca="1">IFERROR(__xludf.DUMMYFUNCTION("""COMPUTED_VALUE"""),"")</f>
        <v/>
      </c>
      <c r="AE13" s="2" t="str">
        <f ca="1">IFERROR(__xludf.DUMMYFUNCTION("""COMPUTED_VALUE"""),"")</f>
        <v/>
      </c>
      <c r="AF13" s="2" t="str">
        <f ca="1">IFERROR(__xludf.DUMMYFUNCTION("""COMPUTED_VALUE"""),"")</f>
        <v/>
      </c>
      <c r="AG13" s="2" t="str">
        <f ca="1">IFERROR(__xludf.DUMMYFUNCTION("""COMPUTED_VALUE"""),"")</f>
        <v/>
      </c>
      <c r="AH13" s="2" t="str">
        <f ca="1">IFERROR(__xludf.DUMMYFUNCTION("""COMPUTED_VALUE"""),"")</f>
        <v/>
      </c>
      <c r="AI13" s="2" t="str">
        <f ca="1">IFERROR(__xludf.DUMMYFUNCTION("""COMPUTED_VALUE"""),"")</f>
        <v/>
      </c>
      <c r="AJ13" s="2" t="str">
        <f ca="1">IFERROR(__xludf.DUMMYFUNCTION("""COMPUTED_VALUE"""),"")</f>
        <v/>
      </c>
      <c r="AK13" s="2" t="str">
        <f ca="1">IFERROR(__xludf.DUMMYFUNCTION("""COMPUTED_VALUE"""),"")</f>
        <v/>
      </c>
      <c r="AL13" s="2" t="str">
        <f ca="1">IFERROR(__xludf.DUMMYFUNCTION("""COMPUTED_VALUE"""),"")</f>
        <v/>
      </c>
      <c r="AM13" s="2" t="str">
        <f ca="1">IFERROR(__xludf.DUMMYFUNCTION("""COMPUTED_VALUE"""),"")</f>
        <v/>
      </c>
      <c r="AN13" s="2" t="str">
        <f ca="1">IFERROR(__xludf.DUMMYFUNCTION("""COMPUTED_VALUE"""),"")</f>
        <v/>
      </c>
      <c r="AO13" s="2" t="str">
        <f ca="1">IFERROR(__xludf.DUMMYFUNCTION("""COMPUTED_VALUE"""),"")</f>
        <v/>
      </c>
      <c r="AP13" s="2" t="str">
        <f ca="1">IFERROR(__xludf.DUMMYFUNCTION("""COMPUTED_VALUE"""),"")</f>
        <v/>
      </c>
      <c r="AQ13" s="2" t="str">
        <f ca="1">IFERROR(__xludf.DUMMYFUNCTION("""COMPUTED_VALUE"""),"")</f>
        <v/>
      </c>
      <c r="AR13" s="2" t="str">
        <f ca="1">IFERROR(__xludf.DUMMYFUNCTION("""COMPUTED_VALUE"""),"")</f>
        <v/>
      </c>
      <c r="AS13" s="2" t="str">
        <f ca="1">IFERROR(__xludf.DUMMYFUNCTION("""COMPUTED_VALUE"""),"")</f>
        <v/>
      </c>
      <c r="AT13" s="2" t="str">
        <f ca="1">IFERROR(__xludf.DUMMYFUNCTION("""COMPUTED_VALUE"""),"")</f>
        <v/>
      </c>
      <c r="AU13" s="2" t="str">
        <f ca="1">IFERROR(__xludf.DUMMYFUNCTION("""COMPUTED_VALUE"""),"")</f>
        <v/>
      </c>
      <c r="AV13" s="2" t="str">
        <f ca="1">IFERROR(__xludf.DUMMYFUNCTION("""COMPUTED_VALUE"""),"")</f>
        <v/>
      </c>
      <c r="AW13" s="2" t="str">
        <f ca="1">IFERROR(__xludf.DUMMYFUNCTION("""COMPUTED_VALUE"""),"")</f>
        <v/>
      </c>
      <c r="AX13" s="2" t="str">
        <f ca="1">IFERROR(__xludf.DUMMYFUNCTION("""COMPUTED_VALUE"""),"")</f>
        <v/>
      </c>
      <c r="AY13" s="2" t="str">
        <f ca="1">IFERROR(__xludf.DUMMYFUNCTION("""COMPUTED_VALUE"""),"")</f>
        <v/>
      </c>
      <c r="AZ13" s="2" t="str">
        <f ca="1">IFERROR(__xludf.DUMMYFUNCTION("""COMPUTED_VALUE"""),"")</f>
        <v/>
      </c>
      <c r="BA13" s="2" t="str">
        <f ca="1">IFERROR(__xludf.DUMMYFUNCTION("""COMPUTED_VALUE"""),"")</f>
        <v/>
      </c>
      <c r="BB13" s="2" t="str">
        <f ca="1">IFERROR(__xludf.DUMMYFUNCTION("""COMPUTED_VALUE"""),"")</f>
        <v/>
      </c>
      <c r="BC13" s="2" t="str">
        <f ca="1">IFERROR(__xludf.DUMMYFUNCTION("""COMPUTED_VALUE"""),"")</f>
        <v/>
      </c>
      <c r="BD13" s="2" t="str">
        <f ca="1">IFERROR(__xludf.DUMMYFUNCTION("""COMPUTED_VALUE"""),"")</f>
        <v/>
      </c>
      <c r="BE13" s="2" t="str">
        <f ca="1">IFERROR(__xludf.DUMMYFUNCTION("""COMPUTED_VALUE"""),"")</f>
        <v/>
      </c>
      <c r="BF13" t="str">
        <f ca="1">IFERROR(__xludf.DUMMYFUNCTION("""COMPUTED_VALUE"""),"")</f>
        <v/>
      </c>
      <c r="BG13" t="str">
        <f ca="1">IFERROR(__xludf.DUMMYFUNCTION("""COMPUTED_VALUE"""),"")</f>
        <v/>
      </c>
      <c r="BH13" s="2" t="str">
        <f ca="1">IFERROR(__xludf.DUMMYFUNCTION("""COMPUTED_VALUE"""),"")</f>
        <v/>
      </c>
      <c r="BI13" s="12" t="str">
        <f ca="1">IFERROR(__xludf.DUMMYFUNCTION("""COMPUTED_VALUE"""),"")</f>
        <v/>
      </c>
      <c r="BJ13" s="9" t="str">
        <f ca="1">IFERROR(__xludf.DUMMYFUNCTION("""COMPUTED_VALUE"""),"")</f>
        <v/>
      </c>
      <c r="BK13" s="4" t="str">
        <f ca="1">IFERROR(__xludf.DUMMYFUNCTION("""COMPUTED_VALUE"""),"")</f>
        <v/>
      </c>
    </row>
    <row r="14" spans="1:63" ht="15.75" customHeight="1" x14ac:dyDescent="0.25">
      <c r="A14" s="7">
        <f ca="1">IFERROR(__xludf.DUMMYFUNCTION("""COMPUTED_VALUE"""),43146.647467037)</f>
        <v>43146.647467037001</v>
      </c>
      <c r="B14" s="8" t="str">
        <f ca="1">IFERROR(__xludf.DUMMYFUNCTION("""COMPUTED_VALUE"""),"Waikato")</f>
        <v>Waikato</v>
      </c>
      <c r="C14" s="2" t="str">
        <f ca="1">IFERROR(__xludf.DUMMYFUNCTION("""COMPUTED_VALUE"""),"")</f>
        <v/>
      </c>
      <c r="D14" s="9">
        <f ca="1">IFERROR(__xludf.DUMMYFUNCTION("""COMPUTED_VALUE"""),43146)</f>
        <v>43146</v>
      </c>
      <c r="E14" s="4">
        <f ca="1">IFERROR(__xludf.DUMMYFUNCTION("""COMPUTED_VALUE"""),0.39583333333212)</f>
        <v>0.39583333333212001</v>
      </c>
      <c r="F14" s="2" t="str">
        <f ca="1">IFERROR(__xludf.DUMMYFUNCTION("""COMPUTED_VALUE"""),"Dean Wetland")</f>
        <v>Dean Wetland</v>
      </c>
      <c r="G14" s="2" t="str">
        <f ca="1">IFERROR(__xludf.DUMMYFUNCTION("""COMPUTED_VALUE"""),"VHF (triangulation): I triangulated the bird with at least three bearings")</f>
        <v>VHF (triangulation): I triangulated the bird with at least three bearings</v>
      </c>
      <c r="H14" s="2" t="str">
        <f ca="1">IFERROR(__xludf.DUMMYFUNCTION("""COMPUTED_VALUE"""),"")</f>
        <v/>
      </c>
      <c r="I14" s="2" t="str">
        <f ca="1">IFERROR(__xludf.DUMMYFUNCTION("""COMPUTED_VALUE"""),"")</f>
        <v/>
      </c>
      <c r="J14" s="2" t="str">
        <f ca="1">IFERROR(__xludf.DUMMYFUNCTION("""COMPUTED_VALUE"""),"")</f>
        <v/>
      </c>
      <c r="K14" s="2" t="str">
        <f ca="1">IFERROR(__xludf.DUMMYFUNCTION("""COMPUTED_VALUE"""),"")</f>
        <v/>
      </c>
      <c r="L14" s="2" t="str">
        <f ca="1">IFERROR(__xludf.DUMMYFUNCTION("""COMPUTED_VALUE"""),"")</f>
        <v/>
      </c>
      <c r="M14" s="5" t="str">
        <f ca="1">IFERROR(__xludf.DUMMYFUNCTION("""COMPUTED_VALUE"""),"")</f>
        <v/>
      </c>
      <c r="N14" s="5" t="str">
        <f ca="1">IFERROR(__xludf.DUMMYFUNCTION("""COMPUTED_VALUE"""),"")</f>
        <v/>
      </c>
      <c r="O14" s="2" t="str">
        <f ca="1">IFERROR(__xludf.DUMMYFUNCTION("""COMPUTED_VALUE"""),"")</f>
        <v/>
      </c>
      <c r="P14" s="2" t="str">
        <f ca="1">IFERROR(__xludf.DUMMYFUNCTION("""COMPUTED_VALUE"""),"")</f>
        <v/>
      </c>
      <c r="Q14" s="2" t="str">
        <f ca="1">IFERROR(__xludf.DUMMYFUNCTION("""COMPUTED_VALUE"""),"")</f>
        <v/>
      </c>
      <c r="R14" s="2" t="str">
        <f ca="1">IFERROR(__xludf.DUMMYFUNCTION("""COMPUTED_VALUE"""),"")</f>
        <v/>
      </c>
      <c r="S14" s="2" t="str">
        <f ca="1">IFERROR(__xludf.DUMMYFUNCTION("""COMPUTED_VALUE"""),"")</f>
        <v/>
      </c>
      <c r="T14" s="2" t="str">
        <f ca="1">IFERROR(__xludf.DUMMYFUNCTION("""COMPUTED_VALUE"""),"")</f>
        <v/>
      </c>
      <c r="U14" s="2" t="str">
        <f ca="1">IFERROR(__xludf.DUMMYFUNCTION("""COMPUTED_VALUE"""),"")</f>
        <v/>
      </c>
      <c r="V14" s="2" t="str">
        <f ca="1">IFERROR(__xludf.DUMMYFUNCTION("""COMPUTED_VALUE"""),"")</f>
        <v/>
      </c>
      <c r="W14" s="2" t="str">
        <f ca="1">IFERROR(__xludf.DUMMYFUNCTION("""COMPUTED_VALUE"""),"")</f>
        <v/>
      </c>
      <c r="X14" s="2" t="str">
        <f ca="1">IFERROR(__xludf.DUMMYFUNCTION("""COMPUTED_VALUE"""),"")</f>
        <v/>
      </c>
      <c r="Y14" s="2" t="str">
        <f ca="1">IFERROR(__xludf.DUMMYFUNCTION("""COMPUTED_VALUE"""),"")</f>
        <v/>
      </c>
      <c r="Z14" s="2" t="str">
        <f ca="1">IFERROR(__xludf.DUMMYFUNCTION("""COMPUTED_VALUE"""),"")</f>
        <v/>
      </c>
      <c r="AA14" s="2">
        <f ca="1">IFERROR(__xludf.DUMMYFUNCTION("""COMPUTED_VALUE"""),1781124)</f>
        <v>1781124</v>
      </c>
      <c r="AB14" s="2">
        <f ca="1">IFERROR(__xludf.DUMMYFUNCTION("""COMPUTED_VALUE"""),5874272)</f>
        <v>5874272</v>
      </c>
      <c r="AC14" s="2">
        <f ca="1">IFERROR(__xludf.DUMMYFUNCTION("""COMPUTED_VALUE"""),38)</f>
        <v>38</v>
      </c>
      <c r="AD14" s="2" t="str">
        <f ca="1">IFERROR(__xludf.DUMMYFUNCTION("""COMPUTED_VALUE"""),"Medium - Signal was good but bird was not close.")</f>
        <v>Medium - Signal was good but bird was not close.</v>
      </c>
      <c r="AE14" s="2">
        <f ca="1">IFERROR(__xludf.DUMMYFUNCTION("""COMPUTED_VALUE"""),1781630)</f>
        <v>1781630</v>
      </c>
      <c r="AF14" s="2">
        <f ca="1">IFERROR(__xludf.DUMMYFUNCTION("""COMPUTED_VALUE"""),5874186)</f>
        <v>5874186</v>
      </c>
      <c r="AG14" s="2">
        <f ca="1">IFERROR(__xludf.DUMMYFUNCTION("""COMPUTED_VALUE"""),347)</f>
        <v>347</v>
      </c>
      <c r="AH14" s="2" t="str">
        <f ca="1">IFERROR(__xludf.DUMMYFUNCTION("""COMPUTED_VALUE"""),"Medium - Signal was good but bird was not close.")</f>
        <v>Medium - Signal was good but bird was not close.</v>
      </c>
      <c r="AI14" s="2">
        <f ca="1">IFERROR(__xludf.DUMMYFUNCTION("""COMPUTED_VALUE"""),1782385)</f>
        <v>1782385</v>
      </c>
      <c r="AJ14" s="2">
        <f ca="1">IFERROR(__xludf.DUMMYFUNCTION("""COMPUTED_VALUE"""),5874347)</f>
        <v>5874347</v>
      </c>
      <c r="AK14" s="2">
        <f ca="1">IFERROR(__xludf.DUMMYFUNCTION("""COMPUTED_VALUE"""),259)</f>
        <v>259</v>
      </c>
      <c r="AL14" s="2" t="str">
        <f ca="1">IFERROR(__xludf.DUMMYFUNCTION("""COMPUTED_VALUE"""),"Medium - Signal was good but bird was not close.")</f>
        <v>Medium - Signal was good but bird was not close.</v>
      </c>
      <c r="AM14" s="2" t="str">
        <f ca="1">IFERROR(__xludf.DUMMYFUNCTION("""COMPUTED_VALUE"""),"")</f>
        <v/>
      </c>
      <c r="AN14" s="2" t="str">
        <f ca="1">IFERROR(__xludf.DUMMYFUNCTION("""COMPUTED_VALUE"""),"")</f>
        <v/>
      </c>
      <c r="AO14" s="2" t="str">
        <f ca="1">IFERROR(__xludf.DUMMYFUNCTION("""COMPUTED_VALUE"""),"")</f>
        <v/>
      </c>
      <c r="AP14" s="2" t="str">
        <f ca="1">IFERROR(__xludf.DUMMYFUNCTION("""COMPUTED_VALUE"""),"")</f>
        <v/>
      </c>
      <c r="AQ14" s="2" t="str">
        <f ca="1">IFERROR(__xludf.DUMMYFUNCTION("""COMPUTED_VALUE"""),"")</f>
        <v/>
      </c>
      <c r="AR14" s="2" t="str">
        <f ca="1">IFERROR(__xludf.DUMMYFUNCTION("""COMPUTED_VALUE"""),"")</f>
        <v/>
      </c>
      <c r="AS14" s="2" t="str">
        <f ca="1">IFERROR(__xludf.DUMMYFUNCTION("""COMPUTED_VALUE"""),"")</f>
        <v/>
      </c>
      <c r="AT14" s="2" t="str">
        <f ca="1">IFERROR(__xludf.DUMMYFUNCTION("""COMPUTED_VALUE"""),"")</f>
        <v/>
      </c>
      <c r="AU14" s="2" t="str">
        <f ca="1">IFERROR(__xludf.DUMMYFUNCTION("""COMPUTED_VALUE"""),"No")</f>
        <v>No</v>
      </c>
      <c r="AV14" s="2" t="str">
        <f ca="1">IFERROR(__xludf.DUMMYFUNCTION("""COMPUTED_VALUE"""),"")</f>
        <v/>
      </c>
      <c r="AW14" s="2" t="str">
        <f ca="1">IFERROR(__xludf.DUMMYFUNCTION("""COMPUTED_VALUE"""),"")</f>
        <v/>
      </c>
      <c r="AX14" s="2" t="str">
        <f ca="1">IFERROR(__xludf.DUMMYFUNCTION("""COMPUTED_VALUE"""),"")</f>
        <v/>
      </c>
      <c r="AY14" s="2" t="str">
        <f ca="1">IFERROR(__xludf.DUMMYFUNCTION("""COMPUTED_VALUE"""),"")</f>
        <v/>
      </c>
      <c r="AZ14" s="2" t="str">
        <f ca="1">IFERROR(__xludf.DUMMYFUNCTION("""COMPUTED_VALUE"""),"")</f>
        <v/>
      </c>
      <c r="BA14" s="2" t="str">
        <f ca="1">IFERROR(__xludf.DUMMYFUNCTION("""COMPUTED_VALUE"""),"")</f>
        <v/>
      </c>
      <c r="BB14" s="2" t="str">
        <f ca="1">IFERROR(__xludf.DUMMYFUNCTION("""COMPUTED_VALUE"""),"")</f>
        <v/>
      </c>
      <c r="BC14" s="2" t="str">
        <f ca="1">IFERROR(__xludf.DUMMYFUNCTION("""COMPUTED_VALUE"""),"")</f>
        <v/>
      </c>
      <c r="BD14" s="2" t="str">
        <f ca="1">IFERROR(__xludf.DUMMYFUNCTION("""COMPUTED_VALUE"""),"")</f>
        <v/>
      </c>
      <c r="BE14" s="2" t="str">
        <f ca="1">IFERROR(__xludf.DUMMYFUNCTION("""COMPUTED_VALUE"""),"")</f>
        <v/>
      </c>
      <c r="BF14" t="str">
        <f ca="1">IFERROR(__xludf.DUMMYFUNCTION("""COMPUTED_VALUE"""),"")</f>
        <v/>
      </c>
      <c r="BG14" t="str">
        <f ca="1">IFERROR(__xludf.DUMMYFUNCTION("""COMPUTED_VALUE"""),"")</f>
        <v/>
      </c>
      <c r="BH14" s="2" t="str">
        <f ca="1">IFERROR(__xludf.DUMMYFUNCTION("""COMPUTED_VALUE"""),"")</f>
        <v/>
      </c>
      <c r="BI14" s="13" t="str">
        <f ca="1">IFERROR(__xludf.DUMMYFUNCTION("""COMPUTED_VALUE"""),"")</f>
        <v/>
      </c>
      <c r="BJ14" s="9" t="str">
        <f ca="1">IFERROR(__xludf.DUMMYFUNCTION("""COMPUTED_VALUE"""),"")</f>
        <v/>
      </c>
      <c r="BK14" s="4" t="str">
        <f ca="1">IFERROR(__xludf.DUMMYFUNCTION("""COMPUTED_VALUE"""),"")</f>
        <v/>
      </c>
    </row>
    <row r="15" spans="1:63" ht="15.75" customHeight="1" x14ac:dyDescent="0.25">
      <c r="A15" s="7">
        <f ca="1">IFERROR(__xludf.DUMMYFUNCTION("""COMPUTED_VALUE"""),43165.3789062963)</f>
        <v>43165.378906296297</v>
      </c>
      <c r="B15" s="8" t="str">
        <f ca="1">IFERROR(__xludf.DUMMYFUNCTION("""COMPUTED_VALUE"""),"Waikato")</f>
        <v>Waikato</v>
      </c>
      <c r="C15" s="2" t="str">
        <f ca="1">IFERROR(__xludf.DUMMYFUNCTION("""COMPUTED_VALUE"""),"")</f>
        <v/>
      </c>
      <c r="D15" s="9">
        <f ca="1">IFERROR(__xludf.DUMMYFUNCTION("""COMPUTED_VALUE"""),43161)</f>
        <v>43161</v>
      </c>
      <c r="E15" s="4">
        <f ca="1">IFERROR(__xludf.DUMMYFUNCTION("""COMPUTED_VALUE"""),0.378472222222626)</f>
        <v>0.378472222222626</v>
      </c>
      <c r="F15" s="2" t="str">
        <f ca="1">IFERROR(__xludf.DUMMYFUNCTION("""COMPUTED_VALUE"""),"Dean Wetland")</f>
        <v>Dean Wetland</v>
      </c>
      <c r="G15" s="2" t="str">
        <f ca="1">IFERROR(__xludf.DUMMYFUNCTION("""COMPUTED_VALUE"""),"VHF (triangulation): I triangulated the bird with at least three bearings")</f>
        <v>VHF (triangulation): I triangulated the bird with at least three bearings</v>
      </c>
      <c r="H15" s="2" t="str">
        <f ca="1">IFERROR(__xludf.DUMMYFUNCTION("""COMPUTED_VALUE"""),"")</f>
        <v/>
      </c>
      <c r="I15" s="2" t="str">
        <f ca="1">IFERROR(__xludf.DUMMYFUNCTION("""COMPUTED_VALUE"""),"")</f>
        <v/>
      </c>
      <c r="J15" s="2" t="str">
        <f ca="1">IFERROR(__xludf.DUMMYFUNCTION("""COMPUTED_VALUE"""),"")</f>
        <v/>
      </c>
      <c r="K15" s="2" t="str">
        <f ca="1">IFERROR(__xludf.DUMMYFUNCTION("""COMPUTED_VALUE"""),"")</f>
        <v/>
      </c>
      <c r="L15" s="2" t="str">
        <f ca="1">IFERROR(__xludf.DUMMYFUNCTION("""COMPUTED_VALUE"""),"")</f>
        <v/>
      </c>
      <c r="M15" s="5" t="str">
        <f ca="1">IFERROR(__xludf.DUMMYFUNCTION("""COMPUTED_VALUE"""),"")</f>
        <v/>
      </c>
      <c r="N15" s="5" t="str">
        <f ca="1">IFERROR(__xludf.DUMMYFUNCTION("""COMPUTED_VALUE"""),"")</f>
        <v/>
      </c>
      <c r="O15" s="2" t="str">
        <f ca="1">IFERROR(__xludf.DUMMYFUNCTION("""COMPUTED_VALUE"""),"")</f>
        <v/>
      </c>
      <c r="P15" s="2" t="str">
        <f ca="1">IFERROR(__xludf.DUMMYFUNCTION("""COMPUTED_VALUE"""),"")</f>
        <v/>
      </c>
      <c r="Q15" s="2" t="str">
        <f ca="1">IFERROR(__xludf.DUMMYFUNCTION("""COMPUTED_VALUE"""),"")</f>
        <v/>
      </c>
      <c r="R15" s="2" t="str">
        <f ca="1">IFERROR(__xludf.DUMMYFUNCTION("""COMPUTED_VALUE"""),"")</f>
        <v/>
      </c>
      <c r="S15" s="2" t="str">
        <f ca="1">IFERROR(__xludf.DUMMYFUNCTION("""COMPUTED_VALUE"""),"")</f>
        <v/>
      </c>
      <c r="T15" s="2" t="str">
        <f ca="1">IFERROR(__xludf.DUMMYFUNCTION("""COMPUTED_VALUE"""),"")</f>
        <v/>
      </c>
      <c r="U15" s="2" t="str">
        <f ca="1">IFERROR(__xludf.DUMMYFUNCTION("""COMPUTED_VALUE"""),"")</f>
        <v/>
      </c>
      <c r="V15" s="2" t="str">
        <f ca="1">IFERROR(__xludf.DUMMYFUNCTION("""COMPUTED_VALUE"""),"")</f>
        <v/>
      </c>
      <c r="W15" s="2" t="str">
        <f ca="1">IFERROR(__xludf.DUMMYFUNCTION("""COMPUTED_VALUE"""),"")</f>
        <v/>
      </c>
      <c r="X15" s="2" t="str">
        <f ca="1">IFERROR(__xludf.DUMMYFUNCTION("""COMPUTED_VALUE"""),"")</f>
        <v/>
      </c>
      <c r="Y15" s="2" t="str">
        <f ca="1">IFERROR(__xludf.DUMMYFUNCTION("""COMPUTED_VALUE"""),"")</f>
        <v/>
      </c>
      <c r="Z15" s="2" t="str">
        <f ca="1">IFERROR(__xludf.DUMMYFUNCTION("""COMPUTED_VALUE"""),"")</f>
        <v/>
      </c>
      <c r="AA15" s="2">
        <f ca="1">IFERROR(__xludf.DUMMYFUNCTION("""COMPUTED_VALUE"""),36)</f>
        <v>36</v>
      </c>
      <c r="AB15" s="2">
        <f ca="1">IFERROR(__xludf.DUMMYFUNCTION("""COMPUTED_VALUE"""),1781124)</f>
        <v>1781124</v>
      </c>
      <c r="AC15" s="2">
        <f ca="1">IFERROR(__xludf.DUMMYFUNCTION("""COMPUTED_VALUE"""),5874222)</f>
        <v>5874222</v>
      </c>
      <c r="AD15" s="2" t="str">
        <f ca="1">IFERROR(__xludf.DUMMYFUNCTION("""COMPUTED_VALUE"""),"Medium - Signal was good but bird was not close.")</f>
        <v>Medium - Signal was good but bird was not close.</v>
      </c>
      <c r="AE15" s="2">
        <f ca="1">IFERROR(__xludf.DUMMYFUNCTION("""COMPUTED_VALUE"""),3)</f>
        <v>3</v>
      </c>
      <c r="AF15" s="2">
        <f ca="1">IFERROR(__xludf.DUMMYFUNCTION("""COMPUTED_VALUE"""),1781630)</f>
        <v>1781630</v>
      </c>
      <c r="AG15" s="2">
        <f ca="1">IFERROR(__xludf.DUMMYFUNCTION("""COMPUTED_VALUE"""),5874186)</f>
        <v>5874186</v>
      </c>
      <c r="AH15" s="2" t="str">
        <f ca="1">IFERROR(__xludf.DUMMYFUNCTION("""COMPUTED_VALUE"""),"Medium - Signal was good but bird was not close.")</f>
        <v>Medium - Signal was good but bird was not close.</v>
      </c>
      <c r="AI15" s="2">
        <f ca="1">IFERROR(__xludf.DUMMYFUNCTION("""COMPUTED_VALUE"""),283)</f>
        <v>283</v>
      </c>
      <c r="AJ15" s="2">
        <f ca="1">IFERROR(__xludf.DUMMYFUNCTION("""COMPUTED_VALUE"""),1782385)</f>
        <v>1782385</v>
      </c>
      <c r="AK15" s="2">
        <f ca="1">IFERROR(__xludf.DUMMYFUNCTION("""COMPUTED_VALUE"""),5874347)</f>
        <v>5874347</v>
      </c>
      <c r="AL15" s="2" t="str">
        <f ca="1">IFERROR(__xludf.DUMMYFUNCTION("""COMPUTED_VALUE"""),"Medium - Signal was good but bird was not close.")</f>
        <v>Medium - Signal was good but bird was not close.</v>
      </c>
      <c r="AM15" s="2" t="str">
        <f ca="1">IFERROR(__xludf.DUMMYFUNCTION("""COMPUTED_VALUE"""),"")</f>
        <v/>
      </c>
      <c r="AN15" s="2" t="str">
        <f ca="1">IFERROR(__xludf.DUMMYFUNCTION("""COMPUTED_VALUE"""),"")</f>
        <v/>
      </c>
      <c r="AO15" s="2" t="str">
        <f ca="1">IFERROR(__xludf.DUMMYFUNCTION("""COMPUTED_VALUE"""),"")</f>
        <v/>
      </c>
      <c r="AP15" s="2" t="str">
        <f ca="1">IFERROR(__xludf.DUMMYFUNCTION("""COMPUTED_VALUE"""),"")</f>
        <v/>
      </c>
      <c r="AQ15" s="2" t="str">
        <f ca="1">IFERROR(__xludf.DUMMYFUNCTION("""COMPUTED_VALUE"""),"")</f>
        <v/>
      </c>
      <c r="AR15" s="2" t="str">
        <f ca="1">IFERROR(__xludf.DUMMYFUNCTION("""COMPUTED_VALUE"""),"")</f>
        <v/>
      </c>
      <c r="AS15" s="2" t="str">
        <f ca="1">IFERROR(__xludf.DUMMYFUNCTION("""COMPUTED_VALUE"""),"")</f>
        <v/>
      </c>
      <c r="AT15" s="2" t="str">
        <f ca="1">IFERROR(__xludf.DUMMYFUNCTION("""COMPUTED_VALUE"""),"")</f>
        <v/>
      </c>
      <c r="AU15" s="2" t="str">
        <f ca="1">IFERROR(__xludf.DUMMYFUNCTION("""COMPUTED_VALUE"""),"No")</f>
        <v>No</v>
      </c>
      <c r="AV15" s="2" t="str">
        <f ca="1">IFERROR(__xludf.DUMMYFUNCTION("""COMPUTED_VALUE"""),"")</f>
        <v/>
      </c>
      <c r="AW15" s="2" t="str">
        <f ca="1">IFERROR(__xludf.DUMMYFUNCTION("""COMPUTED_VALUE"""),"")</f>
        <v/>
      </c>
      <c r="AX15" s="2" t="str">
        <f ca="1">IFERROR(__xludf.DUMMYFUNCTION("""COMPUTED_VALUE"""),"")</f>
        <v/>
      </c>
      <c r="AY15" s="2" t="str">
        <f ca="1">IFERROR(__xludf.DUMMYFUNCTION("""COMPUTED_VALUE"""),"")</f>
        <v/>
      </c>
      <c r="AZ15" s="2" t="str">
        <f ca="1">IFERROR(__xludf.DUMMYFUNCTION("""COMPUTED_VALUE"""),"")</f>
        <v/>
      </c>
      <c r="BA15" s="2" t="str">
        <f ca="1">IFERROR(__xludf.DUMMYFUNCTION("""COMPUTED_VALUE"""),"")</f>
        <v/>
      </c>
      <c r="BB15" s="2" t="str">
        <f ca="1">IFERROR(__xludf.DUMMYFUNCTION("""COMPUTED_VALUE"""),"")</f>
        <v/>
      </c>
      <c r="BC15" s="2" t="str">
        <f ca="1">IFERROR(__xludf.DUMMYFUNCTION("""COMPUTED_VALUE"""),"")</f>
        <v/>
      </c>
      <c r="BD15" s="2" t="str">
        <f ca="1">IFERROR(__xludf.DUMMYFUNCTION("""COMPUTED_VALUE"""),"")</f>
        <v/>
      </c>
      <c r="BE15" s="2" t="str">
        <f ca="1">IFERROR(__xludf.DUMMYFUNCTION("""COMPUTED_VALUE"""),"")</f>
        <v/>
      </c>
      <c r="BF15" t="str">
        <f ca="1">IFERROR(__xludf.DUMMYFUNCTION("""COMPUTED_VALUE"""),"")</f>
        <v/>
      </c>
      <c r="BG15" t="str">
        <f ca="1">IFERROR(__xludf.DUMMYFUNCTION("""COMPUTED_VALUE"""),"")</f>
        <v/>
      </c>
      <c r="BH15" s="2" t="str">
        <f ca="1">IFERROR(__xludf.DUMMYFUNCTION("""COMPUTED_VALUE"""),"")</f>
        <v/>
      </c>
      <c r="BI15" s="12" t="str">
        <f ca="1">IFERROR(__xludf.DUMMYFUNCTION("""COMPUTED_VALUE"""),"")</f>
        <v/>
      </c>
      <c r="BJ15" s="9" t="str">
        <f ca="1">IFERROR(__xludf.DUMMYFUNCTION("""COMPUTED_VALUE"""),"")</f>
        <v/>
      </c>
      <c r="BK15" s="4" t="str">
        <f ca="1">IFERROR(__xludf.DUMMYFUNCTION("""COMPUTED_VALUE"""),"")</f>
        <v/>
      </c>
    </row>
    <row r="16" spans="1:63" ht="15.75" customHeight="1" x14ac:dyDescent="0.25">
      <c r="A16" s="7">
        <f ca="1">IFERROR(__xludf.DUMMYFUNCTION("""COMPUTED_VALUE"""),43243.3508186574)</f>
        <v>43243.350818657404</v>
      </c>
      <c r="B16" s="8" t="str">
        <f ca="1">IFERROR(__xludf.DUMMYFUNCTION("""COMPUTED_VALUE"""),"Waikato")</f>
        <v>Waikato</v>
      </c>
      <c r="C16" s="2" t="str">
        <f ca="1">IFERROR(__xludf.DUMMYFUNCTION("""COMPUTED_VALUE"""),"")</f>
        <v/>
      </c>
      <c r="D16" s="9">
        <f ca="1">IFERROR(__xludf.DUMMYFUNCTION("""COMPUTED_VALUE"""),43175)</f>
        <v>43175</v>
      </c>
      <c r="E16" s="4">
        <f ca="1">IFERROR(__xludf.DUMMYFUNCTION("""COMPUTED_VALUE"""),0.40625)</f>
        <v>0.40625</v>
      </c>
      <c r="F16" s="2" t="str">
        <f ca="1">IFERROR(__xludf.DUMMYFUNCTION("""COMPUTED_VALUE"""),"Dean Wetland")</f>
        <v>Dean Wetland</v>
      </c>
      <c r="G16" s="2" t="str">
        <f ca="1">IFERROR(__xludf.DUMMYFUNCTION("""COMPUTED_VALUE"""),"VHF (triangulation): I triangulated the bird with at least three bearings")</f>
        <v>VHF (triangulation): I triangulated the bird with at least three bearings</v>
      </c>
      <c r="H16" s="2" t="str">
        <f ca="1">IFERROR(__xludf.DUMMYFUNCTION("""COMPUTED_VALUE"""),"")</f>
        <v/>
      </c>
      <c r="I16" s="2" t="str">
        <f ca="1">IFERROR(__xludf.DUMMYFUNCTION("""COMPUTED_VALUE"""),"")</f>
        <v/>
      </c>
      <c r="J16" s="2" t="str">
        <f ca="1">IFERROR(__xludf.DUMMYFUNCTION("""COMPUTED_VALUE"""),"")</f>
        <v/>
      </c>
      <c r="K16" s="2" t="str">
        <f ca="1">IFERROR(__xludf.DUMMYFUNCTION("""COMPUTED_VALUE"""),"")</f>
        <v/>
      </c>
      <c r="L16" s="2" t="str">
        <f ca="1">IFERROR(__xludf.DUMMYFUNCTION("""COMPUTED_VALUE"""),"")</f>
        <v/>
      </c>
      <c r="M16" s="5" t="str">
        <f ca="1">IFERROR(__xludf.DUMMYFUNCTION("""COMPUTED_VALUE"""),"")</f>
        <v/>
      </c>
      <c r="N16" s="5" t="str">
        <f ca="1">IFERROR(__xludf.DUMMYFUNCTION("""COMPUTED_VALUE"""),"")</f>
        <v/>
      </c>
      <c r="O16" s="2" t="str">
        <f ca="1">IFERROR(__xludf.DUMMYFUNCTION("""COMPUTED_VALUE"""),"")</f>
        <v/>
      </c>
      <c r="P16" s="2" t="str">
        <f ca="1">IFERROR(__xludf.DUMMYFUNCTION("""COMPUTED_VALUE"""),"")</f>
        <v/>
      </c>
      <c r="Q16" s="2" t="str">
        <f ca="1">IFERROR(__xludf.DUMMYFUNCTION("""COMPUTED_VALUE"""),"")</f>
        <v/>
      </c>
      <c r="R16" s="2" t="str">
        <f ca="1">IFERROR(__xludf.DUMMYFUNCTION("""COMPUTED_VALUE"""),"")</f>
        <v/>
      </c>
      <c r="S16" s="2" t="str">
        <f ca="1">IFERROR(__xludf.DUMMYFUNCTION("""COMPUTED_VALUE"""),"")</f>
        <v/>
      </c>
      <c r="T16" s="2" t="str">
        <f ca="1">IFERROR(__xludf.DUMMYFUNCTION("""COMPUTED_VALUE"""),"")</f>
        <v/>
      </c>
      <c r="U16" s="2" t="str">
        <f ca="1">IFERROR(__xludf.DUMMYFUNCTION("""COMPUTED_VALUE"""),"")</f>
        <v/>
      </c>
      <c r="V16" s="2" t="str">
        <f ca="1">IFERROR(__xludf.DUMMYFUNCTION("""COMPUTED_VALUE"""),"")</f>
        <v/>
      </c>
      <c r="W16" s="2" t="str">
        <f ca="1">IFERROR(__xludf.DUMMYFUNCTION("""COMPUTED_VALUE"""),"")</f>
        <v/>
      </c>
      <c r="X16" s="2" t="str">
        <f ca="1">IFERROR(__xludf.DUMMYFUNCTION("""COMPUTED_VALUE"""),"")</f>
        <v/>
      </c>
      <c r="Y16" s="2" t="str">
        <f ca="1">IFERROR(__xludf.DUMMYFUNCTION("""COMPUTED_VALUE"""),"")</f>
        <v/>
      </c>
      <c r="Z16" s="2" t="str">
        <f ca="1">IFERROR(__xludf.DUMMYFUNCTION("""COMPUTED_VALUE"""),"")</f>
        <v/>
      </c>
      <c r="AA16" s="2">
        <f ca="1">IFERROR(__xludf.DUMMYFUNCTION("""COMPUTED_VALUE"""),1781124)</f>
        <v>1781124</v>
      </c>
      <c r="AB16" s="2">
        <f ca="1">IFERROR(__xludf.DUMMYFUNCTION("""COMPUTED_VALUE"""),5874272)</f>
        <v>5874272</v>
      </c>
      <c r="AC16" s="2">
        <f ca="1">IFERROR(__xludf.DUMMYFUNCTION("""COMPUTED_VALUE"""),43)</f>
        <v>43</v>
      </c>
      <c r="AD16" s="2" t="str">
        <f ca="1">IFERROR(__xludf.DUMMYFUNCTION("""COMPUTED_VALUE"""),"Medium - Signal was good but bird was not close.")</f>
        <v>Medium - Signal was good but bird was not close.</v>
      </c>
      <c r="AE16" s="2">
        <f ca="1">IFERROR(__xludf.DUMMYFUNCTION("""COMPUTED_VALUE"""),1781630)</f>
        <v>1781630</v>
      </c>
      <c r="AF16" s="2">
        <f ca="1">IFERROR(__xludf.DUMMYFUNCTION("""COMPUTED_VALUE"""),5874186)</f>
        <v>5874186</v>
      </c>
      <c r="AG16" s="2">
        <f ca="1">IFERROR(__xludf.DUMMYFUNCTION("""COMPUTED_VALUE"""),350)</f>
        <v>350</v>
      </c>
      <c r="AH16" s="2" t="str">
        <f ca="1">IFERROR(__xludf.DUMMYFUNCTION("""COMPUTED_VALUE"""),"Strong - I got a lovely, clear, strong signal.")</f>
        <v>Strong - I got a lovely, clear, strong signal.</v>
      </c>
      <c r="AI16" s="2">
        <f ca="1">IFERROR(__xludf.DUMMYFUNCTION("""COMPUTED_VALUE"""),1782385)</f>
        <v>1782385</v>
      </c>
      <c r="AJ16" s="2">
        <f ca="1">IFERROR(__xludf.DUMMYFUNCTION("""COMPUTED_VALUE"""),5874347)</f>
        <v>5874347</v>
      </c>
      <c r="AK16" s="2">
        <f ca="1">IFERROR(__xludf.DUMMYFUNCTION("""COMPUTED_VALUE"""),278)</f>
        <v>278</v>
      </c>
      <c r="AL16" s="2" t="str">
        <f ca="1">IFERROR(__xludf.DUMMYFUNCTION("""COMPUTED_VALUE"""),"Strong - I got a lovely, clear, strong signal.")</f>
        <v>Strong - I got a lovely, clear, strong signal.</v>
      </c>
      <c r="AM16" s="2" t="str">
        <f ca="1">IFERROR(__xludf.DUMMYFUNCTION("""COMPUTED_VALUE"""),"")</f>
        <v/>
      </c>
      <c r="AN16" s="2" t="str">
        <f ca="1">IFERROR(__xludf.DUMMYFUNCTION("""COMPUTED_VALUE"""),"")</f>
        <v/>
      </c>
      <c r="AO16" s="2" t="str">
        <f ca="1">IFERROR(__xludf.DUMMYFUNCTION("""COMPUTED_VALUE"""),"")</f>
        <v/>
      </c>
      <c r="AP16" s="2" t="str">
        <f ca="1">IFERROR(__xludf.DUMMYFUNCTION("""COMPUTED_VALUE"""),"")</f>
        <v/>
      </c>
      <c r="AQ16" s="2" t="str">
        <f ca="1">IFERROR(__xludf.DUMMYFUNCTION("""COMPUTED_VALUE"""),"")</f>
        <v/>
      </c>
      <c r="AR16" s="2" t="str">
        <f ca="1">IFERROR(__xludf.DUMMYFUNCTION("""COMPUTED_VALUE"""),"")</f>
        <v/>
      </c>
      <c r="AS16" s="2" t="str">
        <f ca="1">IFERROR(__xludf.DUMMYFUNCTION("""COMPUTED_VALUE"""),"")</f>
        <v/>
      </c>
      <c r="AT16" s="2" t="str">
        <f ca="1">IFERROR(__xludf.DUMMYFUNCTION("""COMPUTED_VALUE"""),"")</f>
        <v/>
      </c>
      <c r="AU16" s="2" t="str">
        <f ca="1">IFERROR(__xludf.DUMMYFUNCTION("""COMPUTED_VALUE"""),"no")</f>
        <v>no</v>
      </c>
      <c r="AV16" s="2" t="str">
        <f ca="1">IFERROR(__xludf.DUMMYFUNCTION("""COMPUTED_VALUE"""),"")</f>
        <v/>
      </c>
      <c r="AW16" s="2" t="str">
        <f ca="1">IFERROR(__xludf.DUMMYFUNCTION("""COMPUTED_VALUE"""),"")</f>
        <v/>
      </c>
      <c r="AX16" s="2" t="str">
        <f ca="1">IFERROR(__xludf.DUMMYFUNCTION("""COMPUTED_VALUE"""),"")</f>
        <v/>
      </c>
      <c r="AY16" s="2" t="str">
        <f ca="1">IFERROR(__xludf.DUMMYFUNCTION("""COMPUTED_VALUE"""),"")</f>
        <v/>
      </c>
      <c r="AZ16" s="2" t="str">
        <f ca="1">IFERROR(__xludf.DUMMYFUNCTION("""COMPUTED_VALUE"""),"")</f>
        <v/>
      </c>
      <c r="BA16" s="2" t="str">
        <f ca="1">IFERROR(__xludf.DUMMYFUNCTION("""COMPUTED_VALUE"""),"")</f>
        <v/>
      </c>
      <c r="BB16" s="2" t="str">
        <f ca="1">IFERROR(__xludf.DUMMYFUNCTION("""COMPUTED_VALUE"""),"")</f>
        <v/>
      </c>
      <c r="BC16" s="2" t="str">
        <f ca="1">IFERROR(__xludf.DUMMYFUNCTION("""COMPUTED_VALUE"""),"")</f>
        <v/>
      </c>
      <c r="BD16" s="2" t="str">
        <f ca="1">IFERROR(__xludf.DUMMYFUNCTION("""COMPUTED_VALUE"""),"")</f>
        <v/>
      </c>
      <c r="BE16" s="2" t="str">
        <f ca="1">IFERROR(__xludf.DUMMYFUNCTION("""COMPUTED_VALUE"""),"")</f>
        <v/>
      </c>
      <c r="BF16" t="str">
        <f ca="1">IFERROR(__xludf.DUMMYFUNCTION("""COMPUTED_VALUE"""),"")</f>
        <v/>
      </c>
      <c r="BG16" t="str">
        <f ca="1">IFERROR(__xludf.DUMMYFUNCTION("""COMPUTED_VALUE"""),"")</f>
        <v/>
      </c>
      <c r="BH16" s="2" t="str">
        <f ca="1">IFERROR(__xludf.DUMMYFUNCTION("""COMPUTED_VALUE"""),"")</f>
        <v/>
      </c>
      <c r="BI16" s="13" t="str">
        <f ca="1">IFERROR(__xludf.DUMMYFUNCTION("""COMPUTED_VALUE"""),"")</f>
        <v/>
      </c>
      <c r="BJ16" s="9" t="str">
        <f ca="1">IFERROR(__xludf.DUMMYFUNCTION("""COMPUTED_VALUE"""),"")</f>
        <v/>
      </c>
      <c r="BK16" s="4" t="str">
        <f ca="1">IFERROR(__xludf.DUMMYFUNCTION("""COMPUTED_VALUE"""),"")</f>
        <v/>
      </c>
    </row>
    <row r="17" spans="1:63" ht="15.75" customHeight="1" x14ac:dyDescent="0.25">
      <c r="A17" s="7">
        <f ca="1">IFERROR(__xludf.DUMMYFUNCTION("""COMPUTED_VALUE"""),43243.3553409143)</f>
        <v>43243.355340914299</v>
      </c>
      <c r="B17" s="8" t="str">
        <f ca="1">IFERROR(__xludf.DUMMYFUNCTION("""COMPUTED_VALUE"""),"Waikato")</f>
        <v>Waikato</v>
      </c>
      <c r="C17" s="2" t="str">
        <f ca="1">IFERROR(__xludf.DUMMYFUNCTION("""COMPUTED_VALUE"""),"")</f>
        <v/>
      </c>
      <c r="D17" s="9">
        <f ca="1">IFERROR(__xludf.DUMMYFUNCTION("""COMPUTED_VALUE"""),43188)</f>
        <v>43188</v>
      </c>
      <c r="E17" s="4">
        <f ca="1">IFERROR(__xludf.DUMMYFUNCTION("""COMPUTED_VALUE"""),0.46875)</f>
        <v>0.46875</v>
      </c>
      <c r="F17" s="2" t="str">
        <f ca="1">IFERROR(__xludf.DUMMYFUNCTION("""COMPUTED_VALUE"""),"Dean Wetland")</f>
        <v>Dean Wetland</v>
      </c>
      <c r="G17" s="2" t="str">
        <f ca="1">IFERROR(__xludf.DUMMYFUNCTION("""COMPUTED_VALUE"""),"VHF (triangulation): I triangulated the bird with at least three bearings")</f>
        <v>VHF (triangulation): I triangulated the bird with at least three bearings</v>
      </c>
      <c r="H17" s="2" t="str">
        <f ca="1">IFERROR(__xludf.DUMMYFUNCTION("""COMPUTED_VALUE"""),"")</f>
        <v/>
      </c>
      <c r="I17" s="2" t="str">
        <f ca="1">IFERROR(__xludf.DUMMYFUNCTION("""COMPUTED_VALUE"""),"")</f>
        <v/>
      </c>
      <c r="J17" s="2" t="str">
        <f ca="1">IFERROR(__xludf.DUMMYFUNCTION("""COMPUTED_VALUE"""),"")</f>
        <v/>
      </c>
      <c r="K17" s="2" t="str">
        <f ca="1">IFERROR(__xludf.DUMMYFUNCTION("""COMPUTED_VALUE"""),"")</f>
        <v/>
      </c>
      <c r="L17" s="2" t="str">
        <f ca="1">IFERROR(__xludf.DUMMYFUNCTION("""COMPUTED_VALUE"""),"")</f>
        <v/>
      </c>
      <c r="M17" s="5" t="str">
        <f ca="1">IFERROR(__xludf.DUMMYFUNCTION("""COMPUTED_VALUE"""),"")</f>
        <v/>
      </c>
      <c r="N17" s="5" t="str">
        <f ca="1">IFERROR(__xludf.DUMMYFUNCTION("""COMPUTED_VALUE"""),"")</f>
        <v/>
      </c>
      <c r="O17" s="2" t="str">
        <f ca="1">IFERROR(__xludf.DUMMYFUNCTION("""COMPUTED_VALUE"""),"")</f>
        <v/>
      </c>
      <c r="P17" s="2" t="str">
        <f ca="1">IFERROR(__xludf.DUMMYFUNCTION("""COMPUTED_VALUE"""),"")</f>
        <v/>
      </c>
      <c r="Q17" s="2" t="str">
        <f ca="1">IFERROR(__xludf.DUMMYFUNCTION("""COMPUTED_VALUE"""),"")</f>
        <v/>
      </c>
      <c r="R17" s="2" t="str">
        <f ca="1">IFERROR(__xludf.DUMMYFUNCTION("""COMPUTED_VALUE"""),"")</f>
        <v/>
      </c>
      <c r="S17" s="2" t="str">
        <f ca="1">IFERROR(__xludf.DUMMYFUNCTION("""COMPUTED_VALUE"""),"")</f>
        <v/>
      </c>
      <c r="T17" s="2" t="str">
        <f ca="1">IFERROR(__xludf.DUMMYFUNCTION("""COMPUTED_VALUE"""),"")</f>
        <v/>
      </c>
      <c r="U17" s="2" t="str">
        <f ca="1">IFERROR(__xludf.DUMMYFUNCTION("""COMPUTED_VALUE"""),"")</f>
        <v/>
      </c>
      <c r="V17" s="2" t="str">
        <f ca="1">IFERROR(__xludf.DUMMYFUNCTION("""COMPUTED_VALUE"""),"")</f>
        <v/>
      </c>
      <c r="W17" s="2" t="str">
        <f ca="1">IFERROR(__xludf.DUMMYFUNCTION("""COMPUTED_VALUE"""),"")</f>
        <v/>
      </c>
      <c r="X17" s="2" t="str">
        <f ca="1">IFERROR(__xludf.DUMMYFUNCTION("""COMPUTED_VALUE"""),"")</f>
        <v/>
      </c>
      <c r="Y17" s="2" t="str">
        <f ca="1">IFERROR(__xludf.DUMMYFUNCTION("""COMPUTED_VALUE"""),"")</f>
        <v/>
      </c>
      <c r="Z17" s="2" t="str">
        <f ca="1">IFERROR(__xludf.DUMMYFUNCTION("""COMPUTED_VALUE"""),"")</f>
        <v/>
      </c>
      <c r="AA17" s="2">
        <f ca="1">IFERROR(__xludf.DUMMYFUNCTION("""COMPUTED_VALUE"""),1781124)</f>
        <v>1781124</v>
      </c>
      <c r="AB17" s="2">
        <f ca="1">IFERROR(__xludf.DUMMYFUNCTION("""COMPUTED_VALUE"""),5874272)</f>
        <v>5874272</v>
      </c>
      <c r="AC17" s="2">
        <f ca="1">IFERROR(__xludf.DUMMYFUNCTION("""COMPUTED_VALUE"""),40)</f>
        <v>40</v>
      </c>
      <c r="AD17" s="2" t="str">
        <f ca="1">IFERROR(__xludf.DUMMYFUNCTION("""COMPUTED_VALUE"""),"Medium - Signal was good but bird was not close.")</f>
        <v>Medium - Signal was good but bird was not close.</v>
      </c>
      <c r="AE17" s="2">
        <f ca="1">IFERROR(__xludf.DUMMYFUNCTION("""COMPUTED_VALUE"""),1781630)</f>
        <v>1781630</v>
      </c>
      <c r="AF17" s="2">
        <f ca="1">IFERROR(__xludf.DUMMYFUNCTION("""COMPUTED_VALUE"""),5874186)</f>
        <v>5874186</v>
      </c>
      <c r="AG17" s="2">
        <f ca="1">IFERROR(__xludf.DUMMYFUNCTION("""COMPUTED_VALUE"""),336)</f>
        <v>336</v>
      </c>
      <c r="AH17" s="2" t="str">
        <f ca="1">IFERROR(__xludf.DUMMYFUNCTION("""COMPUTED_VALUE"""),"Strong - I got a lovely, clear, strong signal.")</f>
        <v>Strong - I got a lovely, clear, strong signal.</v>
      </c>
      <c r="AI17" s="2">
        <f ca="1">IFERROR(__xludf.DUMMYFUNCTION("""COMPUTED_VALUE"""),1782385)</f>
        <v>1782385</v>
      </c>
      <c r="AJ17" s="2">
        <f ca="1">IFERROR(__xludf.DUMMYFUNCTION("""COMPUTED_VALUE"""),5874347)</f>
        <v>5874347</v>
      </c>
      <c r="AK17" s="2">
        <f ca="1">IFERROR(__xludf.DUMMYFUNCTION("""COMPUTED_VALUE"""),282)</f>
        <v>282</v>
      </c>
      <c r="AL17" s="2" t="str">
        <f ca="1">IFERROR(__xludf.DUMMYFUNCTION("""COMPUTED_VALUE"""),"Strong - I got a lovely, clear, strong signal.")</f>
        <v>Strong - I got a lovely, clear, strong signal.</v>
      </c>
      <c r="AM17" s="2" t="str">
        <f ca="1">IFERROR(__xludf.DUMMYFUNCTION("""COMPUTED_VALUE"""),"")</f>
        <v/>
      </c>
      <c r="AN17" s="2" t="str">
        <f ca="1">IFERROR(__xludf.DUMMYFUNCTION("""COMPUTED_VALUE"""),"")</f>
        <v/>
      </c>
      <c r="AO17" s="2" t="str">
        <f ca="1">IFERROR(__xludf.DUMMYFUNCTION("""COMPUTED_VALUE"""),"")</f>
        <v/>
      </c>
      <c r="AP17" s="2" t="str">
        <f ca="1">IFERROR(__xludf.DUMMYFUNCTION("""COMPUTED_VALUE"""),"")</f>
        <v/>
      </c>
      <c r="AQ17" s="2" t="str">
        <f ca="1">IFERROR(__xludf.DUMMYFUNCTION("""COMPUTED_VALUE"""),"")</f>
        <v/>
      </c>
      <c r="AR17" s="2" t="str">
        <f ca="1">IFERROR(__xludf.DUMMYFUNCTION("""COMPUTED_VALUE"""),"")</f>
        <v/>
      </c>
      <c r="AS17" s="2" t="str">
        <f ca="1">IFERROR(__xludf.DUMMYFUNCTION("""COMPUTED_VALUE"""),"")</f>
        <v/>
      </c>
      <c r="AT17" s="2" t="str">
        <f ca="1">IFERROR(__xludf.DUMMYFUNCTION("""COMPUTED_VALUE"""),"")</f>
        <v/>
      </c>
      <c r="AU17" s="2" t="str">
        <f ca="1">IFERROR(__xludf.DUMMYFUNCTION("""COMPUTED_VALUE"""),"no")</f>
        <v>no</v>
      </c>
      <c r="AV17" s="2" t="str">
        <f ca="1">IFERROR(__xludf.DUMMYFUNCTION("""COMPUTED_VALUE"""),"")</f>
        <v/>
      </c>
      <c r="AW17" s="2" t="str">
        <f ca="1">IFERROR(__xludf.DUMMYFUNCTION("""COMPUTED_VALUE"""),"")</f>
        <v/>
      </c>
      <c r="AX17" s="2" t="str">
        <f ca="1">IFERROR(__xludf.DUMMYFUNCTION("""COMPUTED_VALUE"""),"")</f>
        <v/>
      </c>
      <c r="AY17" s="2" t="str">
        <f ca="1">IFERROR(__xludf.DUMMYFUNCTION("""COMPUTED_VALUE"""),"")</f>
        <v/>
      </c>
      <c r="AZ17" s="2" t="str">
        <f ca="1">IFERROR(__xludf.DUMMYFUNCTION("""COMPUTED_VALUE"""),"")</f>
        <v/>
      </c>
      <c r="BA17" s="2" t="str">
        <f ca="1">IFERROR(__xludf.DUMMYFUNCTION("""COMPUTED_VALUE"""),"")</f>
        <v/>
      </c>
      <c r="BB17" s="2" t="str">
        <f ca="1">IFERROR(__xludf.DUMMYFUNCTION("""COMPUTED_VALUE"""),"")</f>
        <v/>
      </c>
      <c r="BC17" s="2" t="str">
        <f ca="1">IFERROR(__xludf.DUMMYFUNCTION("""COMPUTED_VALUE"""),"")</f>
        <v/>
      </c>
      <c r="BD17" s="2" t="str">
        <f ca="1">IFERROR(__xludf.DUMMYFUNCTION("""COMPUTED_VALUE"""),"")</f>
        <v/>
      </c>
      <c r="BE17" s="2" t="str">
        <f ca="1">IFERROR(__xludf.DUMMYFUNCTION("""COMPUTED_VALUE"""),"")</f>
        <v/>
      </c>
      <c r="BF17" t="str">
        <f ca="1">IFERROR(__xludf.DUMMYFUNCTION("""COMPUTED_VALUE"""),"")</f>
        <v/>
      </c>
      <c r="BG17" t="str">
        <f ca="1">IFERROR(__xludf.DUMMYFUNCTION("""COMPUTED_VALUE"""),"")</f>
        <v/>
      </c>
      <c r="BH17" s="2" t="str">
        <f ca="1">IFERROR(__xludf.DUMMYFUNCTION("""COMPUTED_VALUE"""),"")</f>
        <v/>
      </c>
      <c r="BI17" s="12" t="str">
        <f ca="1">IFERROR(__xludf.DUMMYFUNCTION("""COMPUTED_VALUE"""),"")</f>
        <v/>
      </c>
      <c r="BJ17" s="9" t="str">
        <f ca="1">IFERROR(__xludf.DUMMYFUNCTION("""COMPUTED_VALUE"""),"")</f>
        <v/>
      </c>
      <c r="BK17" s="4" t="str">
        <f ca="1">IFERROR(__xludf.DUMMYFUNCTION("""COMPUTED_VALUE"""),"")</f>
        <v/>
      </c>
    </row>
    <row r="18" spans="1:63" ht="15.75" customHeight="1" x14ac:dyDescent="0.25">
      <c r="A18" s="7">
        <f ca="1">IFERROR(__xludf.DUMMYFUNCTION("""COMPUTED_VALUE"""),43243.3580806828)</f>
        <v>43243.358080682803</v>
      </c>
      <c r="B18" s="8" t="str">
        <f ca="1">IFERROR(__xludf.DUMMYFUNCTION("""COMPUTED_VALUE"""),"Waikato")</f>
        <v>Waikato</v>
      </c>
      <c r="C18" s="2" t="str">
        <f ca="1">IFERROR(__xludf.DUMMYFUNCTION("""COMPUTED_VALUE"""),"")</f>
        <v/>
      </c>
      <c r="D18" s="9">
        <f ca="1">IFERROR(__xludf.DUMMYFUNCTION("""COMPUTED_VALUE"""),43202)</f>
        <v>43202</v>
      </c>
      <c r="E18" s="4">
        <f ca="1">IFERROR(__xludf.DUMMYFUNCTION("""COMPUTED_VALUE"""),0.375)</f>
        <v>0.375</v>
      </c>
      <c r="F18" s="2" t="str">
        <f ca="1">IFERROR(__xludf.DUMMYFUNCTION("""COMPUTED_VALUE"""),"Dean Wetland")</f>
        <v>Dean Wetland</v>
      </c>
      <c r="G18" s="2" t="str">
        <f ca="1">IFERROR(__xludf.DUMMYFUNCTION("""COMPUTED_VALUE"""),"VHF (triangulation): I triangulated the bird with at least three bearings")</f>
        <v>VHF (triangulation): I triangulated the bird with at least three bearings</v>
      </c>
      <c r="H18" s="2" t="str">
        <f ca="1">IFERROR(__xludf.DUMMYFUNCTION("""COMPUTED_VALUE"""),"")</f>
        <v/>
      </c>
      <c r="I18" s="2" t="str">
        <f ca="1">IFERROR(__xludf.DUMMYFUNCTION("""COMPUTED_VALUE"""),"")</f>
        <v/>
      </c>
      <c r="J18" s="2" t="str">
        <f ca="1">IFERROR(__xludf.DUMMYFUNCTION("""COMPUTED_VALUE"""),"")</f>
        <v/>
      </c>
      <c r="K18" s="2" t="str">
        <f ca="1">IFERROR(__xludf.DUMMYFUNCTION("""COMPUTED_VALUE"""),"")</f>
        <v/>
      </c>
      <c r="L18" s="2" t="str">
        <f ca="1">IFERROR(__xludf.DUMMYFUNCTION("""COMPUTED_VALUE"""),"")</f>
        <v/>
      </c>
      <c r="M18" s="5" t="str">
        <f ca="1">IFERROR(__xludf.DUMMYFUNCTION("""COMPUTED_VALUE"""),"")</f>
        <v/>
      </c>
      <c r="N18" s="5" t="str">
        <f ca="1">IFERROR(__xludf.DUMMYFUNCTION("""COMPUTED_VALUE"""),"")</f>
        <v/>
      </c>
      <c r="O18" s="2" t="str">
        <f ca="1">IFERROR(__xludf.DUMMYFUNCTION("""COMPUTED_VALUE"""),"")</f>
        <v/>
      </c>
      <c r="P18" s="2" t="str">
        <f ca="1">IFERROR(__xludf.DUMMYFUNCTION("""COMPUTED_VALUE"""),"")</f>
        <v/>
      </c>
      <c r="Q18" s="2" t="str">
        <f ca="1">IFERROR(__xludf.DUMMYFUNCTION("""COMPUTED_VALUE"""),"")</f>
        <v/>
      </c>
      <c r="R18" s="2" t="str">
        <f ca="1">IFERROR(__xludf.DUMMYFUNCTION("""COMPUTED_VALUE"""),"")</f>
        <v/>
      </c>
      <c r="S18" s="2" t="str">
        <f ca="1">IFERROR(__xludf.DUMMYFUNCTION("""COMPUTED_VALUE"""),"")</f>
        <v/>
      </c>
      <c r="T18" s="2" t="str">
        <f ca="1">IFERROR(__xludf.DUMMYFUNCTION("""COMPUTED_VALUE"""),"")</f>
        <v/>
      </c>
      <c r="U18" s="2" t="str">
        <f ca="1">IFERROR(__xludf.DUMMYFUNCTION("""COMPUTED_VALUE"""),"")</f>
        <v/>
      </c>
      <c r="V18" s="2" t="str">
        <f ca="1">IFERROR(__xludf.DUMMYFUNCTION("""COMPUTED_VALUE"""),"")</f>
        <v/>
      </c>
      <c r="W18" s="2" t="str">
        <f ca="1">IFERROR(__xludf.DUMMYFUNCTION("""COMPUTED_VALUE"""),"")</f>
        <v/>
      </c>
      <c r="X18" s="2" t="str">
        <f ca="1">IFERROR(__xludf.DUMMYFUNCTION("""COMPUTED_VALUE"""),"")</f>
        <v/>
      </c>
      <c r="Y18" s="2" t="str">
        <f ca="1">IFERROR(__xludf.DUMMYFUNCTION("""COMPUTED_VALUE"""),"")</f>
        <v/>
      </c>
      <c r="Z18" s="2" t="str">
        <f ca="1">IFERROR(__xludf.DUMMYFUNCTION("""COMPUTED_VALUE"""),"")</f>
        <v/>
      </c>
      <c r="AA18" s="2">
        <f ca="1">IFERROR(__xludf.DUMMYFUNCTION("""COMPUTED_VALUE"""),1781124)</f>
        <v>1781124</v>
      </c>
      <c r="AB18" s="2">
        <f ca="1">IFERROR(__xludf.DUMMYFUNCTION("""COMPUTED_VALUE"""),5874272)</f>
        <v>5874272</v>
      </c>
      <c r="AC18" s="2">
        <f ca="1">IFERROR(__xludf.DUMMYFUNCTION("""COMPUTED_VALUE"""),33)</f>
        <v>33</v>
      </c>
      <c r="AD18" s="2" t="str">
        <f ca="1">IFERROR(__xludf.DUMMYFUNCTION("""COMPUTED_VALUE"""),"Medium - Signal was good but bird was not close.")</f>
        <v>Medium - Signal was good but bird was not close.</v>
      </c>
      <c r="AE18" s="2">
        <f ca="1">IFERROR(__xludf.DUMMYFUNCTION("""COMPUTED_VALUE"""),1781630)</f>
        <v>1781630</v>
      </c>
      <c r="AF18" s="2">
        <f ca="1">IFERROR(__xludf.DUMMYFUNCTION("""COMPUTED_VALUE"""),5874186)</f>
        <v>5874186</v>
      </c>
      <c r="AG18" s="2">
        <f ca="1">IFERROR(__xludf.DUMMYFUNCTION("""COMPUTED_VALUE"""),340)</f>
        <v>340</v>
      </c>
      <c r="AH18" s="2" t="str">
        <f ca="1">IFERROR(__xludf.DUMMYFUNCTION("""COMPUTED_VALUE"""),"Medium - Signal was good but bird was not close.")</f>
        <v>Medium - Signal was good but bird was not close.</v>
      </c>
      <c r="AI18" s="2">
        <f ca="1">IFERROR(__xludf.DUMMYFUNCTION("""COMPUTED_VALUE"""),1782385)</f>
        <v>1782385</v>
      </c>
      <c r="AJ18" s="2">
        <f ca="1">IFERROR(__xludf.DUMMYFUNCTION("""COMPUTED_VALUE"""),5874347)</f>
        <v>5874347</v>
      </c>
      <c r="AK18" s="2">
        <f ca="1">IFERROR(__xludf.DUMMYFUNCTION("""COMPUTED_VALUE"""),280)</f>
        <v>280</v>
      </c>
      <c r="AL18" s="2" t="str">
        <f ca="1">IFERROR(__xludf.DUMMYFUNCTION("""COMPUTED_VALUE"""),"Medium - Signal was good but bird was not close.")</f>
        <v>Medium - Signal was good but bird was not close.</v>
      </c>
      <c r="AM18" s="2" t="str">
        <f ca="1">IFERROR(__xludf.DUMMYFUNCTION("""COMPUTED_VALUE"""),"")</f>
        <v/>
      </c>
      <c r="AN18" s="2" t="str">
        <f ca="1">IFERROR(__xludf.DUMMYFUNCTION("""COMPUTED_VALUE"""),"")</f>
        <v/>
      </c>
      <c r="AO18" s="2" t="str">
        <f ca="1">IFERROR(__xludf.DUMMYFUNCTION("""COMPUTED_VALUE"""),"")</f>
        <v/>
      </c>
      <c r="AP18" s="2" t="str">
        <f ca="1">IFERROR(__xludf.DUMMYFUNCTION("""COMPUTED_VALUE"""),"")</f>
        <v/>
      </c>
      <c r="AQ18" s="2" t="str">
        <f ca="1">IFERROR(__xludf.DUMMYFUNCTION("""COMPUTED_VALUE"""),"")</f>
        <v/>
      </c>
      <c r="AR18" s="2" t="str">
        <f ca="1">IFERROR(__xludf.DUMMYFUNCTION("""COMPUTED_VALUE"""),"")</f>
        <v/>
      </c>
      <c r="AS18" s="2" t="str">
        <f ca="1">IFERROR(__xludf.DUMMYFUNCTION("""COMPUTED_VALUE"""),"")</f>
        <v/>
      </c>
      <c r="AT18" s="2" t="str">
        <f ca="1">IFERROR(__xludf.DUMMYFUNCTION("""COMPUTED_VALUE"""),"")</f>
        <v/>
      </c>
      <c r="AU18" s="2" t="str">
        <f ca="1">IFERROR(__xludf.DUMMYFUNCTION("""COMPUTED_VALUE"""),"Jasmine Whanga")</f>
        <v>Jasmine Whanga</v>
      </c>
      <c r="AV18" s="2" t="str">
        <f ca="1">IFERROR(__xludf.DUMMYFUNCTION("""COMPUTED_VALUE"""),"")</f>
        <v/>
      </c>
      <c r="AW18" s="2" t="str">
        <f ca="1">IFERROR(__xludf.DUMMYFUNCTION("""COMPUTED_VALUE"""),"")</f>
        <v/>
      </c>
      <c r="AX18" s="2" t="str">
        <f ca="1">IFERROR(__xludf.DUMMYFUNCTION("""COMPUTED_VALUE"""),"")</f>
        <v/>
      </c>
      <c r="AY18" s="2" t="str">
        <f ca="1">IFERROR(__xludf.DUMMYFUNCTION("""COMPUTED_VALUE"""),"")</f>
        <v/>
      </c>
      <c r="AZ18" s="2" t="str">
        <f ca="1">IFERROR(__xludf.DUMMYFUNCTION("""COMPUTED_VALUE"""),"")</f>
        <v/>
      </c>
      <c r="BA18" s="2" t="str">
        <f ca="1">IFERROR(__xludf.DUMMYFUNCTION("""COMPUTED_VALUE"""),"")</f>
        <v/>
      </c>
      <c r="BB18" s="2" t="str">
        <f ca="1">IFERROR(__xludf.DUMMYFUNCTION("""COMPUTED_VALUE"""),"")</f>
        <v/>
      </c>
      <c r="BC18" s="2" t="str">
        <f ca="1">IFERROR(__xludf.DUMMYFUNCTION("""COMPUTED_VALUE"""),"")</f>
        <v/>
      </c>
      <c r="BD18" s="2" t="str">
        <f ca="1">IFERROR(__xludf.DUMMYFUNCTION("""COMPUTED_VALUE"""),"")</f>
        <v/>
      </c>
      <c r="BE18" s="2" t="str">
        <f ca="1">IFERROR(__xludf.DUMMYFUNCTION("""COMPUTED_VALUE"""),"")</f>
        <v/>
      </c>
      <c r="BF18" t="str">
        <f ca="1">IFERROR(__xludf.DUMMYFUNCTION("""COMPUTED_VALUE"""),"")</f>
        <v/>
      </c>
      <c r="BG18" t="str">
        <f ca="1">IFERROR(__xludf.DUMMYFUNCTION("""COMPUTED_VALUE"""),"")</f>
        <v/>
      </c>
      <c r="BH18" s="2" t="str">
        <f ca="1">IFERROR(__xludf.DUMMYFUNCTION("""COMPUTED_VALUE"""),"")</f>
        <v/>
      </c>
      <c r="BI18" s="13" t="str">
        <f ca="1">IFERROR(__xludf.DUMMYFUNCTION("""COMPUTED_VALUE"""),"")</f>
        <v/>
      </c>
      <c r="BJ18" s="9" t="str">
        <f ca="1">IFERROR(__xludf.DUMMYFUNCTION("""COMPUTED_VALUE"""),"")</f>
        <v/>
      </c>
      <c r="BK18" s="4" t="str">
        <f ca="1">IFERROR(__xludf.DUMMYFUNCTION("""COMPUTED_VALUE"""),"")</f>
        <v/>
      </c>
    </row>
    <row r="19" spans="1:63" ht="15.75" customHeight="1" x14ac:dyDescent="0.25">
      <c r="A19" s="7">
        <f ca="1">IFERROR(__xludf.DUMMYFUNCTION("""COMPUTED_VALUE"""),43243.3646955671)</f>
        <v>43243.364695567099</v>
      </c>
      <c r="B19" s="8" t="str">
        <f ca="1">IFERROR(__xludf.DUMMYFUNCTION("""COMPUTED_VALUE"""),"Waikato")</f>
        <v>Waikato</v>
      </c>
      <c r="C19" s="2" t="str">
        <f ca="1">IFERROR(__xludf.DUMMYFUNCTION("""COMPUTED_VALUE"""),"")</f>
        <v/>
      </c>
      <c r="D19" s="9">
        <f ca="1">IFERROR(__xludf.DUMMYFUNCTION("""COMPUTED_VALUE"""),43214)</f>
        <v>43214</v>
      </c>
      <c r="E19" s="4">
        <f ca="1">IFERROR(__xludf.DUMMYFUNCTION("""COMPUTED_VALUE"""),0.479166666667879)</f>
        <v>0.47916666666787899</v>
      </c>
      <c r="F19" s="2" t="str">
        <f ca="1">IFERROR(__xludf.DUMMYFUNCTION("""COMPUTED_VALUE"""),"Whangamarino")</f>
        <v>Whangamarino</v>
      </c>
      <c r="G19" s="2" t="str">
        <f ca="1">IFERROR(__xludf.DUMMYFUNCTION("""COMPUTED_VALUE"""),"VHF (Mortality): I just listened to see if the signal was on mortality")</f>
        <v>VHF (Mortality): I just listened to see if the signal was on mortality</v>
      </c>
      <c r="H19" s="2" t="str">
        <f ca="1">IFERROR(__xludf.DUMMYFUNCTION("""COMPUTED_VALUE"""),"")</f>
        <v/>
      </c>
      <c r="I19" s="2" t="str">
        <f ca="1">IFERROR(__xludf.DUMMYFUNCTION("""COMPUTED_VALUE"""),"")</f>
        <v/>
      </c>
      <c r="J19" s="2" t="str">
        <f ca="1">IFERROR(__xludf.DUMMYFUNCTION("""COMPUTED_VALUE"""),"")</f>
        <v/>
      </c>
      <c r="K19" s="2" t="str">
        <f ca="1">IFERROR(__xludf.DUMMYFUNCTION("""COMPUTED_VALUE"""),"")</f>
        <v/>
      </c>
      <c r="L19" s="2" t="str">
        <f ca="1">IFERROR(__xludf.DUMMYFUNCTION("""COMPUTED_VALUE"""),"")</f>
        <v/>
      </c>
      <c r="M19" s="5" t="str">
        <f ca="1">IFERROR(__xludf.DUMMYFUNCTION("""COMPUTED_VALUE"""),"")</f>
        <v/>
      </c>
      <c r="N19" s="5" t="str">
        <f ca="1">IFERROR(__xludf.DUMMYFUNCTION("""COMPUTED_VALUE"""),"")</f>
        <v/>
      </c>
      <c r="O19" s="2" t="str">
        <f ca="1">IFERROR(__xludf.DUMMYFUNCTION("""COMPUTED_VALUE"""),"")</f>
        <v/>
      </c>
      <c r="P19" s="2" t="str">
        <f ca="1">IFERROR(__xludf.DUMMYFUNCTION("""COMPUTED_VALUE"""),"")</f>
        <v/>
      </c>
      <c r="Q19" s="2" t="str">
        <f ca="1">IFERROR(__xludf.DUMMYFUNCTION("""COMPUTED_VALUE"""),"")</f>
        <v/>
      </c>
      <c r="R19" s="2" t="str">
        <f ca="1">IFERROR(__xludf.DUMMYFUNCTION("""COMPUTED_VALUE"""),"")</f>
        <v/>
      </c>
      <c r="S19" s="2" t="str">
        <f ca="1">IFERROR(__xludf.DUMMYFUNCTION("""COMPUTED_VALUE"""),"")</f>
        <v/>
      </c>
      <c r="T19" s="2" t="str">
        <f ca="1">IFERROR(__xludf.DUMMYFUNCTION("""COMPUTED_VALUE"""),"")</f>
        <v/>
      </c>
      <c r="U19" s="2" t="str">
        <f ca="1">IFERROR(__xludf.DUMMYFUNCTION("""COMPUTED_VALUE"""),"")</f>
        <v/>
      </c>
      <c r="V19" s="2" t="str">
        <f ca="1">IFERROR(__xludf.DUMMYFUNCTION("""COMPUTED_VALUE"""),"")</f>
        <v/>
      </c>
      <c r="W19" s="2" t="str">
        <f ca="1">IFERROR(__xludf.DUMMYFUNCTION("""COMPUTED_VALUE"""),"")</f>
        <v/>
      </c>
      <c r="X19" s="2" t="str">
        <f ca="1">IFERROR(__xludf.DUMMYFUNCTION("""COMPUTED_VALUE"""),"")</f>
        <v/>
      </c>
      <c r="Y19" s="2" t="str">
        <f ca="1">IFERROR(__xludf.DUMMYFUNCTION("""COMPUTED_VALUE"""),"")</f>
        <v/>
      </c>
      <c r="Z19" s="2" t="str">
        <f ca="1">IFERROR(__xludf.DUMMYFUNCTION("""COMPUTED_VALUE"""),"")</f>
        <v/>
      </c>
      <c r="AA19" s="2" t="str">
        <f ca="1">IFERROR(__xludf.DUMMYFUNCTION("""COMPUTED_VALUE"""),"")</f>
        <v/>
      </c>
      <c r="AB19" s="2" t="str">
        <f ca="1">IFERROR(__xludf.DUMMYFUNCTION("""COMPUTED_VALUE"""),"")</f>
        <v/>
      </c>
      <c r="AC19" s="2" t="str">
        <f ca="1">IFERROR(__xludf.DUMMYFUNCTION("""COMPUTED_VALUE"""),"")</f>
        <v/>
      </c>
      <c r="AD19" s="2" t="str">
        <f ca="1">IFERROR(__xludf.DUMMYFUNCTION("""COMPUTED_VALUE"""),"")</f>
        <v/>
      </c>
      <c r="AE19" s="2" t="str">
        <f ca="1">IFERROR(__xludf.DUMMYFUNCTION("""COMPUTED_VALUE"""),"")</f>
        <v/>
      </c>
      <c r="AF19" s="2" t="str">
        <f ca="1">IFERROR(__xludf.DUMMYFUNCTION("""COMPUTED_VALUE"""),"")</f>
        <v/>
      </c>
      <c r="AG19" s="2" t="str">
        <f ca="1">IFERROR(__xludf.DUMMYFUNCTION("""COMPUTED_VALUE"""),"")</f>
        <v/>
      </c>
      <c r="AH19" s="2" t="str">
        <f ca="1">IFERROR(__xludf.DUMMYFUNCTION("""COMPUTED_VALUE"""),"")</f>
        <v/>
      </c>
      <c r="AI19" s="2" t="str">
        <f ca="1">IFERROR(__xludf.DUMMYFUNCTION("""COMPUTED_VALUE"""),"")</f>
        <v/>
      </c>
      <c r="AJ19" s="2" t="str">
        <f ca="1">IFERROR(__xludf.DUMMYFUNCTION("""COMPUTED_VALUE"""),"")</f>
        <v/>
      </c>
      <c r="AK19" s="2" t="str">
        <f ca="1">IFERROR(__xludf.DUMMYFUNCTION("""COMPUTED_VALUE"""),"")</f>
        <v/>
      </c>
      <c r="AL19" s="2" t="str">
        <f ca="1">IFERROR(__xludf.DUMMYFUNCTION("""COMPUTED_VALUE"""),"")</f>
        <v/>
      </c>
      <c r="AM19" s="2" t="str">
        <f ca="1">IFERROR(__xludf.DUMMYFUNCTION("""COMPUTED_VALUE"""),"")</f>
        <v/>
      </c>
      <c r="AN19" s="2" t="str">
        <f ca="1">IFERROR(__xludf.DUMMYFUNCTION("""COMPUTED_VALUE"""),"")</f>
        <v/>
      </c>
      <c r="AO19" s="2" t="str">
        <f ca="1">IFERROR(__xludf.DUMMYFUNCTION("""COMPUTED_VALUE"""),"")</f>
        <v/>
      </c>
      <c r="AP19" s="2" t="str">
        <f ca="1">IFERROR(__xludf.DUMMYFUNCTION("""COMPUTED_VALUE"""),"")</f>
        <v/>
      </c>
      <c r="AQ19" s="2" t="str">
        <f ca="1">IFERROR(__xludf.DUMMYFUNCTION("""COMPUTED_VALUE"""),"")</f>
        <v/>
      </c>
      <c r="AR19" s="2" t="str">
        <f ca="1">IFERROR(__xludf.DUMMYFUNCTION("""COMPUTED_VALUE"""),"")</f>
        <v/>
      </c>
      <c r="AS19" s="2" t="str">
        <f ca="1">IFERROR(__xludf.DUMMYFUNCTION("""COMPUTED_VALUE"""),"")</f>
        <v/>
      </c>
      <c r="AT19" s="2" t="str">
        <f ca="1">IFERROR(__xludf.DUMMYFUNCTION("""COMPUTED_VALUE"""),"")</f>
        <v/>
      </c>
      <c r="AU19" s="2" t="str">
        <f ca="1">IFERROR(__xludf.DUMMYFUNCTION("""COMPUTED_VALUE"""),"")</f>
        <v/>
      </c>
      <c r="AV19" s="2" t="str">
        <f ca="1">IFERROR(__xludf.DUMMYFUNCTION("""COMPUTED_VALUE"""),"30 pulses per minute - great all is well")</f>
        <v>30 pulses per minute - great all is well</v>
      </c>
      <c r="AW19" s="2">
        <f ca="1">IFERROR(__xludf.DUMMYFUNCTION("""COMPUTED_VALUE"""),1792103)</f>
        <v>1792103</v>
      </c>
      <c r="AX19" s="2">
        <f ca="1">IFERROR(__xludf.DUMMYFUNCTION("""COMPUTED_VALUE"""),5869600)</f>
        <v>5869600</v>
      </c>
      <c r="AY19" s="2" t="str">
        <f ca="1">IFERROR(__xludf.DUMMYFUNCTION("""COMPUTED_VALUE"""),"~270 degrees but very weak signal")</f>
        <v>~270 degrees but very weak signal</v>
      </c>
      <c r="AZ19" s="2" t="str">
        <f ca="1">IFERROR(__xludf.DUMMYFUNCTION("""COMPUTED_VALUE"""),"")</f>
        <v/>
      </c>
      <c r="BA19" s="2" t="str">
        <f ca="1">IFERROR(__xludf.DUMMYFUNCTION("""COMPUTED_VALUE"""),"")</f>
        <v/>
      </c>
      <c r="BB19" s="2" t="str">
        <f ca="1">IFERROR(__xludf.DUMMYFUNCTION("""COMPUTED_VALUE"""),"")</f>
        <v/>
      </c>
      <c r="BC19" s="2" t="str">
        <f ca="1">IFERROR(__xludf.DUMMYFUNCTION("""COMPUTED_VALUE"""),"")</f>
        <v/>
      </c>
      <c r="BD19" s="2" t="str">
        <f ca="1">IFERROR(__xludf.DUMMYFUNCTION("""COMPUTED_VALUE"""),"")</f>
        <v/>
      </c>
      <c r="BE19" s="2" t="str">
        <f ca="1">IFERROR(__xludf.DUMMYFUNCTION("""COMPUTED_VALUE"""),"")</f>
        <v/>
      </c>
      <c r="BF19" t="str">
        <f ca="1">IFERROR(__xludf.DUMMYFUNCTION("""COMPUTED_VALUE"""),"")</f>
        <v/>
      </c>
      <c r="BG19" t="str">
        <f ca="1">IFERROR(__xludf.DUMMYFUNCTION("""COMPUTED_VALUE"""),"")</f>
        <v/>
      </c>
      <c r="BH19" s="2" t="str">
        <f ca="1">IFERROR(__xludf.DUMMYFUNCTION("""COMPUTED_VALUE"""),"")</f>
        <v/>
      </c>
      <c r="BI19" s="12" t="str">
        <f ca="1">IFERROR(__xludf.DUMMYFUNCTION("""COMPUTED_VALUE"""),"")</f>
        <v/>
      </c>
      <c r="BJ19" s="9" t="str">
        <f ca="1">IFERROR(__xludf.DUMMYFUNCTION("""COMPUTED_VALUE"""),"")</f>
        <v/>
      </c>
      <c r="BK19" s="4" t="str">
        <f ca="1">IFERROR(__xludf.DUMMYFUNCTION("""COMPUTED_VALUE"""),"")</f>
        <v/>
      </c>
    </row>
    <row r="20" spans="1:63" ht="15.75" customHeight="1" x14ac:dyDescent="0.25">
      <c r="A20" s="7">
        <f ca="1">IFERROR(__xludf.DUMMYFUNCTION("""COMPUTED_VALUE"""),43243.366508831)</f>
        <v>43243.366508831001</v>
      </c>
      <c r="B20" s="8" t="str">
        <f ca="1">IFERROR(__xludf.DUMMYFUNCTION("""COMPUTED_VALUE"""),"Waikato")</f>
        <v>Waikato</v>
      </c>
      <c r="C20" s="2" t="str">
        <f ca="1">IFERROR(__xludf.DUMMYFUNCTION("""COMPUTED_VALUE"""),"")</f>
        <v/>
      </c>
      <c r="D20" s="9">
        <f ca="1">IFERROR(__xludf.DUMMYFUNCTION("""COMPUTED_VALUE"""),43221)</f>
        <v>43221</v>
      </c>
      <c r="E20" s="4">
        <f ca="1">IFERROR(__xludf.DUMMYFUNCTION("""COMPUTED_VALUE"""),0.375)</f>
        <v>0.375</v>
      </c>
      <c r="F20" s="2" t="str">
        <f ca="1">IFERROR(__xludf.DUMMYFUNCTION("""COMPUTED_VALUE"""),"Whangamarino/Dean Wetland")</f>
        <v>Whangamarino/Dean Wetland</v>
      </c>
      <c r="G20" s="2" t="str">
        <f ca="1">IFERROR(__xludf.DUMMYFUNCTION("""COMPUTED_VALUE"""),"None: I listened for the bird but was unable to find it")</f>
        <v>None: I listened for the bird but was unable to find it</v>
      </c>
      <c r="H20" s="2" t="str">
        <f ca="1">IFERROR(__xludf.DUMMYFUNCTION("""COMPUTED_VALUE"""),"")</f>
        <v/>
      </c>
      <c r="I20" s="2" t="str">
        <f ca="1">IFERROR(__xludf.DUMMYFUNCTION("""COMPUTED_VALUE"""),"")</f>
        <v/>
      </c>
      <c r="J20" s="2" t="str">
        <f ca="1">IFERROR(__xludf.DUMMYFUNCTION("""COMPUTED_VALUE"""),"")</f>
        <v/>
      </c>
      <c r="K20" s="2" t="str">
        <f ca="1">IFERROR(__xludf.DUMMYFUNCTION("""COMPUTED_VALUE"""),"")</f>
        <v/>
      </c>
      <c r="L20" s="2" t="str">
        <f ca="1">IFERROR(__xludf.DUMMYFUNCTION("""COMPUTED_VALUE"""),"")</f>
        <v/>
      </c>
      <c r="M20" s="5" t="str">
        <f ca="1">IFERROR(__xludf.DUMMYFUNCTION("""COMPUTED_VALUE"""),"")</f>
        <v/>
      </c>
      <c r="N20" s="5" t="str">
        <f ca="1">IFERROR(__xludf.DUMMYFUNCTION("""COMPUTED_VALUE"""),"")</f>
        <v/>
      </c>
      <c r="O20" s="2" t="str">
        <f ca="1">IFERROR(__xludf.DUMMYFUNCTION("""COMPUTED_VALUE"""),"")</f>
        <v/>
      </c>
      <c r="P20" s="2" t="str">
        <f ca="1">IFERROR(__xludf.DUMMYFUNCTION("""COMPUTED_VALUE"""),"")</f>
        <v/>
      </c>
      <c r="Q20" s="2" t="str">
        <f ca="1">IFERROR(__xludf.DUMMYFUNCTION("""COMPUTED_VALUE"""),"")</f>
        <v/>
      </c>
      <c r="R20" s="2" t="str">
        <f ca="1">IFERROR(__xludf.DUMMYFUNCTION("""COMPUTED_VALUE"""),"")</f>
        <v/>
      </c>
      <c r="S20" s="2" t="str">
        <f ca="1">IFERROR(__xludf.DUMMYFUNCTION("""COMPUTED_VALUE"""),"")</f>
        <v/>
      </c>
      <c r="T20" s="2" t="str">
        <f ca="1">IFERROR(__xludf.DUMMYFUNCTION("""COMPUTED_VALUE"""),"")</f>
        <v/>
      </c>
      <c r="U20" s="2" t="str">
        <f ca="1">IFERROR(__xludf.DUMMYFUNCTION("""COMPUTED_VALUE"""),"")</f>
        <v/>
      </c>
      <c r="V20" s="2" t="str">
        <f ca="1">IFERROR(__xludf.DUMMYFUNCTION("""COMPUTED_VALUE"""),"")</f>
        <v/>
      </c>
      <c r="W20" s="2" t="str">
        <f ca="1">IFERROR(__xludf.DUMMYFUNCTION("""COMPUTED_VALUE"""),"")</f>
        <v/>
      </c>
      <c r="X20" s="2" t="str">
        <f ca="1">IFERROR(__xludf.DUMMYFUNCTION("""COMPUTED_VALUE"""),"")</f>
        <v/>
      </c>
      <c r="Y20" s="2" t="str">
        <f ca="1">IFERROR(__xludf.DUMMYFUNCTION("""COMPUTED_VALUE"""),"")</f>
        <v/>
      </c>
      <c r="Z20" s="2" t="str">
        <f ca="1">IFERROR(__xludf.DUMMYFUNCTION("""COMPUTED_VALUE"""),"")</f>
        <v/>
      </c>
      <c r="AA20" s="2" t="str">
        <f ca="1">IFERROR(__xludf.DUMMYFUNCTION("""COMPUTED_VALUE"""),"")</f>
        <v/>
      </c>
      <c r="AB20" s="2" t="str">
        <f ca="1">IFERROR(__xludf.DUMMYFUNCTION("""COMPUTED_VALUE"""),"")</f>
        <v/>
      </c>
      <c r="AC20" s="2" t="str">
        <f ca="1">IFERROR(__xludf.DUMMYFUNCTION("""COMPUTED_VALUE"""),"")</f>
        <v/>
      </c>
      <c r="AD20" s="2" t="str">
        <f ca="1">IFERROR(__xludf.DUMMYFUNCTION("""COMPUTED_VALUE"""),"")</f>
        <v/>
      </c>
      <c r="AE20" s="2" t="str">
        <f ca="1">IFERROR(__xludf.DUMMYFUNCTION("""COMPUTED_VALUE"""),"")</f>
        <v/>
      </c>
      <c r="AF20" s="2" t="str">
        <f ca="1">IFERROR(__xludf.DUMMYFUNCTION("""COMPUTED_VALUE"""),"")</f>
        <v/>
      </c>
      <c r="AG20" s="2" t="str">
        <f ca="1">IFERROR(__xludf.DUMMYFUNCTION("""COMPUTED_VALUE"""),"")</f>
        <v/>
      </c>
      <c r="AH20" s="2" t="str">
        <f ca="1">IFERROR(__xludf.DUMMYFUNCTION("""COMPUTED_VALUE"""),"")</f>
        <v/>
      </c>
      <c r="AI20" s="2" t="str">
        <f ca="1">IFERROR(__xludf.DUMMYFUNCTION("""COMPUTED_VALUE"""),"")</f>
        <v/>
      </c>
      <c r="AJ20" s="2" t="str">
        <f ca="1">IFERROR(__xludf.DUMMYFUNCTION("""COMPUTED_VALUE"""),"")</f>
        <v/>
      </c>
      <c r="AK20" s="2" t="str">
        <f ca="1">IFERROR(__xludf.DUMMYFUNCTION("""COMPUTED_VALUE"""),"")</f>
        <v/>
      </c>
      <c r="AL20" s="2" t="str">
        <f ca="1">IFERROR(__xludf.DUMMYFUNCTION("""COMPUTED_VALUE"""),"")</f>
        <v/>
      </c>
      <c r="AM20" s="2" t="str">
        <f ca="1">IFERROR(__xludf.DUMMYFUNCTION("""COMPUTED_VALUE"""),"")</f>
        <v/>
      </c>
      <c r="AN20" s="2" t="str">
        <f ca="1">IFERROR(__xludf.DUMMYFUNCTION("""COMPUTED_VALUE"""),"")</f>
        <v/>
      </c>
      <c r="AO20" s="2" t="str">
        <f ca="1">IFERROR(__xludf.DUMMYFUNCTION("""COMPUTED_VALUE"""),"")</f>
        <v/>
      </c>
      <c r="AP20" s="2" t="str">
        <f ca="1">IFERROR(__xludf.DUMMYFUNCTION("""COMPUTED_VALUE"""),"")</f>
        <v/>
      </c>
      <c r="AQ20" s="2" t="str">
        <f ca="1">IFERROR(__xludf.DUMMYFUNCTION("""COMPUTED_VALUE"""),"")</f>
        <v/>
      </c>
      <c r="AR20" s="2" t="str">
        <f ca="1">IFERROR(__xludf.DUMMYFUNCTION("""COMPUTED_VALUE"""),"")</f>
        <v/>
      </c>
      <c r="AS20" s="2" t="str">
        <f ca="1">IFERROR(__xludf.DUMMYFUNCTION("""COMPUTED_VALUE"""),"")</f>
        <v/>
      </c>
      <c r="AT20" s="2" t="str">
        <f ca="1">IFERROR(__xludf.DUMMYFUNCTION("""COMPUTED_VALUE"""),"")</f>
        <v/>
      </c>
      <c r="AU20" s="2" t="str">
        <f ca="1">IFERROR(__xludf.DUMMYFUNCTION("""COMPUTED_VALUE"""),"")</f>
        <v/>
      </c>
      <c r="AV20" s="2" t="str">
        <f ca="1">IFERROR(__xludf.DUMMYFUNCTION("""COMPUTED_VALUE"""),"")</f>
        <v/>
      </c>
      <c r="AW20" s="2" t="str">
        <f ca="1">IFERROR(__xludf.DUMMYFUNCTION("""COMPUTED_VALUE"""),"")</f>
        <v/>
      </c>
      <c r="AX20" s="2" t="str">
        <f ca="1">IFERROR(__xludf.DUMMYFUNCTION("""COMPUTED_VALUE"""),"")</f>
        <v/>
      </c>
      <c r="AY20" s="2" t="str">
        <f ca="1">IFERROR(__xludf.DUMMYFUNCTION("""COMPUTED_VALUE"""),"")</f>
        <v/>
      </c>
      <c r="AZ20" s="2" t="str">
        <f ca="1">IFERROR(__xludf.DUMMYFUNCTION("""COMPUTED_VALUE"""),"")</f>
        <v/>
      </c>
      <c r="BA20" s="2" t="str">
        <f ca="1">IFERROR(__xludf.DUMMYFUNCTION("""COMPUTED_VALUE"""),"")</f>
        <v/>
      </c>
      <c r="BB20" s="2" t="str">
        <f ca="1">IFERROR(__xludf.DUMMYFUNCTION("""COMPUTED_VALUE"""),"")</f>
        <v/>
      </c>
      <c r="BC20" s="2" t="str">
        <f ca="1">IFERROR(__xludf.DUMMYFUNCTION("""COMPUTED_VALUE"""),"")</f>
        <v/>
      </c>
      <c r="BD20" s="2" t="str">
        <f ca="1">IFERROR(__xludf.DUMMYFUNCTION("""COMPUTED_VALUE"""),"Dean wetland. Whangamarino: Wellwood block, Peter Buckley's gate and stop bank, hill overlooking Buckley's, Coalfields Road, Falls Road F&amp;G block, Falls Road flats")</f>
        <v>Dean wetland. Whangamarino: Wellwood block, Peter Buckley's gate and stop bank, hill overlooking Buckley's, Coalfields Road, Falls Road F&amp;G block, Falls Road flats</v>
      </c>
      <c r="BE20" s="2" t="str">
        <f ca="1">IFERROR(__xludf.DUMMYFUNCTION("""COMPUTED_VALUE"""),"no")</f>
        <v>no</v>
      </c>
      <c r="BF20" t="str">
        <f ca="1">IFERROR(__xludf.DUMMYFUNCTION("""COMPUTED_VALUE"""),"")</f>
        <v/>
      </c>
      <c r="BG20" t="str">
        <f ca="1">IFERROR(__xludf.DUMMYFUNCTION("""COMPUTED_VALUE"""),"")</f>
        <v/>
      </c>
      <c r="BH20" s="2" t="str">
        <f ca="1">IFERROR(__xludf.DUMMYFUNCTION("""COMPUTED_VALUE"""),"")</f>
        <v/>
      </c>
      <c r="BI20" s="13" t="str">
        <f ca="1">IFERROR(__xludf.DUMMYFUNCTION("""COMPUTED_VALUE"""),"")</f>
        <v/>
      </c>
      <c r="BJ20" s="9" t="str">
        <f ca="1">IFERROR(__xludf.DUMMYFUNCTION("""COMPUTED_VALUE"""),"")</f>
        <v/>
      </c>
      <c r="BK20" s="4" t="str">
        <f ca="1">IFERROR(__xludf.DUMMYFUNCTION("""COMPUTED_VALUE"""),"")</f>
        <v/>
      </c>
    </row>
    <row r="21" spans="1:63" ht="15.75" customHeight="1" x14ac:dyDescent="0.25">
      <c r="A21" s="7">
        <f ca="1">IFERROR(__xludf.DUMMYFUNCTION("""COMPUTED_VALUE"""),43243.3742216898)</f>
        <v>43243.374221689803</v>
      </c>
      <c r="B21" s="8" t="str">
        <f ca="1">IFERROR(__xludf.DUMMYFUNCTION("""COMPUTED_VALUE"""),"Waikato")</f>
        <v>Waikato</v>
      </c>
      <c r="C21" s="2" t="str">
        <f ca="1">IFERROR(__xludf.DUMMYFUNCTION("""COMPUTED_VALUE"""),"")</f>
        <v/>
      </c>
      <c r="D21" s="9">
        <f ca="1">IFERROR(__xludf.DUMMYFUNCTION("""COMPUTED_VALUE"""),43224)</f>
        <v>43224</v>
      </c>
      <c r="E21" s="4">
        <f ca="1">IFERROR(__xludf.DUMMYFUNCTION("""COMPUTED_VALUE"""),0.42708333333212)</f>
        <v>0.42708333333212001</v>
      </c>
      <c r="F21" s="2" t="str">
        <f ca="1">IFERROR(__xludf.DUMMYFUNCTION("""COMPUTED_VALUE"""),"Whangamarino")</f>
        <v>Whangamarino</v>
      </c>
      <c r="G21" s="2" t="str">
        <f ca="1">IFERROR(__xludf.DUMMYFUNCTION("""COMPUTED_VALUE"""),"VHF (Mortality): I just listened to see if the signal was on mortality")</f>
        <v>VHF (Mortality): I just listened to see if the signal was on mortality</v>
      </c>
      <c r="H21" s="2" t="str">
        <f ca="1">IFERROR(__xludf.DUMMYFUNCTION("""COMPUTED_VALUE"""),"")</f>
        <v/>
      </c>
      <c r="I21" s="2" t="str">
        <f ca="1">IFERROR(__xludf.DUMMYFUNCTION("""COMPUTED_VALUE"""),"")</f>
        <v/>
      </c>
      <c r="J21" s="2" t="str">
        <f ca="1">IFERROR(__xludf.DUMMYFUNCTION("""COMPUTED_VALUE"""),"")</f>
        <v/>
      </c>
      <c r="K21" s="2" t="str">
        <f ca="1">IFERROR(__xludf.DUMMYFUNCTION("""COMPUTED_VALUE"""),"")</f>
        <v/>
      </c>
      <c r="L21" s="2" t="str">
        <f ca="1">IFERROR(__xludf.DUMMYFUNCTION("""COMPUTED_VALUE"""),"")</f>
        <v/>
      </c>
      <c r="M21" s="5" t="str">
        <f ca="1">IFERROR(__xludf.DUMMYFUNCTION("""COMPUTED_VALUE"""),"")</f>
        <v/>
      </c>
      <c r="N21" s="5" t="str">
        <f ca="1">IFERROR(__xludf.DUMMYFUNCTION("""COMPUTED_VALUE"""),"")</f>
        <v/>
      </c>
      <c r="O21" s="2" t="str">
        <f ca="1">IFERROR(__xludf.DUMMYFUNCTION("""COMPUTED_VALUE"""),"")</f>
        <v/>
      </c>
      <c r="P21" s="2" t="str">
        <f ca="1">IFERROR(__xludf.DUMMYFUNCTION("""COMPUTED_VALUE"""),"")</f>
        <v/>
      </c>
      <c r="Q21" s="2" t="str">
        <f ca="1">IFERROR(__xludf.DUMMYFUNCTION("""COMPUTED_VALUE"""),"")</f>
        <v/>
      </c>
      <c r="R21" s="2" t="str">
        <f ca="1">IFERROR(__xludf.DUMMYFUNCTION("""COMPUTED_VALUE"""),"")</f>
        <v/>
      </c>
      <c r="S21" s="2" t="str">
        <f ca="1">IFERROR(__xludf.DUMMYFUNCTION("""COMPUTED_VALUE"""),"")</f>
        <v/>
      </c>
      <c r="T21" s="2" t="str">
        <f ca="1">IFERROR(__xludf.DUMMYFUNCTION("""COMPUTED_VALUE"""),"")</f>
        <v/>
      </c>
      <c r="U21" s="2" t="str">
        <f ca="1">IFERROR(__xludf.DUMMYFUNCTION("""COMPUTED_VALUE"""),"")</f>
        <v/>
      </c>
      <c r="V21" s="2" t="str">
        <f ca="1">IFERROR(__xludf.DUMMYFUNCTION("""COMPUTED_VALUE"""),"")</f>
        <v/>
      </c>
      <c r="W21" s="2" t="str">
        <f ca="1">IFERROR(__xludf.DUMMYFUNCTION("""COMPUTED_VALUE"""),"")</f>
        <v/>
      </c>
      <c r="X21" s="2" t="str">
        <f ca="1">IFERROR(__xludf.DUMMYFUNCTION("""COMPUTED_VALUE"""),"")</f>
        <v/>
      </c>
      <c r="Y21" s="2" t="str">
        <f ca="1">IFERROR(__xludf.DUMMYFUNCTION("""COMPUTED_VALUE"""),"")</f>
        <v/>
      </c>
      <c r="Z21" s="2" t="str">
        <f ca="1">IFERROR(__xludf.DUMMYFUNCTION("""COMPUTED_VALUE"""),"")</f>
        <v/>
      </c>
      <c r="AA21" s="2" t="str">
        <f ca="1">IFERROR(__xludf.DUMMYFUNCTION("""COMPUTED_VALUE"""),"")</f>
        <v/>
      </c>
      <c r="AB21" s="2" t="str">
        <f ca="1">IFERROR(__xludf.DUMMYFUNCTION("""COMPUTED_VALUE"""),"")</f>
        <v/>
      </c>
      <c r="AC21" s="2" t="str">
        <f ca="1">IFERROR(__xludf.DUMMYFUNCTION("""COMPUTED_VALUE"""),"")</f>
        <v/>
      </c>
      <c r="AD21" s="2" t="str">
        <f ca="1">IFERROR(__xludf.DUMMYFUNCTION("""COMPUTED_VALUE"""),"")</f>
        <v/>
      </c>
      <c r="AE21" s="2" t="str">
        <f ca="1">IFERROR(__xludf.DUMMYFUNCTION("""COMPUTED_VALUE"""),"")</f>
        <v/>
      </c>
      <c r="AF21" s="2" t="str">
        <f ca="1">IFERROR(__xludf.DUMMYFUNCTION("""COMPUTED_VALUE"""),"")</f>
        <v/>
      </c>
      <c r="AG21" s="2" t="str">
        <f ca="1">IFERROR(__xludf.DUMMYFUNCTION("""COMPUTED_VALUE"""),"")</f>
        <v/>
      </c>
      <c r="AH21" s="2" t="str">
        <f ca="1">IFERROR(__xludf.DUMMYFUNCTION("""COMPUTED_VALUE"""),"")</f>
        <v/>
      </c>
      <c r="AI21" s="2" t="str">
        <f ca="1">IFERROR(__xludf.DUMMYFUNCTION("""COMPUTED_VALUE"""),"")</f>
        <v/>
      </c>
      <c r="AJ21" s="2" t="str">
        <f ca="1">IFERROR(__xludf.DUMMYFUNCTION("""COMPUTED_VALUE"""),"")</f>
        <v/>
      </c>
      <c r="AK21" s="2" t="str">
        <f ca="1">IFERROR(__xludf.DUMMYFUNCTION("""COMPUTED_VALUE"""),"")</f>
        <v/>
      </c>
      <c r="AL21" s="2" t="str">
        <f ca="1">IFERROR(__xludf.DUMMYFUNCTION("""COMPUTED_VALUE"""),"")</f>
        <v/>
      </c>
      <c r="AM21" s="2" t="str">
        <f ca="1">IFERROR(__xludf.DUMMYFUNCTION("""COMPUTED_VALUE"""),"")</f>
        <v/>
      </c>
      <c r="AN21" s="2" t="str">
        <f ca="1">IFERROR(__xludf.DUMMYFUNCTION("""COMPUTED_VALUE"""),"")</f>
        <v/>
      </c>
      <c r="AO21" s="2" t="str">
        <f ca="1">IFERROR(__xludf.DUMMYFUNCTION("""COMPUTED_VALUE"""),"")</f>
        <v/>
      </c>
      <c r="AP21" s="2" t="str">
        <f ca="1">IFERROR(__xludf.DUMMYFUNCTION("""COMPUTED_VALUE"""),"")</f>
        <v/>
      </c>
      <c r="AQ21" s="2" t="str">
        <f ca="1">IFERROR(__xludf.DUMMYFUNCTION("""COMPUTED_VALUE"""),"")</f>
        <v/>
      </c>
      <c r="AR21" s="2" t="str">
        <f ca="1">IFERROR(__xludf.DUMMYFUNCTION("""COMPUTED_VALUE"""),"")</f>
        <v/>
      </c>
      <c r="AS21" s="2" t="str">
        <f ca="1">IFERROR(__xludf.DUMMYFUNCTION("""COMPUTED_VALUE"""),"")</f>
        <v/>
      </c>
      <c r="AT21" s="2" t="str">
        <f ca="1">IFERROR(__xludf.DUMMYFUNCTION("""COMPUTED_VALUE"""),"")</f>
        <v/>
      </c>
      <c r="AU21" s="2" t="str">
        <f ca="1">IFERROR(__xludf.DUMMYFUNCTION("""COMPUTED_VALUE"""),"")</f>
        <v/>
      </c>
      <c r="AV21" s="2" t="str">
        <f ca="1">IFERROR(__xludf.DUMMYFUNCTION("""COMPUTED_VALUE"""),"30 pulses per minute - great all is well")</f>
        <v>30 pulses per minute - great all is well</v>
      </c>
      <c r="AW21" s="2">
        <f ca="1">IFERROR(__xludf.DUMMYFUNCTION("""COMPUTED_VALUE"""),1782761)</f>
        <v>1782761</v>
      </c>
      <c r="AX21" s="2">
        <f ca="1">IFERROR(__xludf.DUMMYFUNCTION("""COMPUTED_VALUE"""),5870638)</f>
        <v>5870638</v>
      </c>
      <c r="AY21" s="2" t="str">
        <f ca="1">IFERROR(__xludf.DUMMYFUNCTION("""COMPUTED_VALUE"""),"strong signal 112` from above bearing. Strong signal 92` from E1783451 N5867789.")</f>
        <v>strong signal 112` from above bearing. Strong signal 92` from E1783451 N5867789.</v>
      </c>
      <c r="AZ21" s="2" t="str">
        <f ca="1">IFERROR(__xludf.DUMMYFUNCTION("""COMPUTED_VALUE"""),"")</f>
        <v/>
      </c>
      <c r="BA21" s="2" t="str">
        <f ca="1">IFERROR(__xludf.DUMMYFUNCTION("""COMPUTED_VALUE"""),"")</f>
        <v/>
      </c>
      <c r="BB21" s="2" t="str">
        <f ca="1">IFERROR(__xludf.DUMMYFUNCTION("""COMPUTED_VALUE"""),"")</f>
        <v/>
      </c>
      <c r="BC21" s="2" t="str">
        <f ca="1">IFERROR(__xludf.DUMMYFUNCTION("""COMPUTED_VALUE"""),"")</f>
        <v/>
      </c>
      <c r="BD21" s="2" t="str">
        <f ca="1">IFERROR(__xludf.DUMMYFUNCTION("""COMPUTED_VALUE"""),"")</f>
        <v/>
      </c>
      <c r="BE21" s="2" t="str">
        <f ca="1">IFERROR(__xludf.DUMMYFUNCTION("""COMPUTED_VALUE"""),"")</f>
        <v/>
      </c>
      <c r="BF21" t="str">
        <f ca="1">IFERROR(__xludf.DUMMYFUNCTION("""COMPUTED_VALUE"""),"")</f>
        <v/>
      </c>
      <c r="BG21" t="str">
        <f ca="1">IFERROR(__xludf.DUMMYFUNCTION("""COMPUTED_VALUE"""),"")</f>
        <v/>
      </c>
      <c r="BH21" s="2" t="str">
        <f ca="1">IFERROR(__xludf.DUMMYFUNCTION("""COMPUTED_VALUE"""),"")</f>
        <v/>
      </c>
      <c r="BI21" s="12" t="str">
        <f ca="1">IFERROR(__xludf.DUMMYFUNCTION("""COMPUTED_VALUE"""),"")</f>
        <v/>
      </c>
      <c r="BJ21" s="9" t="str">
        <f ca="1">IFERROR(__xludf.DUMMYFUNCTION("""COMPUTED_VALUE"""),"")</f>
        <v/>
      </c>
      <c r="BK21" s="4" t="str">
        <f ca="1">IFERROR(__xludf.DUMMYFUNCTION("""COMPUTED_VALUE"""),"")</f>
        <v/>
      </c>
    </row>
    <row r="22" spans="1:63" ht="15.75" customHeight="1" x14ac:dyDescent="0.25">
      <c r="A22" s="7">
        <f ca="1">IFERROR(__xludf.DUMMYFUNCTION("""COMPUTED_VALUE"""),43243.3875485185)</f>
        <v>43243.387548518498</v>
      </c>
      <c r="B22" s="8" t="str">
        <f ca="1">IFERROR(__xludf.DUMMYFUNCTION("""COMPUTED_VALUE"""),"Waikato")</f>
        <v>Waikato</v>
      </c>
      <c r="C22" s="2" t="str">
        <f ca="1">IFERROR(__xludf.DUMMYFUNCTION("""COMPUTED_VALUE"""),"")</f>
        <v/>
      </c>
      <c r="D22" s="9">
        <f ca="1">IFERROR(__xludf.DUMMYFUNCTION("""COMPUTED_VALUE"""),43227)</f>
        <v>43227</v>
      </c>
      <c r="E22" s="4">
        <f ca="1">IFERROR(__xludf.DUMMYFUNCTION("""COMPUTED_VALUE"""),0.565972222222626)</f>
        <v>0.565972222222626</v>
      </c>
      <c r="F22" s="2" t="str">
        <f ca="1">IFERROR(__xludf.DUMMYFUNCTION("""COMPUTED_VALUE"""),"Whangamarino")</f>
        <v>Whangamarino</v>
      </c>
      <c r="G22" s="2" t="str">
        <f ca="1">IFERROR(__xludf.DUMMYFUNCTION("""COMPUTED_VALUE"""),"VHF (triangulation): I triangulated the bird with at least three bearings")</f>
        <v>VHF (triangulation): I triangulated the bird with at least three bearings</v>
      </c>
      <c r="H22" s="2" t="str">
        <f ca="1">IFERROR(__xludf.DUMMYFUNCTION("""COMPUTED_VALUE"""),"")</f>
        <v/>
      </c>
      <c r="I22" s="2" t="str">
        <f ca="1">IFERROR(__xludf.DUMMYFUNCTION("""COMPUTED_VALUE"""),"")</f>
        <v/>
      </c>
      <c r="J22" s="2" t="str">
        <f ca="1">IFERROR(__xludf.DUMMYFUNCTION("""COMPUTED_VALUE"""),"")</f>
        <v/>
      </c>
      <c r="K22" s="2" t="str">
        <f ca="1">IFERROR(__xludf.DUMMYFUNCTION("""COMPUTED_VALUE"""),"")</f>
        <v/>
      </c>
      <c r="L22" s="2" t="str">
        <f ca="1">IFERROR(__xludf.DUMMYFUNCTION("""COMPUTED_VALUE"""),"")</f>
        <v/>
      </c>
      <c r="M22" s="5" t="str">
        <f ca="1">IFERROR(__xludf.DUMMYFUNCTION("""COMPUTED_VALUE"""),"")</f>
        <v/>
      </c>
      <c r="N22" s="5" t="str">
        <f ca="1">IFERROR(__xludf.DUMMYFUNCTION("""COMPUTED_VALUE"""),"")</f>
        <v/>
      </c>
      <c r="O22" s="2" t="str">
        <f ca="1">IFERROR(__xludf.DUMMYFUNCTION("""COMPUTED_VALUE"""),"")</f>
        <v/>
      </c>
      <c r="P22" s="2" t="str">
        <f ca="1">IFERROR(__xludf.DUMMYFUNCTION("""COMPUTED_VALUE"""),"")</f>
        <v/>
      </c>
      <c r="Q22" s="2" t="str">
        <f ca="1">IFERROR(__xludf.DUMMYFUNCTION("""COMPUTED_VALUE"""),"")</f>
        <v/>
      </c>
      <c r="R22" s="2" t="str">
        <f ca="1">IFERROR(__xludf.DUMMYFUNCTION("""COMPUTED_VALUE"""),"")</f>
        <v/>
      </c>
      <c r="S22" s="2" t="str">
        <f ca="1">IFERROR(__xludf.DUMMYFUNCTION("""COMPUTED_VALUE"""),"")</f>
        <v/>
      </c>
      <c r="T22" s="2" t="str">
        <f ca="1">IFERROR(__xludf.DUMMYFUNCTION("""COMPUTED_VALUE"""),"")</f>
        <v/>
      </c>
      <c r="U22" s="2" t="str">
        <f ca="1">IFERROR(__xludf.DUMMYFUNCTION("""COMPUTED_VALUE"""),"")</f>
        <v/>
      </c>
      <c r="V22" s="2" t="str">
        <f ca="1">IFERROR(__xludf.DUMMYFUNCTION("""COMPUTED_VALUE"""),"")</f>
        <v/>
      </c>
      <c r="W22" s="2" t="str">
        <f ca="1">IFERROR(__xludf.DUMMYFUNCTION("""COMPUTED_VALUE"""),"")</f>
        <v/>
      </c>
      <c r="X22" s="2" t="str">
        <f ca="1">IFERROR(__xludf.DUMMYFUNCTION("""COMPUTED_VALUE"""),"")</f>
        <v/>
      </c>
      <c r="Y22" s="2" t="str">
        <f ca="1">IFERROR(__xludf.DUMMYFUNCTION("""COMPUTED_VALUE"""),"")</f>
        <v/>
      </c>
      <c r="Z22" s="2" t="str">
        <f ca="1">IFERROR(__xludf.DUMMYFUNCTION("""COMPUTED_VALUE"""),"")</f>
        <v/>
      </c>
      <c r="AA22" s="2">
        <f ca="1">IFERROR(__xludf.DUMMYFUNCTION("""COMPUTED_VALUE"""),1792097)</f>
        <v>1792097</v>
      </c>
      <c r="AB22" s="2">
        <f ca="1">IFERROR(__xludf.DUMMYFUNCTION("""COMPUTED_VALUE"""),5869681)</f>
        <v>5869681</v>
      </c>
      <c r="AC22" s="2">
        <f ca="1">IFERROR(__xludf.DUMMYFUNCTION("""COMPUTED_VALUE"""),240)</f>
        <v>240</v>
      </c>
      <c r="AD22" s="2" t="str">
        <f ca="1">IFERROR(__xludf.DUMMYFUNCTION("""COMPUTED_VALUE"""),"Strong - I got a lovely, clear, strong signal.")</f>
        <v>Strong - I got a lovely, clear, strong signal.</v>
      </c>
      <c r="AE22" s="2">
        <f ca="1">IFERROR(__xludf.DUMMYFUNCTION("""COMPUTED_VALUE"""),1791530)</f>
        <v>1791530</v>
      </c>
      <c r="AF22" s="2">
        <f ca="1">IFERROR(__xludf.DUMMYFUNCTION("""COMPUTED_VALUE"""),5869107)</f>
        <v>5869107</v>
      </c>
      <c r="AG22" s="2">
        <f ca="1">IFERROR(__xludf.DUMMYFUNCTION("""COMPUTED_VALUE"""),300)</f>
        <v>300</v>
      </c>
      <c r="AH22" s="2" t="str">
        <f ca="1">IFERROR(__xludf.DUMMYFUNCTION("""COMPUTED_VALUE"""),"Strong - I got a lovely, clear, strong signal.")</f>
        <v>Strong - I got a lovely, clear, strong signal.</v>
      </c>
      <c r="AI22" s="2">
        <f ca="1">IFERROR(__xludf.DUMMYFUNCTION("""COMPUTED_VALUE"""),1790963)</f>
        <v>1790963</v>
      </c>
      <c r="AJ22" s="2">
        <f ca="1">IFERROR(__xludf.DUMMYFUNCTION("""COMPUTED_VALUE"""),5869295)</f>
        <v>5869295</v>
      </c>
      <c r="AK22" s="2">
        <f ca="1">IFERROR(__xludf.DUMMYFUNCTION("""COMPUTED_VALUE"""),20)</f>
        <v>20</v>
      </c>
      <c r="AL22" s="2" t="str">
        <f ca="1">IFERROR(__xludf.DUMMYFUNCTION("""COMPUTED_VALUE"""),"Strong - I got a lovely, clear, strong signal.")</f>
        <v>Strong - I got a lovely, clear, strong signal.</v>
      </c>
      <c r="AM22" s="2">
        <f ca="1">IFERROR(__xludf.DUMMYFUNCTION("""COMPUTED_VALUE"""),1791026)</f>
        <v>1791026</v>
      </c>
      <c r="AN22" s="2">
        <f ca="1">IFERROR(__xludf.DUMMYFUNCTION("""COMPUTED_VALUE"""),5869267)</f>
        <v>5869267</v>
      </c>
      <c r="AO22" s="2">
        <f ca="1">IFERROR(__xludf.DUMMYFUNCTION("""COMPUTED_VALUE"""),7)</f>
        <v>7</v>
      </c>
      <c r="AP22" s="2" t="str">
        <f ca="1">IFERROR(__xludf.DUMMYFUNCTION("""COMPUTED_VALUE"""),"Strong - I got a lovely, clear, strong signal.")</f>
        <v>Strong - I got a lovely, clear, strong signal.</v>
      </c>
      <c r="AQ22" s="2" t="str">
        <f ca="1">IFERROR(__xludf.DUMMYFUNCTION("""COMPUTED_VALUE"""),"")</f>
        <v/>
      </c>
      <c r="AR22" s="2" t="str">
        <f ca="1">IFERROR(__xludf.DUMMYFUNCTION("""COMPUTED_VALUE"""),"")</f>
        <v/>
      </c>
      <c r="AS22" s="2" t="str">
        <f ca="1">IFERROR(__xludf.DUMMYFUNCTION("""COMPUTED_VALUE"""),"")</f>
        <v/>
      </c>
      <c r="AT22" s="2" t="str">
        <f ca="1">IFERROR(__xludf.DUMMYFUNCTION("""COMPUTED_VALUE"""),"")</f>
        <v/>
      </c>
      <c r="AU22" s="2" t="str">
        <f ca="1">IFERROR(__xludf.DUMMYFUNCTION("""COMPUTED_VALUE"""),"no")</f>
        <v>no</v>
      </c>
      <c r="AV22" s="2" t="str">
        <f ca="1">IFERROR(__xludf.DUMMYFUNCTION("""COMPUTED_VALUE"""),"")</f>
        <v/>
      </c>
      <c r="AW22" s="2" t="str">
        <f ca="1">IFERROR(__xludf.DUMMYFUNCTION("""COMPUTED_VALUE"""),"")</f>
        <v/>
      </c>
      <c r="AX22" s="2" t="str">
        <f ca="1">IFERROR(__xludf.DUMMYFUNCTION("""COMPUTED_VALUE"""),"")</f>
        <v/>
      </c>
      <c r="AY22" s="2" t="str">
        <f ca="1">IFERROR(__xludf.DUMMYFUNCTION("""COMPUTED_VALUE"""),"")</f>
        <v/>
      </c>
      <c r="AZ22" s="2" t="str">
        <f ca="1">IFERROR(__xludf.DUMMYFUNCTION("""COMPUTED_VALUE"""),"")</f>
        <v/>
      </c>
      <c r="BA22" s="2" t="str">
        <f ca="1">IFERROR(__xludf.DUMMYFUNCTION("""COMPUTED_VALUE"""),"")</f>
        <v/>
      </c>
      <c r="BB22" s="2" t="str">
        <f ca="1">IFERROR(__xludf.DUMMYFUNCTION("""COMPUTED_VALUE"""),"")</f>
        <v/>
      </c>
      <c r="BC22" s="2" t="str">
        <f ca="1">IFERROR(__xludf.DUMMYFUNCTION("""COMPUTED_VALUE"""),"")</f>
        <v/>
      </c>
      <c r="BD22" s="2" t="str">
        <f ca="1">IFERROR(__xludf.DUMMYFUNCTION("""COMPUTED_VALUE"""),"")</f>
        <v/>
      </c>
      <c r="BE22" s="2" t="str">
        <f ca="1">IFERROR(__xludf.DUMMYFUNCTION("""COMPUTED_VALUE"""),"")</f>
        <v/>
      </c>
      <c r="BF22" t="str">
        <f ca="1">IFERROR(__xludf.DUMMYFUNCTION("""COMPUTED_VALUE"""),"")</f>
        <v/>
      </c>
      <c r="BG22" t="str">
        <f ca="1">IFERROR(__xludf.DUMMYFUNCTION("""COMPUTED_VALUE"""),"")</f>
        <v/>
      </c>
      <c r="BH22" s="2" t="str">
        <f ca="1">IFERROR(__xludf.DUMMYFUNCTION("""COMPUTED_VALUE"""),"")</f>
        <v/>
      </c>
      <c r="BI22" s="13" t="str">
        <f ca="1">IFERROR(__xludf.DUMMYFUNCTION("""COMPUTED_VALUE"""),"")</f>
        <v/>
      </c>
      <c r="BJ22" s="9" t="str">
        <f ca="1">IFERROR(__xludf.DUMMYFUNCTION("""COMPUTED_VALUE"""),"")</f>
        <v/>
      </c>
      <c r="BK22" s="4" t="str">
        <f ca="1">IFERROR(__xludf.DUMMYFUNCTION("""COMPUTED_VALUE"""),"")</f>
        <v/>
      </c>
    </row>
    <row r="23" spans="1:63" ht="15.75" customHeight="1" x14ac:dyDescent="0.25">
      <c r="A23" s="7">
        <f ca="1">IFERROR(__xludf.DUMMYFUNCTION("""COMPUTED_VALUE"""),43243.3897747222)</f>
        <v>43243.3897747222</v>
      </c>
      <c r="B23" s="8" t="str">
        <f ca="1">IFERROR(__xludf.DUMMYFUNCTION("""COMPUTED_VALUE"""),"Waikato")</f>
        <v>Waikato</v>
      </c>
      <c r="C23" s="2" t="str">
        <f ca="1">IFERROR(__xludf.DUMMYFUNCTION("""COMPUTED_VALUE"""),"")</f>
        <v/>
      </c>
      <c r="D23" s="9">
        <f ca="1">IFERROR(__xludf.DUMMYFUNCTION("""COMPUTED_VALUE"""),43230)</f>
        <v>43230</v>
      </c>
      <c r="E23" s="4">
        <f ca="1">IFERROR(__xludf.DUMMYFUNCTION("""COMPUTED_VALUE"""),0.440972222222626)</f>
        <v>0.440972222222626</v>
      </c>
      <c r="F23" s="2" t="str">
        <f ca="1">IFERROR(__xludf.DUMMYFUNCTION("""COMPUTED_VALUE"""),"Whangamarino")</f>
        <v>Whangamarino</v>
      </c>
      <c r="G23" s="2" t="str">
        <f ca="1">IFERROR(__xludf.DUMMYFUNCTION("""COMPUTED_VALUE"""),"VHF (Mortality): I just listened to see if the signal was on mortality")</f>
        <v>VHF (Mortality): I just listened to see if the signal was on mortality</v>
      </c>
      <c r="H23" s="2" t="str">
        <f ca="1">IFERROR(__xludf.DUMMYFUNCTION("""COMPUTED_VALUE"""),"")</f>
        <v/>
      </c>
      <c r="I23" s="2" t="str">
        <f ca="1">IFERROR(__xludf.DUMMYFUNCTION("""COMPUTED_VALUE"""),"")</f>
        <v/>
      </c>
      <c r="J23" s="2" t="str">
        <f ca="1">IFERROR(__xludf.DUMMYFUNCTION("""COMPUTED_VALUE"""),"")</f>
        <v/>
      </c>
      <c r="K23" s="2" t="str">
        <f ca="1">IFERROR(__xludf.DUMMYFUNCTION("""COMPUTED_VALUE"""),"")</f>
        <v/>
      </c>
      <c r="L23" s="2" t="str">
        <f ca="1">IFERROR(__xludf.DUMMYFUNCTION("""COMPUTED_VALUE"""),"")</f>
        <v/>
      </c>
      <c r="M23" s="5" t="str">
        <f ca="1">IFERROR(__xludf.DUMMYFUNCTION("""COMPUTED_VALUE"""),"")</f>
        <v/>
      </c>
      <c r="N23" s="5" t="str">
        <f ca="1">IFERROR(__xludf.DUMMYFUNCTION("""COMPUTED_VALUE"""),"")</f>
        <v/>
      </c>
      <c r="O23" s="2" t="str">
        <f ca="1">IFERROR(__xludf.DUMMYFUNCTION("""COMPUTED_VALUE"""),"")</f>
        <v/>
      </c>
      <c r="P23" s="2" t="str">
        <f ca="1">IFERROR(__xludf.DUMMYFUNCTION("""COMPUTED_VALUE"""),"")</f>
        <v/>
      </c>
      <c r="Q23" s="2" t="str">
        <f ca="1">IFERROR(__xludf.DUMMYFUNCTION("""COMPUTED_VALUE"""),"")</f>
        <v/>
      </c>
      <c r="R23" s="2" t="str">
        <f ca="1">IFERROR(__xludf.DUMMYFUNCTION("""COMPUTED_VALUE"""),"")</f>
        <v/>
      </c>
      <c r="S23" s="2" t="str">
        <f ca="1">IFERROR(__xludf.DUMMYFUNCTION("""COMPUTED_VALUE"""),"")</f>
        <v/>
      </c>
      <c r="T23" s="2" t="str">
        <f ca="1">IFERROR(__xludf.DUMMYFUNCTION("""COMPUTED_VALUE"""),"")</f>
        <v/>
      </c>
      <c r="U23" s="2" t="str">
        <f ca="1">IFERROR(__xludf.DUMMYFUNCTION("""COMPUTED_VALUE"""),"")</f>
        <v/>
      </c>
      <c r="V23" s="2" t="str">
        <f ca="1">IFERROR(__xludf.DUMMYFUNCTION("""COMPUTED_VALUE"""),"")</f>
        <v/>
      </c>
      <c r="W23" s="2" t="str">
        <f ca="1">IFERROR(__xludf.DUMMYFUNCTION("""COMPUTED_VALUE"""),"")</f>
        <v/>
      </c>
      <c r="X23" s="2" t="str">
        <f ca="1">IFERROR(__xludf.DUMMYFUNCTION("""COMPUTED_VALUE"""),"")</f>
        <v/>
      </c>
      <c r="Y23" s="2" t="str">
        <f ca="1">IFERROR(__xludf.DUMMYFUNCTION("""COMPUTED_VALUE"""),"")</f>
        <v/>
      </c>
      <c r="Z23" s="2" t="str">
        <f ca="1">IFERROR(__xludf.DUMMYFUNCTION("""COMPUTED_VALUE"""),"")</f>
        <v/>
      </c>
      <c r="AA23" s="2" t="str">
        <f ca="1">IFERROR(__xludf.DUMMYFUNCTION("""COMPUTED_VALUE"""),"")</f>
        <v/>
      </c>
      <c r="AB23" s="2" t="str">
        <f ca="1">IFERROR(__xludf.DUMMYFUNCTION("""COMPUTED_VALUE"""),"")</f>
        <v/>
      </c>
      <c r="AC23" s="2" t="str">
        <f ca="1">IFERROR(__xludf.DUMMYFUNCTION("""COMPUTED_VALUE"""),"")</f>
        <v/>
      </c>
      <c r="AD23" s="2" t="str">
        <f ca="1">IFERROR(__xludf.DUMMYFUNCTION("""COMPUTED_VALUE"""),"")</f>
        <v/>
      </c>
      <c r="AE23" s="2" t="str">
        <f ca="1">IFERROR(__xludf.DUMMYFUNCTION("""COMPUTED_VALUE"""),"")</f>
        <v/>
      </c>
      <c r="AF23" s="2" t="str">
        <f ca="1">IFERROR(__xludf.DUMMYFUNCTION("""COMPUTED_VALUE"""),"")</f>
        <v/>
      </c>
      <c r="AG23" s="2" t="str">
        <f ca="1">IFERROR(__xludf.DUMMYFUNCTION("""COMPUTED_VALUE"""),"")</f>
        <v/>
      </c>
      <c r="AH23" s="2" t="str">
        <f ca="1">IFERROR(__xludf.DUMMYFUNCTION("""COMPUTED_VALUE"""),"")</f>
        <v/>
      </c>
      <c r="AI23" s="2" t="str">
        <f ca="1">IFERROR(__xludf.DUMMYFUNCTION("""COMPUTED_VALUE"""),"")</f>
        <v/>
      </c>
      <c r="AJ23" s="2" t="str">
        <f ca="1">IFERROR(__xludf.DUMMYFUNCTION("""COMPUTED_VALUE"""),"")</f>
        <v/>
      </c>
      <c r="AK23" s="2" t="str">
        <f ca="1">IFERROR(__xludf.DUMMYFUNCTION("""COMPUTED_VALUE"""),"")</f>
        <v/>
      </c>
      <c r="AL23" s="2" t="str">
        <f ca="1">IFERROR(__xludf.DUMMYFUNCTION("""COMPUTED_VALUE"""),"")</f>
        <v/>
      </c>
      <c r="AM23" s="2" t="str">
        <f ca="1">IFERROR(__xludf.DUMMYFUNCTION("""COMPUTED_VALUE"""),"")</f>
        <v/>
      </c>
      <c r="AN23" s="2" t="str">
        <f ca="1">IFERROR(__xludf.DUMMYFUNCTION("""COMPUTED_VALUE"""),"")</f>
        <v/>
      </c>
      <c r="AO23" s="2" t="str">
        <f ca="1">IFERROR(__xludf.DUMMYFUNCTION("""COMPUTED_VALUE"""),"")</f>
        <v/>
      </c>
      <c r="AP23" s="2" t="str">
        <f ca="1">IFERROR(__xludf.DUMMYFUNCTION("""COMPUTED_VALUE"""),"")</f>
        <v/>
      </c>
      <c r="AQ23" s="2" t="str">
        <f ca="1">IFERROR(__xludf.DUMMYFUNCTION("""COMPUTED_VALUE"""),"")</f>
        <v/>
      </c>
      <c r="AR23" s="2" t="str">
        <f ca="1">IFERROR(__xludf.DUMMYFUNCTION("""COMPUTED_VALUE"""),"")</f>
        <v/>
      </c>
      <c r="AS23" s="2" t="str">
        <f ca="1">IFERROR(__xludf.DUMMYFUNCTION("""COMPUTED_VALUE"""),"")</f>
        <v/>
      </c>
      <c r="AT23" s="2" t="str">
        <f ca="1">IFERROR(__xludf.DUMMYFUNCTION("""COMPUTED_VALUE"""),"")</f>
        <v/>
      </c>
      <c r="AU23" s="2" t="str">
        <f ca="1">IFERROR(__xludf.DUMMYFUNCTION("""COMPUTED_VALUE"""),"")</f>
        <v/>
      </c>
      <c r="AV23" s="2" t="str">
        <f ca="1">IFERROR(__xludf.DUMMYFUNCTION("""COMPUTED_VALUE"""),"30 pulses per minute - great all is well")</f>
        <v>30 pulses per minute - great all is well</v>
      </c>
      <c r="AW23" s="2">
        <f ca="1">IFERROR(__xludf.DUMMYFUNCTION("""COMPUTED_VALUE"""),1782761)</f>
        <v>1782761</v>
      </c>
      <c r="AX23" s="2">
        <f ca="1">IFERROR(__xludf.DUMMYFUNCTION("""COMPUTED_VALUE"""),5870638)</f>
        <v>5870638</v>
      </c>
      <c r="AY23" s="2" t="str">
        <f ca="1">IFERROR(__xludf.DUMMYFUNCTION("""COMPUTED_VALUE"""),"weak signal 116` from above location. Moderate signal 64` from E1783583 N5867933.")</f>
        <v>weak signal 116` from above location. Moderate signal 64` from E1783583 N5867933.</v>
      </c>
      <c r="AZ23" s="2" t="str">
        <f ca="1">IFERROR(__xludf.DUMMYFUNCTION("""COMPUTED_VALUE"""),"")</f>
        <v/>
      </c>
      <c r="BA23" s="2" t="str">
        <f ca="1">IFERROR(__xludf.DUMMYFUNCTION("""COMPUTED_VALUE"""),"")</f>
        <v/>
      </c>
      <c r="BB23" s="2" t="str">
        <f ca="1">IFERROR(__xludf.DUMMYFUNCTION("""COMPUTED_VALUE"""),"")</f>
        <v/>
      </c>
      <c r="BC23" s="2" t="str">
        <f ca="1">IFERROR(__xludf.DUMMYFUNCTION("""COMPUTED_VALUE"""),"")</f>
        <v/>
      </c>
      <c r="BD23" s="2" t="str">
        <f ca="1">IFERROR(__xludf.DUMMYFUNCTION("""COMPUTED_VALUE"""),"")</f>
        <v/>
      </c>
      <c r="BE23" s="2" t="str">
        <f ca="1">IFERROR(__xludf.DUMMYFUNCTION("""COMPUTED_VALUE"""),"")</f>
        <v/>
      </c>
      <c r="BF23" t="str">
        <f ca="1">IFERROR(__xludf.DUMMYFUNCTION("""COMPUTED_VALUE"""),"")</f>
        <v/>
      </c>
      <c r="BG23" t="str">
        <f ca="1">IFERROR(__xludf.DUMMYFUNCTION("""COMPUTED_VALUE"""),"")</f>
        <v/>
      </c>
      <c r="BH23" s="2" t="str">
        <f ca="1">IFERROR(__xludf.DUMMYFUNCTION("""COMPUTED_VALUE"""),"")</f>
        <v/>
      </c>
      <c r="BI23" s="12" t="str">
        <f ca="1">IFERROR(__xludf.DUMMYFUNCTION("""COMPUTED_VALUE"""),"")</f>
        <v/>
      </c>
      <c r="BJ23" s="9" t="str">
        <f ca="1">IFERROR(__xludf.DUMMYFUNCTION("""COMPUTED_VALUE"""),"")</f>
        <v/>
      </c>
      <c r="BK23" s="4" t="str">
        <f ca="1">IFERROR(__xludf.DUMMYFUNCTION("""COMPUTED_VALUE"""),"")</f>
        <v/>
      </c>
    </row>
    <row r="24" spans="1:63" ht="15.75" customHeight="1" x14ac:dyDescent="0.25">
      <c r="A24" s="7">
        <f ca="1">IFERROR(__xludf.DUMMYFUNCTION("""COMPUTED_VALUE"""),43243.3953437963)</f>
        <v>43243.395343796299</v>
      </c>
      <c r="B24" s="8" t="str">
        <f ca="1">IFERROR(__xludf.DUMMYFUNCTION("""COMPUTED_VALUE"""),"Waikato")</f>
        <v>Waikato</v>
      </c>
      <c r="C24" s="2" t="str">
        <f ca="1">IFERROR(__xludf.DUMMYFUNCTION("""COMPUTED_VALUE"""),"")</f>
        <v/>
      </c>
      <c r="D24" s="9">
        <f ca="1">IFERROR(__xludf.DUMMYFUNCTION("""COMPUTED_VALUE"""),43234)</f>
        <v>43234</v>
      </c>
      <c r="E24" s="4">
        <f ca="1">IFERROR(__xludf.DUMMYFUNCTION("""COMPUTED_VALUE"""),0.416666666667879)</f>
        <v>0.41666666666787899</v>
      </c>
      <c r="F24" s="2" t="str">
        <f ca="1">IFERROR(__xludf.DUMMYFUNCTION("""COMPUTED_VALUE"""),"Whangamarino")</f>
        <v>Whangamarino</v>
      </c>
      <c r="G24" s="2" t="str">
        <f ca="1">IFERROR(__xludf.DUMMYFUNCTION("""COMPUTED_VALUE"""),"VHF (triangulation): I triangulated the bird with at least three bearings")</f>
        <v>VHF (triangulation): I triangulated the bird with at least three bearings</v>
      </c>
      <c r="H24" s="2" t="str">
        <f ca="1">IFERROR(__xludf.DUMMYFUNCTION("""COMPUTED_VALUE"""),"")</f>
        <v/>
      </c>
      <c r="I24" s="2" t="str">
        <f ca="1">IFERROR(__xludf.DUMMYFUNCTION("""COMPUTED_VALUE"""),"")</f>
        <v/>
      </c>
      <c r="J24" s="2" t="str">
        <f ca="1">IFERROR(__xludf.DUMMYFUNCTION("""COMPUTED_VALUE"""),"")</f>
        <v/>
      </c>
      <c r="K24" s="2" t="str">
        <f ca="1">IFERROR(__xludf.DUMMYFUNCTION("""COMPUTED_VALUE"""),"")</f>
        <v/>
      </c>
      <c r="L24" s="2" t="str">
        <f ca="1">IFERROR(__xludf.DUMMYFUNCTION("""COMPUTED_VALUE"""),"")</f>
        <v/>
      </c>
      <c r="M24" s="5" t="str">
        <f ca="1">IFERROR(__xludf.DUMMYFUNCTION("""COMPUTED_VALUE"""),"")</f>
        <v/>
      </c>
      <c r="N24" s="5" t="str">
        <f ca="1">IFERROR(__xludf.DUMMYFUNCTION("""COMPUTED_VALUE"""),"")</f>
        <v/>
      </c>
      <c r="O24" s="2" t="str">
        <f ca="1">IFERROR(__xludf.DUMMYFUNCTION("""COMPUTED_VALUE"""),"")</f>
        <v/>
      </c>
      <c r="P24" s="2" t="str">
        <f ca="1">IFERROR(__xludf.DUMMYFUNCTION("""COMPUTED_VALUE"""),"")</f>
        <v/>
      </c>
      <c r="Q24" s="2" t="str">
        <f ca="1">IFERROR(__xludf.DUMMYFUNCTION("""COMPUTED_VALUE"""),"")</f>
        <v/>
      </c>
      <c r="R24" s="2" t="str">
        <f ca="1">IFERROR(__xludf.DUMMYFUNCTION("""COMPUTED_VALUE"""),"")</f>
        <v/>
      </c>
      <c r="S24" s="2" t="str">
        <f ca="1">IFERROR(__xludf.DUMMYFUNCTION("""COMPUTED_VALUE"""),"")</f>
        <v/>
      </c>
      <c r="T24" s="2" t="str">
        <f ca="1">IFERROR(__xludf.DUMMYFUNCTION("""COMPUTED_VALUE"""),"")</f>
        <v/>
      </c>
      <c r="U24" s="2" t="str">
        <f ca="1">IFERROR(__xludf.DUMMYFUNCTION("""COMPUTED_VALUE"""),"")</f>
        <v/>
      </c>
      <c r="V24" s="2" t="str">
        <f ca="1">IFERROR(__xludf.DUMMYFUNCTION("""COMPUTED_VALUE"""),"")</f>
        <v/>
      </c>
      <c r="W24" s="2" t="str">
        <f ca="1">IFERROR(__xludf.DUMMYFUNCTION("""COMPUTED_VALUE"""),"")</f>
        <v/>
      </c>
      <c r="X24" s="2" t="str">
        <f ca="1">IFERROR(__xludf.DUMMYFUNCTION("""COMPUTED_VALUE"""),"")</f>
        <v/>
      </c>
      <c r="Y24" s="2" t="str">
        <f ca="1">IFERROR(__xludf.DUMMYFUNCTION("""COMPUTED_VALUE"""),"")</f>
        <v/>
      </c>
      <c r="Z24" s="2" t="str">
        <f ca="1">IFERROR(__xludf.DUMMYFUNCTION("""COMPUTED_VALUE"""),"")</f>
        <v/>
      </c>
      <c r="AA24" s="2">
        <f ca="1">IFERROR(__xludf.DUMMYFUNCTION("""COMPUTED_VALUE"""),1782761)</f>
        <v>1782761</v>
      </c>
      <c r="AB24" s="2">
        <f ca="1">IFERROR(__xludf.DUMMYFUNCTION("""COMPUTED_VALUE"""),5870638)</f>
        <v>5870638</v>
      </c>
      <c r="AC24" s="2">
        <f ca="1">IFERROR(__xludf.DUMMYFUNCTION("""COMPUTED_VALUE"""),119)</f>
        <v>119</v>
      </c>
      <c r="AD24" s="2" t="str">
        <f ca="1">IFERROR(__xludf.DUMMYFUNCTION("""COMPUTED_VALUE"""),"Weak - I could barely hear it.")</f>
        <v>Weak - I could barely hear it.</v>
      </c>
      <c r="AE24" s="2">
        <f ca="1">IFERROR(__xludf.DUMMYFUNCTION("""COMPUTED_VALUE"""),1783583)</f>
        <v>1783583</v>
      </c>
      <c r="AF24" s="2">
        <f ca="1">IFERROR(__xludf.DUMMYFUNCTION("""COMPUTED_VALUE"""),5867933)</f>
        <v>5867933</v>
      </c>
      <c r="AG24" s="2">
        <f ca="1">IFERROR(__xludf.DUMMYFUNCTION("""COMPUTED_VALUE"""),84)</f>
        <v>84</v>
      </c>
      <c r="AH24" s="2" t="str">
        <f ca="1">IFERROR(__xludf.DUMMYFUNCTION("""COMPUTED_VALUE"""),"Weak - I could barely hear it.")</f>
        <v>Weak - I could barely hear it.</v>
      </c>
      <c r="AI24" s="2">
        <f ca="1">IFERROR(__xludf.DUMMYFUNCTION("""COMPUTED_VALUE"""),1783717)</f>
        <v>1783717</v>
      </c>
      <c r="AJ24" s="2">
        <f ca="1">IFERROR(__xludf.DUMMYFUNCTION("""COMPUTED_VALUE"""),5867118)</f>
        <v>5867118</v>
      </c>
      <c r="AK24" s="2">
        <f ca="1">IFERROR(__xludf.DUMMYFUNCTION("""COMPUTED_VALUE"""),69)</f>
        <v>69</v>
      </c>
      <c r="AL24" s="2" t="str">
        <f ca="1">IFERROR(__xludf.DUMMYFUNCTION("""COMPUTED_VALUE"""),"Strong - I got a lovely, clear, strong signal.")</f>
        <v>Strong - I got a lovely, clear, strong signal.</v>
      </c>
      <c r="AM24" s="2">
        <f ca="1">IFERROR(__xludf.DUMMYFUNCTION("""COMPUTED_VALUE"""),1783651)</f>
        <v>1783651</v>
      </c>
      <c r="AN24" s="2">
        <f ca="1">IFERROR(__xludf.DUMMYFUNCTION("""COMPUTED_VALUE"""),5866614)</f>
        <v>5866614</v>
      </c>
      <c r="AO24" s="2">
        <f ca="1">IFERROR(__xludf.DUMMYFUNCTION("""COMPUTED_VALUE"""),53)</f>
        <v>53</v>
      </c>
      <c r="AP24" s="2" t="str">
        <f ca="1">IFERROR(__xludf.DUMMYFUNCTION("""COMPUTED_VALUE"""),"Medium - Signal was good but bird was not close.")</f>
        <v>Medium - Signal was good but bird was not close.</v>
      </c>
      <c r="AQ24" s="2">
        <f ca="1">IFERROR(__xludf.DUMMYFUNCTION("""COMPUTED_VALUE"""),1783306)</f>
        <v>1783306</v>
      </c>
      <c r="AR24" s="2">
        <f ca="1">IFERROR(__xludf.DUMMYFUNCTION("""COMPUTED_VALUE"""),5865690)</f>
        <v>5865690</v>
      </c>
      <c r="AS24" s="2">
        <f ca="1">IFERROR(__xludf.DUMMYFUNCTION("""COMPUTED_VALUE"""),40)</f>
        <v>40</v>
      </c>
      <c r="AT24" s="2" t="str">
        <f ca="1">IFERROR(__xludf.DUMMYFUNCTION("""COMPUTED_VALUE"""),"Strong - I got a lovely, clear, strong signal.")</f>
        <v>Strong - I got a lovely, clear, strong signal.</v>
      </c>
      <c r="AU24" s="2" t="str">
        <f ca="1">IFERROR(__xludf.DUMMYFUNCTION("""COMPUTED_VALUE"""),"no")</f>
        <v>no</v>
      </c>
      <c r="AV24" s="2" t="str">
        <f ca="1">IFERROR(__xludf.DUMMYFUNCTION("""COMPUTED_VALUE"""),"")</f>
        <v/>
      </c>
      <c r="AW24" s="2" t="str">
        <f ca="1">IFERROR(__xludf.DUMMYFUNCTION("""COMPUTED_VALUE"""),"")</f>
        <v/>
      </c>
      <c r="AX24" s="2" t="str">
        <f ca="1">IFERROR(__xludf.DUMMYFUNCTION("""COMPUTED_VALUE"""),"")</f>
        <v/>
      </c>
      <c r="AY24" s="2" t="str">
        <f ca="1">IFERROR(__xludf.DUMMYFUNCTION("""COMPUTED_VALUE"""),"")</f>
        <v/>
      </c>
      <c r="AZ24" s="2" t="str">
        <f ca="1">IFERROR(__xludf.DUMMYFUNCTION("""COMPUTED_VALUE"""),"")</f>
        <v/>
      </c>
      <c r="BA24" s="2" t="str">
        <f ca="1">IFERROR(__xludf.DUMMYFUNCTION("""COMPUTED_VALUE"""),"")</f>
        <v/>
      </c>
      <c r="BB24" s="2" t="str">
        <f ca="1">IFERROR(__xludf.DUMMYFUNCTION("""COMPUTED_VALUE"""),"")</f>
        <v/>
      </c>
      <c r="BC24" s="2" t="str">
        <f ca="1">IFERROR(__xludf.DUMMYFUNCTION("""COMPUTED_VALUE"""),"")</f>
        <v/>
      </c>
      <c r="BD24" s="2" t="str">
        <f ca="1">IFERROR(__xludf.DUMMYFUNCTION("""COMPUTED_VALUE"""),"")</f>
        <v/>
      </c>
      <c r="BE24" s="2" t="str">
        <f ca="1">IFERROR(__xludf.DUMMYFUNCTION("""COMPUTED_VALUE"""),"")</f>
        <v/>
      </c>
      <c r="BF24" t="str">
        <f ca="1">IFERROR(__xludf.DUMMYFUNCTION("""COMPUTED_VALUE"""),"")</f>
        <v/>
      </c>
      <c r="BG24" t="str">
        <f ca="1">IFERROR(__xludf.DUMMYFUNCTION("""COMPUTED_VALUE"""),"")</f>
        <v/>
      </c>
      <c r="BH24" s="2" t="str">
        <f ca="1">IFERROR(__xludf.DUMMYFUNCTION("""COMPUTED_VALUE"""),"")</f>
        <v/>
      </c>
      <c r="BI24" s="13" t="str">
        <f ca="1">IFERROR(__xludf.DUMMYFUNCTION("""COMPUTED_VALUE"""),"")</f>
        <v/>
      </c>
      <c r="BJ24" s="9" t="str">
        <f ca="1">IFERROR(__xludf.DUMMYFUNCTION("""COMPUTED_VALUE"""),"")</f>
        <v/>
      </c>
      <c r="BK24" s="4" t="str">
        <f ca="1">IFERROR(__xludf.DUMMYFUNCTION("""COMPUTED_VALUE"""),"")</f>
        <v/>
      </c>
    </row>
    <row r="25" spans="1:63" ht="12.5" x14ac:dyDescent="0.25">
      <c r="A25" s="7">
        <f ca="1">IFERROR(__xludf.DUMMYFUNCTION("""COMPUTED_VALUE"""),43244.5961566898)</f>
        <v>43244.596156689797</v>
      </c>
      <c r="B25" s="8" t="str">
        <f ca="1">IFERROR(__xludf.DUMMYFUNCTION("""COMPUTED_VALUE"""),"Waikato")</f>
        <v>Waikato</v>
      </c>
      <c r="C25" s="2" t="str">
        <f ca="1">IFERROR(__xludf.DUMMYFUNCTION("""COMPUTED_VALUE"""),"")</f>
        <v/>
      </c>
      <c r="D25" s="9">
        <f ca="1">IFERROR(__xludf.DUMMYFUNCTION("""COMPUTED_VALUE"""),43244)</f>
        <v>43244</v>
      </c>
      <c r="E25" s="4">
        <f ca="1">IFERROR(__xludf.DUMMYFUNCTION("""COMPUTED_VALUE"""),0.5)</f>
        <v>0.5</v>
      </c>
      <c r="F25" s="2" t="str">
        <f ca="1">IFERROR(__xludf.DUMMYFUNCTION("""COMPUTED_VALUE"""),"Whangamarino")</f>
        <v>Whangamarino</v>
      </c>
      <c r="G25" s="2" t="str">
        <f ca="1">IFERROR(__xludf.DUMMYFUNCTION("""COMPUTED_VALUE"""),"VHF (triangulation): I triangulated the bird with at least three bearings")</f>
        <v>VHF (triangulation): I triangulated the bird with at least three bearings</v>
      </c>
      <c r="H25" s="2" t="str">
        <f ca="1">IFERROR(__xludf.DUMMYFUNCTION("""COMPUTED_VALUE"""),"")</f>
        <v/>
      </c>
      <c r="I25" s="2" t="str">
        <f ca="1">IFERROR(__xludf.DUMMYFUNCTION("""COMPUTED_VALUE"""),"")</f>
        <v/>
      </c>
      <c r="J25" s="2" t="str">
        <f ca="1">IFERROR(__xludf.DUMMYFUNCTION("""COMPUTED_VALUE"""),"")</f>
        <v/>
      </c>
      <c r="K25" s="2" t="str">
        <f ca="1">IFERROR(__xludf.DUMMYFUNCTION("""COMPUTED_VALUE"""),"")</f>
        <v/>
      </c>
      <c r="L25" s="2" t="str">
        <f ca="1">IFERROR(__xludf.DUMMYFUNCTION("""COMPUTED_VALUE"""),"")</f>
        <v/>
      </c>
      <c r="M25" s="5" t="str">
        <f ca="1">IFERROR(__xludf.DUMMYFUNCTION("""COMPUTED_VALUE"""),"")</f>
        <v/>
      </c>
      <c r="N25" s="5" t="str">
        <f ca="1">IFERROR(__xludf.DUMMYFUNCTION("""COMPUTED_VALUE"""),"")</f>
        <v/>
      </c>
      <c r="O25" s="2" t="str">
        <f ca="1">IFERROR(__xludf.DUMMYFUNCTION("""COMPUTED_VALUE"""),"")</f>
        <v/>
      </c>
      <c r="P25" s="2" t="str">
        <f ca="1">IFERROR(__xludf.DUMMYFUNCTION("""COMPUTED_VALUE"""),"")</f>
        <v/>
      </c>
      <c r="Q25" s="2" t="str">
        <f ca="1">IFERROR(__xludf.DUMMYFUNCTION("""COMPUTED_VALUE"""),"")</f>
        <v/>
      </c>
      <c r="R25" s="2" t="str">
        <f ca="1">IFERROR(__xludf.DUMMYFUNCTION("""COMPUTED_VALUE"""),"")</f>
        <v/>
      </c>
      <c r="S25" s="2" t="str">
        <f ca="1">IFERROR(__xludf.DUMMYFUNCTION("""COMPUTED_VALUE"""),"")</f>
        <v/>
      </c>
      <c r="T25" s="2" t="str">
        <f ca="1">IFERROR(__xludf.DUMMYFUNCTION("""COMPUTED_VALUE"""),"")</f>
        <v/>
      </c>
      <c r="U25" s="2" t="str">
        <f ca="1">IFERROR(__xludf.DUMMYFUNCTION("""COMPUTED_VALUE"""),"")</f>
        <v/>
      </c>
      <c r="V25" s="2" t="str">
        <f ca="1">IFERROR(__xludf.DUMMYFUNCTION("""COMPUTED_VALUE"""),"")</f>
        <v/>
      </c>
      <c r="W25" s="2" t="str">
        <f ca="1">IFERROR(__xludf.DUMMYFUNCTION("""COMPUTED_VALUE"""),"")</f>
        <v/>
      </c>
      <c r="X25" s="2" t="str">
        <f ca="1">IFERROR(__xludf.DUMMYFUNCTION("""COMPUTED_VALUE"""),"")</f>
        <v/>
      </c>
      <c r="Y25" s="2" t="str">
        <f ca="1">IFERROR(__xludf.DUMMYFUNCTION("""COMPUTED_VALUE"""),"")</f>
        <v/>
      </c>
      <c r="Z25" s="2" t="str">
        <f ca="1">IFERROR(__xludf.DUMMYFUNCTION("""COMPUTED_VALUE"""),"")</f>
        <v/>
      </c>
      <c r="AA25" s="2">
        <f ca="1">IFERROR(__xludf.DUMMYFUNCTION("""COMPUTED_VALUE"""),1782761)</f>
        <v>1782761</v>
      </c>
      <c r="AB25" s="2">
        <f ca="1">IFERROR(__xludf.DUMMYFUNCTION("""COMPUTED_VALUE"""),5870638)</f>
        <v>5870638</v>
      </c>
      <c r="AC25" s="2">
        <f ca="1">IFERROR(__xludf.DUMMYFUNCTION("""COMPUTED_VALUE"""),109)</f>
        <v>109</v>
      </c>
      <c r="AD25" s="2" t="str">
        <f ca="1">IFERROR(__xludf.DUMMYFUNCTION("""COMPUTED_VALUE"""),"Medium - Signal was good but bird was not close.")</f>
        <v>Medium - Signal was good but bird was not close.</v>
      </c>
      <c r="AE25" s="2">
        <f ca="1">IFERROR(__xludf.DUMMYFUNCTION("""COMPUTED_VALUE"""),1783617)</f>
        <v>1783617</v>
      </c>
      <c r="AF25" s="2">
        <f ca="1">IFERROR(__xludf.DUMMYFUNCTION("""COMPUTED_VALUE"""),5867987)</f>
        <v>5867987</v>
      </c>
      <c r="AG25" s="2">
        <f ca="1">IFERROR(__xludf.DUMMYFUNCTION("""COMPUTED_VALUE"""),47)</f>
        <v>47</v>
      </c>
      <c r="AH25" s="2" t="str">
        <f ca="1">IFERROR(__xludf.DUMMYFUNCTION("""COMPUTED_VALUE"""),"Medium - Signal was good but bird was not close.")</f>
        <v>Medium - Signal was good but bird was not close.</v>
      </c>
      <c r="AI25" s="2">
        <f ca="1">IFERROR(__xludf.DUMMYFUNCTION("""COMPUTED_VALUE"""),1783710)</f>
        <v>1783710</v>
      </c>
      <c r="AJ25" s="2">
        <f ca="1">IFERROR(__xludf.DUMMYFUNCTION("""COMPUTED_VALUE"""),5867117)</f>
        <v>5867117</v>
      </c>
      <c r="AK25" s="2">
        <f ca="1">IFERROR(__xludf.DUMMYFUNCTION("""COMPUTED_VALUE"""),20)</f>
        <v>20</v>
      </c>
      <c r="AL25" s="2" t="str">
        <f ca="1">IFERROR(__xludf.DUMMYFUNCTION("""COMPUTED_VALUE"""),"Medium - Signal was good but bird was not close.")</f>
        <v>Medium - Signal was good but bird was not close.</v>
      </c>
      <c r="AM25" s="2">
        <f ca="1">IFERROR(__xludf.DUMMYFUNCTION("""COMPUTED_VALUE"""),1784914)</f>
        <v>1784914</v>
      </c>
      <c r="AN25" s="2">
        <f ca="1">IFERROR(__xludf.DUMMYFUNCTION("""COMPUTED_VALUE"""),5869113)</f>
        <v>5869113</v>
      </c>
      <c r="AO25" s="2">
        <f ca="1">IFERROR(__xludf.DUMMYFUNCTION("""COMPUTED_VALUE"""),130)</f>
        <v>130</v>
      </c>
      <c r="AP25" s="2" t="str">
        <f ca="1">IFERROR(__xludf.DUMMYFUNCTION("""COMPUTED_VALUE"""),"Medium - Signal was good but bird was not close.")</f>
        <v>Medium - Signal was good but bird was not close.</v>
      </c>
      <c r="AQ25" s="2">
        <f ca="1">IFERROR(__xludf.DUMMYFUNCTION("""COMPUTED_VALUE"""),1786000)</f>
        <v>1786000</v>
      </c>
      <c r="AR25" s="2">
        <f ca="1">IFERROR(__xludf.DUMMYFUNCTION("""COMPUTED_VALUE"""),5868752)</f>
        <v>5868752</v>
      </c>
      <c r="AS25" s="2">
        <f ca="1">IFERROR(__xludf.DUMMYFUNCTION("""COMPUTED_VALUE"""),232)</f>
        <v>232</v>
      </c>
      <c r="AT25" s="2" t="str">
        <f ca="1">IFERROR(__xludf.DUMMYFUNCTION("""COMPUTED_VALUE"""),"Strong - I got a lovely, clear, strong signal.")</f>
        <v>Strong - I got a lovely, clear, strong signal.</v>
      </c>
      <c r="AU25" s="2" t="str">
        <f ca="1">IFERROR(__xludf.DUMMYFUNCTION("""COMPUTED_VALUE"""),"Signal was fading in and out a lot but confident with bearings taken")</f>
        <v>Signal was fading in and out a lot but confident with bearings taken</v>
      </c>
      <c r="AV25" s="2" t="str">
        <f ca="1">IFERROR(__xludf.DUMMYFUNCTION("""COMPUTED_VALUE"""),"")</f>
        <v/>
      </c>
      <c r="AW25" s="2" t="str">
        <f ca="1">IFERROR(__xludf.DUMMYFUNCTION("""COMPUTED_VALUE"""),"")</f>
        <v/>
      </c>
      <c r="AX25" s="2" t="str">
        <f ca="1">IFERROR(__xludf.DUMMYFUNCTION("""COMPUTED_VALUE"""),"")</f>
        <v/>
      </c>
      <c r="AY25" s="2" t="str">
        <f ca="1">IFERROR(__xludf.DUMMYFUNCTION("""COMPUTED_VALUE"""),"")</f>
        <v/>
      </c>
      <c r="AZ25" s="2" t="str">
        <f ca="1">IFERROR(__xludf.DUMMYFUNCTION("""COMPUTED_VALUE"""),"")</f>
        <v/>
      </c>
      <c r="BA25" s="2" t="str">
        <f ca="1">IFERROR(__xludf.DUMMYFUNCTION("""COMPUTED_VALUE"""),"")</f>
        <v/>
      </c>
      <c r="BB25" s="2" t="str">
        <f ca="1">IFERROR(__xludf.DUMMYFUNCTION("""COMPUTED_VALUE"""),"")</f>
        <v/>
      </c>
      <c r="BC25" s="2" t="str">
        <f ca="1">IFERROR(__xludf.DUMMYFUNCTION("""COMPUTED_VALUE"""),"")</f>
        <v/>
      </c>
      <c r="BD25" s="2" t="str">
        <f ca="1">IFERROR(__xludf.DUMMYFUNCTION("""COMPUTED_VALUE"""),"")</f>
        <v/>
      </c>
      <c r="BE25" s="2" t="str">
        <f ca="1">IFERROR(__xludf.DUMMYFUNCTION("""COMPUTED_VALUE"""),"")</f>
        <v/>
      </c>
      <c r="BF25" t="str">
        <f ca="1">IFERROR(__xludf.DUMMYFUNCTION("""COMPUTED_VALUE"""),"")</f>
        <v/>
      </c>
      <c r="BG25" t="str">
        <f ca="1">IFERROR(__xludf.DUMMYFUNCTION("""COMPUTED_VALUE"""),"")</f>
        <v/>
      </c>
      <c r="BH25" s="2" t="str">
        <f ca="1">IFERROR(__xludf.DUMMYFUNCTION("""COMPUTED_VALUE"""),"")</f>
        <v/>
      </c>
      <c r="BI25" s="12" t="str">
        <f ca="1">IFERROR(__xludf.DUMMYFUNCTION("""COMPUTED_VALUE"""),"")</f>
        <v/>
      </c>
      <c r="BJ25" s="9" t="str">
        <f ca="1">IFERROR(__xludf.DUMMYFUNCTION("""COMPUTED_VALUE"""),"")</f>
        <v/>
      </c>
      <c r="BK25" s="4" t="str">
        <f ca="1">IFERROR(__xludf.DUMMYFUNCTION("""COMPUTED_VALUE"""),"")</f>
        <v/>
      </c>
    </row>
    <row r="26" spans="1:63" ht="12.5" x14ac:dyDescent="0.25">
      <c r="A26" s="7">
        <f ca="1">IFERROR(__xludf.DUMMYFUNCTION("""COMPUTED_VALUE"""),43251.5993037268)</f>
        <v>43251.599303726798</v>
      </c>
      <c r="B26" s="8" t="str">
        <f ca="1">IFERROR(__xludf.DUMMYFUNCTION("""COMPUTED_VALUE"""),"Waikato")</f>
        <v>Waikato</v>
      </c>
      <c r="C26" s="2" t="str">
        <f ca="1">IFERROR(__xludf.DUMMYFUNCTION("""COMPUTED_VALUE"""),"")</f>
        <v/>
      </c>
      <c r="D26" s="9">
        <f ca="1">IFERROR(__xludf.DUMMYFUNCTION("""COMPUTED_VALUE"""),43251)</f>
        <v>43251</v>
      </c>
      <c r="E26" s="4">
        <f ca="1">IFERROR(__xludf.DUMMYFUNCTION("""COMPUTED_VALUE"""),0.52083333333212)</f>
        <v>0.52083333333212001</v>
      </c>
      <c r="F26" s="2" t="str">
        <f ca="1">IFERROR(__xludf.DUMMYFUNCTION("""COMPUTED_VALUE"""),"Whangamarino")</f>
        <v>Whangamarino</v>
      </c>
      <c r="G26" s="2" t="str">
        <f ca="1">IFERROR(__xludf.DUMMYFUNCTION("""COMPUTED_VALUE"""),"VHF (triangulation): I triangulated the bird with at least three bearings")</f>
        <v>VHF (triangulation): I triangulated the bird with at least three bearings</v>
      </c>
      <c r="H26" s="2" t="str">
        <f ca="1">IFERROR(__xludf.DUMMYFUNCTION("""COMPUTED_VALUE"""),"")</f>
        <v/>
      </c>
      <c r="I26" s="2" t="str">
        <f ca="1">IFERROR(__xludf.DUMMYFUNCTION("""COMPUTED_VALUE"""),"")</f>
        <v/>
      </c>
      <c r="J26" s="2" t="str">
        <f ca="1">IFERROR(__xludf.DUMMYFUNCTION("""COMPUTED_VALUE"""),"")</f>
        <v/>
      </c>
      <c r="K26" s="2" t="str">
        <f ca="1">IFERROR(__xludf.DUMMYFUNCTION("""COMPUTED_VALUE"""),"")</f>
        <v/>
      </c>
      <c r="L26" s="2" t="str">
        <f ca="1">IFERROR(__xludf.DUMMYFUNCTION("""COMPUTED_VALUE"""),"")</f>
        <v/>
      </c>
      <c r="M26" s="5" t="str">
        <f ca="1">IFERROR(__xludf.DUMMYFUNCTION("""COMPUTED_VALUE"""),"")</f>
        <v/>
      </c>
      <c r="N26" s="5" t="str">
        <f ca="1">IFERROR(__xludf.DUMMYFUNCTION("""COMPUTED_VALUE"""),"")</f>
        <v/>
      </c>
      <c r="O26" s="2" t="str">
        <f ca="1">IFERROR(__xludf.DUMMYFUNCTION("""COMPUTED_VALUE"""),"")</f>
        <v/>
      </c>
      <c r="P26" s="2" t="str">
        <f ca="1">IFERROR(__xludf.DUMMYFUNCTION("""COMPUTED_VALUE"""),"")</f>
        <v/>
      </c>
      <c r="Q26" s="2" t="str">
        <f ca="1">IFERROR(__xludf.DUMMYFUNCTION("""COMPUTED_VALUE"""),"")</f>
        <v/>
      </c>
      <c r="R26" s="2" t="str">
        <f ca="1">IFERROR(__xludf.DUMMYFUNCTION("""COMPUTED_VALUE"""),"")</f>
        <v/>
      </c>
      <c r="S26" s="2" t="str">
        <f ca="1">IFERROR(__xludf.DUMMYFUNCTION("""COMPUTED_VALUE"""),"")</f>
        <v/>
      </c>
      <c r="T26" s="2" t="str">
        <f ca="1">IFERROR(__xludf.DUMMYFUNCTION("""COMPUTED_VALUE"""),"")</f>
        <v/>
      </c>
      <c r="U26" s="2" t="str">
        <f ca="1">IFERROR(__xludf.DUMMYFUNCTION("""COMPUTED_VALUE"""),"")</f>
        <v/>
      </c>
      <c r="V26" s="2" t="str">
        <f ca="1">IFERROR(__xludf.DUMMYFUNCTION("""COMPUTED_VALUE"""),"")</f>
        <v/>
      </c>
      <c r="W26" s="2" t="str">
        <f ca="1">IFERROR(__xludf.DUMMYFUNCTION("""COMPUTED_VALUE"""),"")</f>
        <v/>
      </c>
      <c r="X26" s="2" t="str">
        <f ca="1">IFERROR(__xludf.DUMMYFUNCTION("""COMPUTED_VALUE"""),"")</f>
        <v/>
      </c>
      <c r="Y26" s="2" t="str">
        <f ca="1">IFERROR(__xludf.DUMMYFUNCTION("""COMPUTED_VALUE"""),"")</f>
        <v/>
      </c>
      <c r="Z26" s="2" t="str">
        <f ca="1">IFERROR(__xludf.DUMMYFUNCTION("""COMPUTED_VALUE"""),"")</f>
        <v/>
      </c>
      <c r="AA26" s="2">
        <f ca="1">IFERROR(__xludf.DUMMYFUNCTION("""COMPUTED_VALUE"""),1792103)</f>
        <v>1792103</v>
      </c>
      <c r="AB26" s="2">
        <f ca="1">IFERROR(__xludf.DUMMYFUNCTION("""COMPUTED_VALUE"""),5869676)</f>
        <v>5869676</v>
      </c>
      <c r="AC26" s="2">
        <f ca="1">IFERROR(__xludf.DUMMYFUNCTION("""COMPUTED_VALUE"""),235)</f>
        <v>235</v>
      </c>
      <c r="AD26" s="2" t="str">
        <f ca="1">IFERROR(__xludf.DUMMYFUNCTION("""COMPUTED_VALUE"""),"Strong - I got a lovely, clear, strong signal.")</f>
        <v>Strong - I got a lovely, clear, strong signal.</v>
      </c>
      <c r="AE26" s="2">
        <f ca="1">IFERROR(__xludf.DUMMYFUNCTION("""COMPUTED_VALUE"""),1792141)</f>
        <v>1792141</v>
      </c>
      <c r="AF26" s="2">
        <f ca="1">IFERROR(__xludf.DUMMYFUNCTION("""COMPUTED_VALUE"""),5870384)</f>
        <v>5870384</v>
      </c>
      <c r="AG26" s="2">
        <f ca="1">IFERROR(__xludf.DUMMYFUNCTION("""COMPUTED_VALUE"""),189)</f>
        <v>189</v>
      </c>
      <c r="AH26" s="2" t="str">
        <f ca="1">IFERROR(__xludf.DUMMYFUNCTION("""COMPUTED_VALUE"""),"Strong - I got a lovely, clear, strong signal.")</f>
        <v>Strong - I got a lovely, clear, strong signal.</v>
      </c>
      <c r="AI26" s="2">
        <f ca="1">IFERROR(__xludf.DUMMYFUNCTION("""COMPUTED_VALUE"""),1791369)</f>
        <v>1791369</v>
      </c>
      <c r="AJ26" s="2">
        <f ca="1">IFERROR(__xludf.DUMMYFUNCTION("""COMPUTED_VALUE"""),5868001)</f>
        <v>5868001</v>
      </c>
      <c r="AK26" s="2">
        <f ca="1">IFERROR(__xludf.DUMMYFUNCTION("""COMPUTED_VALUE"""),346)</f>
        <v>346</v>
      </c>
      <c r="AL26" s="2" t="str">
        <f ca="1">IFERROR(__xludf.DUMMYFUNCTION("""COMPUTED_VALUE"""),"Medium - Signal was good but bird was not close.")</f>
        <v>Medium - Signal was good but bird was not close.</v>
      </c>
      <c r="AM26" s="2" t="str">
        <f ca="1">IFERROR(__xludf.DUMMYFUNCTION("""COMPUTED_VALUE"""),"")</f>
        <v/>
      </c>
      <c r="AN26" s="2" t="str">
        <f ca="1">IFERROR(__xludf.DUMMYFUNCTION("""COMPUTED_VALUE"""),"")</f>
        <v/>
      </c>
      <c r="AO26" s="2" t="str">
        <f ca="1">IFERROR(__xludf.DUMMYFUNCTION("""COMPUTED_VALUE"""),"")</f>
        <v/>
      </c>
      <c r="AP26" s="2" t="str">
        <f ca="1">IFERROR(__xludf.DUMMYFUNCTION("""COMPUTED_VALUE"""),"")</f>
        <v/>
      </c>
      <c r="AQ26" s="2" t="str">
        <f ca="1">IFERROR(__xludf.DUMMYFUNCTION("""COMPUTED_VALUE"""),"")</f>
        <v/>
      </c>
      <c r="AR26" s="2" t="str">
        <f ca="1">IFERROR(__xludf.DUMMYFUNCTION("""COMPUTED_VALUE"""),"")</f>
        <v/>
      </c>
      <c r="AS26" s="2" t="str">
        <f ca="1">IFERROR(__xludf.DUMMYFUNCTION("""COMPUTED_VALUE"""),"")</f>
        <v/>
      </c>
      <c r="AT26" s="2" t="str">
        <f ca="1">IFERROR(__xludf.DUMMYFUNCTION("""COMPUTED_VALUE"""),"")</f>
        <v/>
      </c>
      <c r="AU26" s="2" t="str">
        <f ca="1">IFERROR(__xludf.DUMMYFUNCTION("""COMPUTED_VALUE"""),"No")</f>
        <v>No</v>
      </c>
      <c r="AV26" s="2" t="str">
        <f ca="1">IFERROR(__xludf.DUMMYFUNCTION("""COMPUTED_VALUE"""),"")</f>
        <v/>
      </c>
      <c r="AW26" s="2" t="str">
        <f ca="1">IFERROR(__xludf.DUMMYFUNCTION("""COMPUTED_VALUE"""),"")</f>
        <v/>
      </c>
      <c r="AX26" s="2" t="str">
        <f ca="1">IFERROR(__xludf.DUMMYFUNCTION("""COMPUTED_VALUE"""),"")</f>
        <v/>
      </c>
      <c r="AY26" s="2" t="str">
        <f ca="1">IFERROR(__xludf.DUMMYFUNCTION("""COMPUTED_VALUE"""),"")</f>
        <v/>
      </c>
      <c r="AZ26" s="2" t="str">
        <f ca="1">IFERROR(__xludf.DUMMYFUNCTION("""COMPUTED_VALUE"""),"")</f>
        <v/>
      </c>
      <c r="BA26" s="2" t="str">
        <f ca="1">IFERROR(__xludf.DUMMYFUNCTION("""COMPUTED_VALUE"""),"")</f>
        <v/>
      </c>
      <c r="BB26" s="2" t="str">
        <f ca="1">IFERROR(__xludf.DUMMYFUNCTION("""COMPUTED_VALUE"""),"")</f>
        <v/>
      </c>
      <c r="BC26" s="2" t="str">
        <f ca="1">IFERROR(__xludf.DUMMYFUNCTION("""COMPUTED_VALUE"""),"")</f>
        <v/>
      </c>
      <c r="BD26" s="2" t="str">
        <f ca="1">IFERROR(__xludf.DUMMYFUNCTION("""COMPUTED_VALUE"""),"")</f>
        <v/>
      </c>
      <c r="BE26" s="2" t="str">
        <f ca="1">IFERROR(__xludf.DUMMYFUNCTION("""COMPUTED_VALUE"""),"")</f>
        <v/>
      </c>
      <c r="BF26" t="str">
        <f ca="1">IFERROR(__xludf.DUMMYFUNCTION("""COMPUTED_VALUE"""),"")</f>
        <v/>
      </c>
      <c r="BG26" t="str">
        <f ca="1">IFERROR(__xludf.DUMMYFUNCTION("""COMPUTED_VALUE"""),"")</f>
        <v/>
      </c>
      <c r="BH26" s="2" t="str">
        <f ca="1">IFERROR(__xludf.DUMMYFUNCTION("""COMPUTED_VALUE"""),"")</f>
        <v/>
      </c>
      <c r="BI26" s="13" t="str">
        <f ca="1">IFERROR(__xludf.DUMMYFUNCTION("""COMPUTED_VALUE"""),"")</f>
        <v/>
      </c>
      <c r="BJ26" s="9" t="str">
        <f ca="1">IFERROR(__xludf.DUMMYFUNCTION("""COMPUTED_VALUE"""),"")</f>
        <v/>
      </c>
      <c r="BK26" s="4" t="str">
        <f ca="1">IFERROR(__xludf.DUMMYFUNCTION("""COMPUTED_VALUE"""),"")</f>
        <v/>
      </c>
    </row>
    <row r="27" spans="1:63" ht="12.5" x14ac:dyDescent="0.25">
      <c r="A27" s="7">
        <f ca="1">IFERROR(__xludf.DUMMYFUNCTION("""COMPUTED_VALUE"""),43327.4892240625)</f>
        <v>43327.489224062498</v>
      </c>
      <c r="B27" s="8" t="str">
        <f ca="1">IFERROR(__xludf.DUMMYFUNCTION("""COMPUTED_VALUE"""),"Waikato")</f>
        <v>Waikato</v>
      </c>
      <c r="C27" s="2" t="str">
        <f ca="1">IFERROR(__xludf.DUMMYFUNCTION("""COMPUTED_VALUE"""),"")</f>
        <v/>
      </c>
      <c r="D27" s="9">
        <f ca="1">IFERROR(__xludf.DUMMYFUNCTION("""COMPUTED_VALUE"""),43327)</f>
        <v>43327</v>
      </c>
      <c r="E27" s="4">
        <f ca="1">IFERROR(__xludf.DUMMYFUNCTION("""COMPUTED_VALUE"""),0.416666666667879)</f>
        <v>0.41666666666787899</v>
      </c>
      <c r="F27" s="2" t="str">
        <f ca="1">IFERROR(__xludf.DUMMYFUNCTION("""COMPUTED_VALUE"""),"Whangamarino")</f>
        <v>Whangamarino</v>
      </c>
      <c r="G27" s="2" t="str">
        <f ca="1">IFERROR(__xludf.DUMMYFUNCTION("""COMPUTED_VALUE"""),"VHF (triangulation): I triangulated the bird with at least three bearings")</f>
        <v>VHF (triangulation): I triangulated the bird with at least three bearings</v>
      </c>
      <c r="H27" s="2" t="str">
        <f ca="1">IFERROR(__xludf.DUMMYFUNCTION("""COMPUTED_VALUE"""),"")</f>
        <v/>
      </c>
      <c r="I27" s="2" t="str">
        <f ca="1">IFERROR(__xludf.DUMMYFUNCTION("""COMPUTED_VALUE"""),"")</f>
        <v/>
      </c>
      <c r="J27" s="2" t="str">
        <f ca="1">IFERROR(__xludf.DUMMYFUNCTION("""COMPUTED_VALUE"""),"")</f>
        <v/>
      </c>
      <c r="K27" s="2" t="str">
        <f ca="1">IFERROR(__xludf.DUMMYFUNCTION("""COMPUTED_VALUE"""),"")</f>
        <v/>
      </c>
      <c r="L27" s="2" t="str">
        <f ca="1">IFERROR(__xludf.DUMMYFUNCTION("""COMPUTED_VALUE"""),"")</f>
        <v/>
      </c>
      <c r="M27" s="5" t="str">
        <f ca="1">IFERROR(__xludf.DUMMYFUNCTION("""COMPUTED_VALUE"""),"")</f>
        <v/>
      </c>
      <c r="N27" s="5" t="str">
        <f ca="1">IFERROR(__xludf.DUMMYFUNCTION("""COMPUTED_VALUE"""),"")</f>
        <v/>
      </c>
      <c r="O27" s="2" t="str">
        <f ca="1">IFERROR(__xludf.DUMMYFUNCTION("""COMPUTED_VALUE"""),"")</f>
        <v/>
      </c>
      <c r="P27" s="2" t="str">
        <f ca="1">IFERROR(__xludf.DUMMYFUNCTION("""COMPUTED_VALUE"""),"")</f>
        <v/>
      </c>
      <c r="Q27" s="2" t="str">
        <f ca="1">IFERROR(__xludf.DUMMYFUNCTION("""COMPUTED_VALUE"""),"")</f>
        <v/>
      </c>
      <c r="R27" s="2" t="str">
        <f ca="1">IFERROR(__xludf.DUMMYFUNCTION("""COMPUTED_VALUE"""),"")</f>
        <v/>
      </c>
      <c r="S27" s="2" t="str">
        <f ca="1">IFERROR(__xludf.DUMMYFUNCTION("""COMPUTED_VALUE"""),"")</f>
        <v/>
      </c>
      <c r="T27" s="2" t="str">
        <f ca="1">IFERROR(__xludf.DUMMYFUNCTION("""COMPUTED_VALUE"""),"")</f>
        <v/>
      </c>
      <c r="U27" s="2" t="str">
        <f ca="1">IFERROR(__xludf.DUMMYFUNCTION("""COMPUTED_VALUE"""),"")</f>
        <v/>
      </c>
      <c r="V27" s="2" t="str">
        <f ca="1">IFERROR(__xludf.DUMMYFUNCTION("""COMPUTED_VALUE"""),"")</f>
        <v/>
      </c>
      <c r="W27" s="2" t="str">
        <f ca="1">IFERROR(__xludf.DUMMYFUNCTION("""COMPUTED_VALUE"""),"")</f>
        <v/>
      </c>
      <c r="X27" s="2" t="str">
        <f ca="1">IFERROR(__xludf.DUMMYFUNCTION("""COMPUTED_VALUE"""),"")</f>
        <v/>
      </c>
      <c r="Y27" s="2" t="str">
        <f ca="1">IFERROR(__xludf.DUMMYFUNCTION("""COMPUTED_VALUE"""),"")</f>
        <v/>
      </c>
      <c r="Z27" s="2" t="str">
        <f ca="1">IFERROR(__xludf.DUMMYFUNCTION("""COMPUTED_VALUE"""),"")</f>
        <v/>
      </c>
      <c r="AA27" s="2">
        <f ca="1">IFERROR(__xludf.DUMMYFUNCTION("""COMPUTED_VALUE"""),1792000)</f>
        <v>1792000</v>
      </c>
      <c r="AB27" s="2">
        <f ca="1">IFERROR(__xludf.DUMMYFUNCTION("""COMPUTED_VALUE"""),5869150)</f>
        <v>5869150</v>
      </c>
      <c r="AC27" s="2">
        <f ca="1">IFERROR(__xludf.DUMMYFUNCTION("""COMPUTED_VALUE"""),275)</f>
        <v>275</v>
      </c>
      <c r="AD27" s="2" t="str">
        <f ca="1">IFERROR(__xludf.DUMMYFUNCTION("""COMPUTED_VALUE"""),"Strong - I got a lovely, clear, strong signal.")</f>
        <v>Strong - I got a lovely, clear, strong signal.</v>
      </c>
      <c r="AE27" s="2">
        <f ca="1">IFERROR(__xludf.DUMMYFUNCTION("""COMPUTED_VALUE"""),1792141)</f>
        <v>1792141</v>
      </c>
      <c r="AF27" s="2">
        <f ca="1">IFERROR(__xludf.DUMMYFUNCTION("""COMPUTED_VALUE"""),5870384)</f>
        <v>5870384</v>
      </c>
      <c r="AG27" s="2">
        <f ca="1">IFERROR(__xludf.DUMMYFUNCTION("""COMPUTED_VALUE"""),200)</f>
        <v>200</v>
      </c>
      <c r="AH27" s="2" t="str">
        <f ca="1">IFERROR(__xludf.DUMMYFUNCTION("""COMPUTED_VALUE"""),"")</f>
        <v/>
      </c>
      <c r="AI27" s="2" t="str">
        <f ca="1">IFERROR(__xludf.DUMMYFUNCTION("""COMPUTED_VALUE"""),"")</f>
        <v/>
      </c>
      <c r="AJ27" s="2" t="str">
        <f ca="1">IFERROR(__xludf.DUMMYFUNCTION("""COMPUTED_VALUE"""),"")</f>
        <v/>
      </c>
      <c r="AK27" s="2" t="str">
        <f ca="1">IFERROR(__xludf.DUMMYFUNCTION("""COMPUTED_VALUE"""),"")</f>
        <v/>
      </c>
      <c r="AL27" s="2" t="str">
        <f ca="1">IFERROR(__xludf.DUMMYFUNCTION("""COMPUTED_VALUE"""),"")</f>
        <v/>
      </c>
      <c r="AM27" s="2" t="str">
        <f ca="1">IFERROR(__xludf.DUMMYFUNCTION("""COMPUTED_VALUE"""),"")</f>
        <v/>
      </c>
      <c r="AN27" s="2" t="str">
        <f ca="1">IFERROR(__xludf.DUMMYFUNCTION("""COMPUTED_VALUE"""),"")</f>
        <v/>
      </c>
      <c r="AO27" s="2" t="str">
        <f ca="1">IFERROR(__xludf.DUMMYFUNCTION("""COMPUTED_VALUE"""),"")</f>
        <v/>
      </c>
      <c r="AP27" s="2" t="str">
        <f ca="1">IFERROR(__xludf.DUMMYFUNCTION("""COMPUTED_VALUE"""),"")</f>
        <v/>
      </c>
      <c r="AQ27" s="2" t="str">
        <f ca="1">IFERROR(__xludf.DUMMYFUNCTION("""COMPUTED_VALUE"""),"")</f>
        <v/>
      </c>
      <c r="AR27" s="2" t="str">
        <f ca="1">IFERROR(__xludf.DUMMYFUNCTION("""COMPUTED_VALUE"""),"")</f>
        <v/>
      </c>
      <c r="AS27" s="2" t="str">
        <f ca="1">IFERROR(__xludf.DUMMYFUNCTION("""COMPUTED_VALUE"""),"")</f>
        <v/>
      </c>
      <c r="AT27" s="2" t="str">
        <f ca="1">IFERROR(__xludf.DUMMYFUNCTION("""COMPUTED_VALUE"""),"")</f>
        <v/>
      </c>
      <c r="AU27" s="2" t="str">
        <f ca="1">IFERROR(__xludf.DUMMYFUNCTION("""COMPUTED_VALUE"""),"no")</f>
        <v>no</v>
      </c>
      <c r="AV27" s="2" t="str">
        <f ca="1">IFERROR(__xludf.DUMMYFUNCTION("""COMPUTED_VALUE"""),"")</f>
        <v/>
      </c>
      <c r="AW27" s="2" t="str">
        <f ca="1">IFERROR(__xludf.DUMMYFUNCTION("""COMPUTED_VALUE"""),"")</f>
        <v/>
      </c>
      <c r="AX27" s="2" t="str">
        <f ca="1">IFERROR(__xludf.DUMMYFUNCTION("""COMPUTED_VALUE"""),"")</f>
        <v/>
      </c>
      <c r="AY27" s="2" t="str">
        <f ca="1">IFERROR(__xludf.DUMMYFUNCTION("""COMPUTED_VALUE"""),"")</f>
        <v/>
      </c>
      <c r="AZ27" s="2" t="str">
        <f ca="1">IFERROR(__xludf.DUMMYFUNCTION("""COMPUTED_VALUE"""),"")</f>
        <v/>
      </c>
      <c r="BA27" s="2" t="str">
        <f ca="1">IFERROR(__xludf.DUMMYFUNCTION("""COMPUTED_VALUE"""),"")</f>
        <v/>
      </c>
      <c r="BB27" s="2" t="str">
        <f ca="1">IFERROR(__xludf.DUMMYFUNCTION("""COMPUTED_VALUE"""),"")</f>
        <v/>
      </c>
      <c r="BC27" s="2" t="str">
        <f ca="1">IFERROR(__xludf.DUMMYFUNCTION("""COMPUTED_VALUE"""),"")</f>
        <v/>
      </c>
      <c r="BD27" s="2" t="str">
        <f ca="1">IFERROR(__xludf.DUMMYFUNCTION("""COMPUTED_VALUE"""),"")</f>
        <v/>
      </c>
      <c r="BE27" s="2" t="str">
        <f ca="1">IFERROR(__xludf.DUMMYFUNCTION("""COMPUTED_VALUE"""),"")</f>
        <v/>
      </c>
      <c r="BF27" t="str">
        <f ca="1">IFERROR(__xludf.DUMMYFUNCTION("""COMPUTED_VALUE"""),"")</f>
        <v/>
      </c>
      <c r="BG27" t="str">
        <f ca="1">IFERROR(__xludf.DUMMYFUNCTION("""COMPUTED_VALUE"""),"")</f>
        <v/>
      </c>
      <c r="BH27" s="2" t="str">
        <f ca="1">IFERROR(__xludf.DUMMYFUNCTION("""COMPUTED_VALUE"""),"")</f>
        <v/>
      </c>
      <c r="BI27" s="12" t="str">
        <f ca="1">IFERROR(__xludf.DUMMYFUNCTION("""COMPUTED_VALUE"""),"")</f>
        <v/>
      </c>
      <c r="BJ27" s="9" t="str">
        <f ca="1">IFERROR(__xludf.DUMMYFUNCTION("""COMPUTED_VALUE"""),"")</f>
        <v/>
      </c>
      <c r="BK27" s="4" t="str">
        <f ca="1">IFERROR(__xludf.DUMMYFUNCTION("""COMPUTED_VALUE"""),"")</f>
        <v/>
      </c>
    </row>
    <row r="28" spans="1:63" ht="12.5" x14ac:dyDescent="0.25">
      <c r="A28" s="7">
        <f ca="1">IFERROR(__xludf.DUMMYFUNCTION("""COMPUTED_VALUE"""),43437.3304518634)</f>
        <v>43437.330451863403</v>
      </c>
      <c r="B28" s="8" t="str">
        <f ca="1">IFERROR(__xludf.DUMMYFUNCTION("""COMPUTED_VALUE"""),"Waikato")</f>
        <v>Waikato</v>
      </c>
      <c r="C28" s="2" t="str">
        <f ca="1">IFERROR(__xludf.DUMMYFUNCTION("""COMPUTED_VALUE"""),"")</f>
        <v/>
      </c>
      <c r="D28" s="9">
        <f ca="1">IFERROR(__xludf.DUMMYFUNCTION("""COMPUTED_VALUE"""),43341)</f>
        <v>43341</v>
      </c>
      <c r="E28" s="4">
        <f ca="1">IFERROR(__xludf.DUMMYFUNCTION("""COMPUTED_VALUE"""),0.375)</f>
        <v>0.375</v>
      </c>
      <c r="F28" s="2" t="str">
        <f ca="1">IFERROR(__xludf.DUMMYFUNCTION("""COMPUTED_VALUE"""),"Whangamarino")</f>
        <v>Whangamarino</v>
      </c>
      <c r="G28" s="2" t="str">
        <f ca="1">IFERROR(__xludf.DUMMYFUNCTION("""COMPUTED_VALUE"""),"None: I listened for the bird but was unable to find it")</f>
        <v>None: I listened for the bird but was unable to find it</v>
      </c>
      <c r="H28" s="2" t="str">
        <f ca="1">IFERROR(__xludf.DUMMYFUNCTION("""COMPUTED_VALUE"""),"")</f>
        <v/>
      </c>
      <c r="I28" s="2" t="str">
        <f ca="1">IFERROR(__xludf.DUMMYFUNCTION("""COMPUTED_VALUE"""),"")</f>
        <v/>
      </c>
      <c r="J28" s="2" t="str">
        <f ca="1">IFERROR(__xludf.DUMMYFUNCTION("""COMPUTED_VALUE"""),"")</f>
        <v/>
      </c>
      <c r="K28" s="2" t="str">
        <f ca="1">IFERROR(__xludf.DUMMYFUNCTION("""COMPUTED_VALUE"""),"")</f>
        <v/>
      </c>
      <c r="L28" s="2" t="str">
        <f ca="1">IFERROR(__xludf.DUMMYFUNCTION("""COMPUTED_VALUE"""),"")</f>
        <v/>
      </c>
      <c r="M28" s="5" t="str">
        <f ca="1">IFERROR(__xludf.DUMMYFUNCTION("""COMPUTED_VALUE"""),"")</f>
        <v/>
      </c>
      <c r="N28" s="5" t="str">
        <f ca="1">IFERROR(__xludf.DUMMYFUNCTION("""COMPUTED_VALUE"""),"")</f>
        <v/>
      </c>
      <c r="O28" s="2" t="str">
        <f ca="1">IFERROR(__xludf.DUMMYFUNCTION("""COMPUTED_VALUE"""),"")</f>
        <v/>
      </c>
      <c r="P28" s="2" t="str">
        <f ca="1">IFERROR(__xludf.DUMMYFUNCTION("""COMPUTED_VALUE"""),"")</f>
        <v/>
      </c>
      <c r="Q28" s="2" t="str">
        <f ca="1">IFERROR(__xludf.DUMMYFUNCTION("""COMPUTED_VALUE"""),"")</f>
        <v/>
      </c>
      <c r="R28" s="2" t="str">
        <f ca="1">IFERROR(__xludf.DUMMYFUNCTION("""COMPUTED_VALUE"""),"")</f>
        <v/>
      </c>
      <c r="S28" s="2" t="str">
        <f ca="1">IFERROR(__xludf.DUMMYFUNCTION("""COMPUTED_VALUE"""),"")</f>
        <v/>
      </c>
      <c r="T28" s="2" t="str">
        <f ca="1">IFERROR(__xludf.DUMMYFUNCTION("""COMPUTED_VALUE"""),"")</f>
        <v/>
      </c>
      <c r="U28" s="2" t="str">
        <f ca="1">IFERROR(__xludf.DUMMYFUNCTION("""COMPUTED_VALUE"""),"")</f>
        <v/>
      </c>
      <c r="V28" s="2" t="str">
        <f ca="1">IFERROR(__xludf.DUMMYFUNCTION("""COMPUTED_VALUE"""),"")</f>
        <v/>
      </c>
      <c r="W28" s="2" t="str">
        <f ca="1">IFERROR(__xludf.DUMMYFUNCTION("""COMPUTED_VALUE"""),"")</f>
        <v/>
      </c>
      <c r="X28" s="2" t="str">
        <f ca="1">IFERROR(__xludf.DUMMYFUNCTION("""COMPUTED_VALUE"""),"")</f>
        <v/>
      </c>
      <c r="Y28" s="2" t="str">
        <f ca="1">IFERROR(__xludf.DUMMYFUNCTION("""COMPUTED_VALUE"""),"")</f>
        <v/>
      </c>
      <c r="Z28" s="2" t="str">
        <f ca="1">IFERROR(__xludf.DUMMYFUNCTION("""COMPUTED_VALUE"""),"")</f>
        <v/>
      </c>
      <c r="AA28" s="2" t="str">
        <f ca="1">IFERROR(__xludf.DUMMYFUNCTION("""COMPUTED_VALUE"""),"")</f>
        <v/>
      </c>
      <c r="AB28" s="2" t="str">
        <f ca="1">IFERROR(__xludf.DUMMYFUNCTION("""COMPUTED_VALUE"""),"")</f>
        <v/>
      </c>
      <c r="AC28" s="2" t="str">
        <f ca="1">IFERROR(__xludf.DUMMYFUNCTION("""COMPUTED_VALUE"""),"")</f>
        <v/>
      </c>
      <c r="AD28" s="2" t="str">
        <f ca="1">IFERROR(__xludf.DUMMYFUNCTION("""COMPUTED_VALUE"""),"")</f>
        <v/>
      </c>
      <c r="AE28" s="2" t="str">
        <f ca="1">IFERROR(__xludf.DUMMYFUNCTION("""COMPUTED_VALUE"""),"")</f>
        <v/>
      </c>
      <c r="AF28" s="2" t="str">
        <f ca="1">IFERROR(__xludf.DUMMYFUNCTION("""COMPUTED_VALUE"""),"")</f>
        <v/>
      </c>
      <c r="AG28" s="2" t="str">
        <f ca="1">IFERROR(__xludf.DUMMYFUNCTION("""COMPUTED_VALUE"""),"")</f>
        <v/>
      </c>
      <c r="AH28" s="2" t="str">
        <f ca="1">IFERROR(__xludf.DUMMYFUNCTION("""COMPUTED_VALUE"""),"")</f>
        <v/>
      </c>
      <c r="AI28" s="2" t="str">
        <f ca="1">IFERROR(__xludf.DUMMYFUNCTION("""COMPUTED_VALUE"""),"")</f>
        <v/>
      </c>
      <c r="AJ28" s="2" t="str">
        <f ca="1">IFERROR(__xludf.DUMMYFUNCTION("""COMPUTED_VALUE"""),"")</f>
        <v/>
      </c>
      <c r="AK28" s="2" t="str">
        <f ca="1">IFERROR(__xludf.DUMMYFUNCTION("""COMPUTED_VALUE"""),"")</f>
        <v/>
      </c>
      <c r="AL28" s="2" t="str">
        <f ca="1">IFERROR(__xludf.DUMMYFUNCTION("""COMPUTED_VALUE"""),"")</f>
        <v/>
      </c>
      <c r="AM28" s="2" t="str">
        <f ca="1">IFERROR(__xludf.DUMMYFUNCTION("""COMPUTED_VALUE"""),"")</f>
        <v/>
      </c>
      <c r="AN28" s="2" t="str">
        <f ca="1">IFERROR(__xludf.DUMMYFUNCTION("""COMPUTED_VALUE"""),"")</f>
        <v/>
      </c>
      <c r="AO28" s="2" t="str">
        <f ca="1">IFERROR(__xludf.DUMMYFUNCTION("""COMPUTED_VALUE"""),"")</f>
        <v/>
      </c>
      <c r="AP28" s="2" t="str">
        <f ca="1">IFERROR(__xludf.DUMMYFUNCTION("""COMPUTED_VALUE"""),"")</f>
        <v/>
      </c>
      <c r="AQ28" s="2" t="str">
        <f ca="1">IFERROR(__xludf.DUMMYFUNCTION("""COMPUTED_VALUE"""),"")</f>
        <v/>
      </c>
      <c r="AR28" s="2" t="str">
        <f ca="1">IFERROR(__xludf.DUMMYFUNCTION("""COMPUTED_VALUE"""),"")</f>
        <v/>
      </c>
      <c r="AS28" s="2" t="str">
        <f ca="1">IFERROR(__xludf.DUMMYFUNCTION("""COMPUTED_VALUE"""),"")</f>
        <v/>
      </c>
      <c r="AT28" s="2" t="str">
        <f ca="1">IFERROR(__xludf.DUMMYFUNCTION("""COMPUTED_VALUE"""),"")</f>
        <v/>
      </c>
      <c r="AU28" s="2" t="str">
        <f ca="1">IFERROR(__xludf.DUMMYFUNCTION("""COMPUTED_VALUE"""),"")</f>
        <v/>
      </c>
      <c r="AV28" s="2" t="str">
        <f ca="1">IFERROR(__xludf.DUMMYFUNCTION("""COMPUTED_VALUE"""),"")</f>
        <v/>
      </c>
      <c r="AW28" s="2" t="str">
        <f ca="1">IFERROR(__xludf.DUMMYFUNCTION("""COMPUTED_VALUE"""),"")</f>
        <v/>
      </c>
      <c r="AX28" s="2" t="str">
        <f ca="1">IFERROR(__xludf.DUMMYFUNCTION("""COMPUTED_VALUE"""),"")</f>
        <v/>
      </c>
      <c r="AY28" s="2" t="str">
        <f ca="1">IFERROR(__xludf.DUMMYFUNCTION("""COMPUTED_VALUE"""),"")</f>
        <v/>
      </c>
      <c r="AZ28" s="2" t="str">
        <f ca="1">IFERROR(__xludf.DUMMYFUNCTION("""COMPUTED_VALUE"""),"")</f>
        <v/>
      </c>
      <c r="BA28" s="2" t="str">
        <f ca="1">IFERROR(__xludf.DUMMYFUNCTION("""COMPUTED_VALUE"""),"")</f>
        <v/>
      </c>
      <c r="BB28" s="2" t="str">
        <f ca="1">IFERROR(__xludf.DUMMYFUNCTION("""COMPUTED_VALUE"""),"")</f>
        <v/>
      </c>
      <c r="BC28" s="2" t="str">
        <f ca="1">IFERROR(__xludf.DUMMYFUNCTION("""COMPUTED_VALUE"""),"")</f>
        <v/>
      </c>
      <c r="BD28" s="2" t="str">
        <f ca="1">IFERROR(__xludf.DUMMYFUNCTION("""COMPUTED_VALUE"""),"Whangamarino Falls/Coalfields/Island Block Roads")</f>
        <v>Whangamarino Falls/Coalfields/Island Block Roads</v>
      </c>
      <c r="BE28" s="2" t="str">
        <f ca="1">IFERROR(__xludf.DUMMYFUNCTION("""COMPUTED_VALUE"""),"Chris Annandale")</f>
        <v>Chris Annandale</v>
      </c>
      <c r="BF28" t="str">
        <f ca="1">IFERROR(__xludf.DUMMYFUNCTION("""COMPUTED_VALUE"""),"")</f>
        <v/>
      </c>
      <c r="BG28" t="str">
        <f ca="1">IFERROR(__xludf.DUMMYFUNCTION("""COMPUTED_VALUE"""),"")</f>
        <v/>
      </c>
      <c r="BH28" s="2" t="str">
        <f ca="1">IFERROR(__xludf.DUMMYFUNCTION("""COMPUTED_VALUE"""),"")</f>
        <v/>
      </c>
      <c r="BI28" s="13" t="str">
        <f ca="1">IFERROR(__xludf.DUMMYFUNCTION("""COMPUTED_VALUE"""),"")</f>
        <v/>
      </c>
      <c r="BJ28" s="9" t="str">
        <f ca="1">IFERROR(__xludf.DUMMYFUNCTION("""COMPUTED_VALUE"""),"")</f>
        <v/>
      </c>
      <c r="BK28" s="4" t="str">
        <f ca="1">IFERROR(__xludf.DUMMYFUNCTION("""COMPUTED_VALUE"""),"")</f>
        <v/>
      </c>
    </row>
    <row r="29" spans="1:63" ht="12.5" x14ac:dyDescent="0.25">
      <c r="A29" s="7">
        <f ca="1">IFERROR(__xludf.DUMMYFUNCTION("""COMPUTED_VALUE"""),43437.3339960532)</f>
        <v>43437.333996053203</v>
      </c>
      <c r="B29" s="8" t="str">
        <f ca="1">IFERROR(__xludf.DUMMYFUNCTION("""COMPUTED_VALUE"""),"Waikato")</f>
        <v>Waikato</v>
      </c>
      <c r="C29" s="2" t="str">
        <f ca="1">IFERROR(__xludf.DUMMYFUNCTION("""COMPUTED_VALUE"""),"")</f>
        <v/>
      </c>
      <c r="D29" s="9">
        <f ca="1">IFERROR(__xludf.DUMMYFUNCTION("""COMPUTED_VALUE"""),43381)</f>
        <v>43381</v>
      </c>
      <c r="E29" s="4">
        <f ca="1">IFERROR(__xludf.DUMMYFUNCTION("""COMPUTED_VALUE"""),0.479166666667879)</f>
        <v>0.47916666666787899</v>
      </c>
      <c r="F29" s="2" t="str">
        <f ca="1">IFERROR(__xludf.DUMMYFUNCTION("""COMPUTED_VALUE"""),"Whangamarino Causeway")</f>
        <v>Whangamarino Causeway</v>
      </c>
      <c r="G29" s="2" t="str">
        <f ca="1">IFERROR(__xludf.DUMMYFUNCTION("""COMPUTED_VALUE"""),"None: I listened for the bird but was unable to find it")</f>
        <v>None: I listened for the bird but was unable to find it</v>
      </c>
      <c r="H29" s="2" t="str">
        <f ca="1">IFERROR(__xludf.DUMMYFUNCTION("""COMPUTED_VALUE"""),"")</f>
        <v/>
      </c>
      <c r="I29" s="2" t="str">
        <f ca="1">IFERROR(__xludf.DUMMYFUNCTION("""COMPUTED_VALUE"""),"")</f>
        <v/>
      </c>
      <c r="J29" s="2" t="str">
        <f ca="1">IFERROR(__xludf.DUMMYFUNCTION("""COMPUTED_VALUE"""),"")</f>
        <v/>
      </c>
      <c r="K29" s="2" t="str">
        <f ca="1">IFERROR(__xludf.DUMMYFUNCTION("""COMPUTED_VALUE"""),"")</f>
        <v/>
      </c>
      <c r="L29" s="2" t="str">
        <f ca="1">IFERROR(__xludf.DUMMYFUNCTION("""COMPUTED_VALUE"""),"")</f>
        <v/>
      </c>
      <c r="M29" s="5" t="str">
        <f ca="1">IFERROR(__xludf.DUMMYFUNCTION("""COMPUTED_VALUE"""),"")</f>
        <v/>
      </c>
      <c r="N29" s="5" t="str">
        <f ca="1">IFERROR(__xludf.DUMMYFUNCTION("""COMPUTED_VALUE"""),"")</f>
        <v/>
      </c>
      <c r="O29" s="2" t="str">
        <f ca="1">IFERROR(__xludf.DUMMYFUNCTION("""COMPUTED_VALUE"""),"")</f>
        <v/>
      </c>
      <c r="P29" s="2" t="str">
        <f ca="1">IFERROR(__xludf.DUMMYFUNCTION("""COMPUTED_VALUE"""),"")</f>
        <v/>
      </c>
      <c r="Q29" s="2" t="str">
        <f ca="1">IFERROR(__xludf.DUMMYFUNCTION("""COMPUTED_VALUE"""),"")</f>
        <v/>
      </c>
      <c r="R29" s="2" t="str">
        <f ca="1">IFERROR(__xludf.DUMMYFUNCTION("""COMPUTED_VALUE"""),"")</f>
        <v/>
      </c>
      <c r="S29" s="2" t="str">
        <f ca="1">IFERROR(__xludf.DUMMYFUNCTION("""COMPUTED_VALUE"""),"")</f>
        <v/>
      </c>
      <c r="T29" s="2" t="str">
        <f ca="1">IFERROR(__xludf.DUMMYFUNCTION("""COMPUTED_VALUE"""),"")</f>
        <v/>
      </c>
      <c r="U29" s="2" t="str">
        <f ca="1">IFERROR(__xludf.DUMMYFUNCTION("""COMPUTED_VALUE"""),"")</f>
        <v/>
      </c>
      <c r="V29" s="2" t="str">
        <f ca="1">IFERROR(__xludf.DUMMYFUNCTION("""COMPUTED_VALUE"""),"")</f>
        <v/>
      </c>
      <c r="W29" s="2" t="str">
        <f ca="1">IFERROR(__xludf.DUMMYFUNCTION("""COMPUTED_VALUE"""),"")</f>
        <v/>
      </c>
      <c r="X29" s="2" t="str">
        <f ca="1">IFERROR(__xludf.DUMMYFUNCTION("""COMPUTED_VALUE"""),"")</f>
        <v/>
      </c>
      <c r="Y29" s="2" t="str">
        <f ca="1">IFERROR(__xludf.DUMMYFUNCTION("""COMPUTED_VALUE"""),"")</f>
        <v/>
      </c>
      <c r="Z29" s="2" t="str">
        <f ca="1">IFERROR(__xludf.DUMMYFUNCTION("""COMPUTED_VALUE"""),"")</f>
        <v/>
      </c>
      <c r="AA29" s="2" t="str">
        <f ca="1">IFERROR(__xludf.DUMMYFUNCTION("""COMPUTED_VALUE"""),"")</f>
        <v/>
      </c>
      <c r="AB29" s="2" t="str">
        <f ca="1">IFERROR(__xludf.DUMMYFUNCTION("""COMPUTED_VALUE"""),"")</f>
        <v/>
      </c>
      <c r="AC29" s="2" t="str">
        <f ca="1">IFERROR(__xludf.DUMMYFUNCTION("""COMPUTED_VALUE"""),"")</f>
        <v/>
      </c>
      <c r="AD29" s="2" t="str">
        <f ca="1">IFERROR(__xludf.DUMMYFUNCTION("""COMPUTED_VALUE"""),"")</f>
        <v/>
      </c>
      <c r="AE29" s="2" t="str">
        <f ca="1">IFERROR(__xludf.DUMMYFUNCTION("""COMPUTED_VALUE"""),"")</f>
        <v/>
      </c>
      <c r="AF29" s="2" t="str">
        <f ca="1">IFERROR(__xludf.DUMMYFUNCTION("""COMPUTED_VALUE"""),"")</f>
        <v/>
      </c>
      <c r="AG29" s="2" t="str">
        <f ca="1">IFERROR(__xludf.DUMMYFUNCTION("""COMPUTED_VALUE"""),"")</f>
        <v/>
      </c>
      <c r="AH29" s="2" t="str">
        <f ca="1">IFERROR(__xludf.DUMMYFUNCTION("""COMPUTED_VALUE"""),"")</f>
        <v/>
      </c>
      <c r="AI29" s="2" t="str">
        <f ca="1">IFERROR(__xludf.DUMMYFUNCTION("""COMPUTED_VALUE"""),"")</f>
        <v/>
      </c>
      <c r="AJ29" s="2" t="str">
        <f ca="1">IFERROR(__xludf.DUMMYFUNCTION("""COMPUTED_VALUE"""),"")</f>
        <v/>
      </c>
      <c r="AK29" s="2" t="str">
        <f ca="1">IFERROR(__xludf.DUMMYFUNCTION("""COMPUTED_VALUE"""),"")</f>
        <v/>
      </c>
      <c r="AL29" s="2" t="str">
        <f ca="1">IFERROR(__xludf.DUMMYFUNCTION("""COMPUTED_VALUE"""),"")</f>
        <v/>
      </c>
      <c r="AM29" s="2" t="str">
        <f ca="1">IFERROR(__xludf.DUMMYFUNCTION("""COMPUTED_VALUE"""),"")</f>
        <v/>
      </c>
      <c r="AN29" s="2" t="str">
        <f ca="1">IFERROR(__xludf.DUMMYFUNCTION("""COMPUTED_VALUE"""),"")</f>
        <v/>
      </c>
      <c r="AO29" s="2" t="str">
        <f ca="1">IFERROR(__xludf.DUMMYFUNCTION("""COMPUTED_VALUE"""),"")</f>
        <v/>
      </c>
      <c r="AP29" s="2" t="str">
        <f ca="1">IFERROR(__xludf.DUMMYFUNCTION("""COMPUTED_VALUE"""),"")</f>
        <v/>
      </c>
      <c r="AQ29" s="2" t="str">
        <f ca="1">IFERROR(__xludf.DUMMYFUNCTION("""COMPUTED_VALUE"""),"")</f>
        <v/>
      </c>
      <c r="AR29" s="2" t="str">
        <f ca="1">IFERROR(__xludf.DUMMYFUNCTION("""COMPUTED_VALUE"""),"")</f>
        <v/>
      </c>
      <c r="AS29" s="2" t="str">
        <f ca="1">IFERROR(__xludf.DUMMYFUNCTION("""COMPUTED_VALUE"""),"")</f>
        <v/>
      </c>
      <c r="AT29" s="2" t="str">
        <f ca="1">IFERROR(__xludf.DUMMYFUNCTION("""COMPUTED_VALUE"""),"")</f>
        <v/>
      </c>
      <c r="AU29" s="2" t="str">
        <f ca="1">IFERROR(__xludf.DUMMYFUNCTION("""COMPUTED_VALUE"""),"")</f>
        <v/>
      </c>
      <c r="AV29" s="2" t="str">
        <f ca="1">IFERROR(__xludf.DUMMYFUNCTION("""COMPUTED_VALUE"""),"")</f>
        <v/>
      </c>
      <c r="AW29" s="2" t="str">
        <f ca="1">IFERROR(__xludf.DUMMYFUNCTION("""COMPUTED_VALUE"""),"")</f>
        <v/>
      </c>
      <c r="AX29" s="2" t="str">
        <f ca="1">IFERROR(__xludf.DUMMYFUNCTION("""COMPUTED_VALUE"""),"")</f>
        <v/>
      </c>
      <c r="AY29" s="2" t="str">
        <f ca="1">IFERROR(__xludf.DUMMYFUNCTION("""COMPUTED_VALUE"""),"")</f>
        <v/>
      </c>
      <c r="AZ29" s="2" t="str">
        <f ca="1">IFERROR(__xludf.DUMMYFUNCTION("""COMPUTED_VALUE"""),"")</f>
        <v/>
      </c>
      <c r="BA29" s="2" t="str">
        <f ca="1">IFERROR(__xludf.DUMMYFUNCTION("""COMPUTED_VALUE"""),"")</f>
        <v/>
      </c>
      <c r="BB29" s="2" t="str">
        <f ca="1">IFERROR(__xludf.DUMMYFUNCTION("""COMPUTED_VALUE"""),"")</f>
        <v/>
      </c>
      <c r="BC29" s="2" t="str">
        <f ca="1">IFERROR(__xludf.DUMMYFUNCTION("""COMPUTED_VALUE"""),"")</f>
        <v/>
      </c>
      <c r="BD29" s="2" t="str">
        <f ca="1">IFERROR(__xludf.DUMMYFUNCTION("""COMPUTED_VALUE"""),"Whangamarino Causeway, Wellwood Block, McLean Island")</f>
        <v>Whangamarino Causeway, Wellwood Block, McLean Island</v>
      </c>
      <c r="BE29" s="2" t="str">
        <f ca="1">IFERROR(__xludf.DUMMYFUNCTION("""COMPUTED_VALUE"""),"No")</f>
        <v>No</v>
      </c>
      <c r="BF29" t="str">
        <f ca="1">IFERROR(__xludf.DUMMYFUNCTION("""COMPUTED_VALUE"""),"")</f>
        <v/>
      </c>
      <c r="BG29" t="str">
        <f ca="1">IFERROR(__xludf.DUMMYFUNCTION("""COMPUTED_VALUE"""),"")</f>
        <v/>
      </c>
      <c r="BH29" s="2" t="str">
        <f ca="1">IFERROR(__xludf.DUMMYFUNCTION("""COMPUTED_VALUE"""),"")</f>
        <v/>
      </c>
      <c r="BI29" s="12" t="str">
        <f ca="1">IFERROR(__xludf.DUMMYFUNCTION("""COMPUTED_VALUE"""),"")</f>
        <v/>
      </c>
      <c r="BJ29" s="9" t="str">
        <f ca="1">IFERROR(__xludf.DUMMYFUNCTION("""COMPUTED_VALUE"""),"")</f>
        <v/>
      </c>
      <c r="BK29" s="4" t="str">
        <f ca="1">IFERROR(__xludf.DUMMYFUNCTION("""COMPUTED_VALUE"""),"")</f>
        <v/>
      </c>
    </row>
    <row r="30" spans="1:63" ht="12.5" x14ac:dyDescent="0.25">
      <c r="A30" s="7">
        <f ca="1">IFERROR(__xludf.DUMMYFUNCTION("""COMPUTED_VALUE"""),43437.3384452777)</f>
        <v>43437.338445277703</v>
      </c>
      <c r="B30" s="8" t="str">
        <f ca="1">IFERROR(__xludf.DUMMYFUNCTION("""COMPUTED_VALUE"""),"Waikato")</f>
        <v>Waikato</v>
      </c>
      <c r="C30" s="2" t="str">
        <f ca="1">IFERROR(__xludf.DUMMYFUNCTION("""COMPUTED_VALUE"""),"")</f>
        <v/>
      </c>
      <c r="D30" s="9">
        <f ca="1">IFERROR(__xludf.DUMMYFUNCTION("""COMPUTED_VALUE"""),43418)</f>
        <v>43418</v>
      </c>
      <c r="E30" s="4">
        <f ca="1">IFERROR(__xludf.DUMMYFUNCTION("""COMPUTED_VALUE"""),0.479166666667879)</f>
        <v>0.47916666666787899</v>
      </c>
      <c r="F30" s="2" t="str">
        <f ca="1">IFERROR(__xludf.DUMMYFUNCTION("""COMPUTED_VALUE"""),"Whangamarino Causeway")</f>
        <v>Whangamarino Causeway</v>
      </c>
      <c r="G30" s="2" t="str">
        <f ca="1">IFERROR(__xludf.DUMMYFUNCTION("""COMPUTED_VALUE"""),"VHF (triangulation): I triangulated the bird with at least three bearings")</f>
        <v>VHF (triangulation): I triangulated the bird with at least three bearings</v>
      </c>
      <c r="H30" s="2" t="str">
        <f ca="1">IFERROR(__xludf.DUMMYFUNCTION("""COMPUTED_VALUE"""),"")</f>
        <v/>
      </c>
      <c r="I30" s="2" t="str">
        <f ca="1">IFERROR(__xludf.DUMMYFUNCTION("""COMPUTED_VALUE"""),"")</f>
        <v/>
      </c>
      <c r="J30" s="2" t="str">
        <f ca="1">IFERROR(__xludf.DUMMYFUNCTION("""COMPUTED_VALUE"""),"")</f>
        <v/>
      </c>
      <c r="K30" s="2" t="str">
        <f ca="1">IFERROR(__xludf.DUMMYFUNCTION("""COMPUTED_VALUE"""),"")</f>
        <v/>
      </c>
      <c r="L30" s="2" t="str">
        <f ca="1">IFERROR(__xludf.DUMMYFUNCTION("""COMPUTED_VALUE"""),"")</f>
        <v/>
      </c>
      <c r="M30" s="5" t="str">
        <f ca="1">IFERROR(__xludf.DUMMYFUNCTION("""COMPUTED_VALUE"""),"")</f>
        <v/>
      </c>
      <c r="N30" s="5" t="str">
        <f ca="1">IFERROR(__xludf.DUMMYFUNCTION("""COMPUTED_VALUE"""),"")</f>
        <v/>
      </c>
      <c r="O30" s="2" t="str">
        <f ca="1">IFERROR(__xludf.DUMMYFUNCTION("""COMPUTED_VALUE"""),"")</f>
        <v/>
      </c>
      <c r="P30" s="2" t="str">
        <f ca="1">IFERROR(__xludf.DUMMYFUNCTION("""COMPUTED_VALUE"""),"")</f>
        <v/>
      </c>
      <c r="Q30" s="2" t="str">
        <f ca="1">IFERROR(__xludf.DUMMYFUNCTION("""COMPUTED_VALUE"""),"")</f>
        <v/>
      </c>
      <c r="R30" s="2" t="str">
        <f ca="1">IFERROR(__xludf.DUMMYFUNCTION("""COMPUTED_VALUE"""),"")</f>
        <v/>
      </c>
      <c r="S30" s="2" t="str">
        <f ca="1">IFERROR(__xludf.DUMMYFUNCTION("""COMPUTED_VALUE"""),"")</f>
        <v/>
      </c>
      <c r="T30" s="2" t="str">
        <f ca="1">IFERROR(__xludf.DUMMYFUNCTION("""COMPUTED_VALUE"""),"")</f>
        <v/>
      </c>
      <c r="U30" s="2" t="str">
        <f ca="1">IFERROR(__xludf.DUMMYFUNCTION("""COMPUTED_VALUE"""),"")</f>
        <v/>
      </c>
      <c r="V30" s="2" t="str">
        <f ca="1">IFERROR(__xludf.DUMMYFUNCTION("""COMPUTED_VALUE"""),"")</f>
        <v/>
      </c>
      <c r="W30" s="2" t="str">
        <f ca="1">IFERROR(__xludf.DUMMYFUNCTION("""COMPUTED_VALUE"""),"")</f>
        <v/>
      </c>
      <c r="X30" s="2" t="str">
        <f ca="1">IFERROR(__xludf.DUMMYFUNCTION("""COMPUTED_VALUE"""),"")</f>
        <v/>
      </c>
      <c r="Y30" s="2" t="str">
        <f ca="1">IFERROR(__xludf.DUMMYFUNCTION("""COMPUTED_VALUE"""),"")</f>
        <v/>
      </c>
      <c r="Z30" s="2" t="str">
        <f ca="1">IFERROR(__xludf.DUMMYFUNCTION("""COMPUTED_VALUE"""),"")</f>
        <v/>
      </c>
      <c r="AA30" s="2">
        <f ca="1">IFERROR(__xludf.DUMMYFUNCTION("""COMPUTED_VALUE"""),1786931)</f>
        <v>1786931</v>
      </c>
      <c r="AB30" s="2">
        <f ca="1">IFERROR(__xludf.DUMMYFUNCTION("""COMPUTED_VALUE"""),5869980)</f>
        <v>5869980</v>
      </c>
      <c r="AC30" s="2">
        <f ca="1">IFERROR(__xludf.DUMMYFUNCTION("""COMPUTED_VALUE"""),4)</f>
        <v>4</v>
      </c>
      <c r="AD30" s="2" t="str">
        <f ca="1">IFERROR(__xludf.DUMMYFUNCTION("""COMPUTED_VALUE"""),"Strong - I got a lovely, clear, strong signal.")</f>
        <v>Strong - I got a lovely, clear, strong signal.</v>
      </c>
      <c r="AE30" s="2">
        <f ca="1">IFERROR(__xludf.DUMMYFUNCTION("""COMPUTED_VALUE"""),1787428)</f>
        <v>1787428</v>
      </c>
      <c r="AF30" s="2">
        <f ca="1">IFERROR(__xludf.DUMMYFUNCTION("""COMPUTED_VALUE"""),5870189)</f>
        <v>5870189</v>
      </c>
      <c r="AG30" s="2">
        <f ca="1">IFERROR(__xludf.DUMMYFUNCTION("""COMPUTED_VALUE"""),313)</f>
        <v>313</v>
      </c>
      <c r="AH30" s="2" t="str">
        <f ca="1">IFERROR(__xludf.DUMMYFUNCTION("""COMPUTED_VALUE"""),"Strong - I got a lovely, clear, strong signal.")</f>
        <v>Strong - I got a lovely, clear, strong signal.</v>
      </c>
      <c r="AI30" s="2">
        <f ca="1">IFERROR(__xludf.DUMMYFUNCTION("""COMPUTED_VALUE"""),1788516)</f>
        <v>1788516</v>
      </c>
      <c r="AJ30" s="2">
        <f ca="1">IFERROR(__xludf.DUMMYFUNCTION("""COMPUTED_VALUE"""),5870659)</f>
        <v>5870659</v>
      </c>
      <c r="AK30" s="2">
        <f ca="1">IFERROR(__xludf.DUMMYFUNCTION("""COMPUTED_VALUE"""),250)</f>
        <v>250</v>
      </c>
      <c r="AL30" s="2" t="str">
        <f ca="1">IFERROR(__xludf.DUMMYFUNCTION("""COMPUTED_VALUE"""),"Strong - I got a lovely, clear, strong signal.")</f>
        <v>Strong - I got a lovely, clear, strong signal.</v>
      </c>
      <c r="AM30" s="2" t="str">
        <f ca="1">IFERROR(__xludf.DUMMYFUNCTION("""COMPUTED_VALUE"""),"")</f>
        <v/>
      </c>
      <c r="AN30" s="2" t="str">
        <f ca="1">IFERROR(__xludf.DUMMYFUNCTION("""COMPUTED_VALUE"""),"")</f>
        <v/>
      </c>
      <c r="AO30" s="2" t="str">
        <f ca="1">IFERROR(__xludf.DUMMYFUNCTION("""COMPUTED_VALUE"""),"")</f>
        <v/>
      </c>
      <c r="AP30" s="2" t="str">
        <f ca="1">IFERROR(__xludf.DUMMYFUNCTION("""COMPUTED_VALUE"""),"")</f>
        <v/>
      </c>
      <c r="AQ30" s="2" t="str">
        <f ca="1">IFERROR(__xludf.DUMMYFUNCTION("""COMPUTED_VALUE"""),"")</f>
        <v/>
      </c>
      <c r="AR30" s="2" t="str">
        <f ca="1">IFERROR(__xludf.DUMMYFUNCTION("""COMPUTED_VALUE"""),"")</f>
        <v/>
      </c>
      <c r="AS30" s="2" t="str">
        <f ca="1">IFERROR(__xludf.DUMMYFUNCTION("""COMPUTED_VALUE"""),"")</f>
        <v/>
      </c>
      <c r="AT30" s="2" t="str">
        <f ca="1">IFERROR(__xludf.DUMMYFUNCTION("""COMPUTED_VALUE"""),"")</f>
        <v/>
      </c>
      <c r="AU30" s="2" t="str">
        <f ca="1">IFERROR(__xludf.DUMMYFUNCTION("""COMPUTED_VALUE"""),"No")</f>
        <v>No</v>
      </c>
      <c r="AV30" s="2" t="str">
        <f ca="1">IFERROR(__xludf.DUMMYFUNCTION("""COMPUTED_VALUE"""),"")</f>
        <v/>
      </c>
      <c r="AW30" s="2" t="str">
        <f ca="1">IFERROR(__xludf.DUMMYFUNCTION("""COMPUTED_VALUE"""),"")</f>
        <v/>
      </c>
      <c r="AX30" s="2" t="str">
        <f ca="1">IFERROR(__xludf.DUMMYFUNCTION("""COMPUTED_VALUE"""),"")</f>
        <v/>
      </c>
      <c r="AY30" s="2" t="str">
        <f ca="1">IFERROR(__xludf.DUMMYFUNCTION("""COMPUTED_VALUE"""),"")</f>
        <v/>
      </c>
      <c r="AZ30" s="2" t="str">
        <f ca="1">IFERROR(__xludf.DUMMYFUNCTION("""COMPUTED_VALUE"""),"")</f>
        <v/>
      </c>
      <c r="BA30" s="2" t="str">
        <f ca="1">IFERROR(__xludf.DUMMYFUNCTION("""COMPUTED_VALUE"""),"")</f>
        <v/>
      </c>
      <c r="BB30" s="2" t="str">
        <f ca="1">IFERROR(__xludf.DUMMYFUNCTION("""COMPUTED_VALUE"""),"")</f>
        <v/>
      </c>
      <c r="BC30" s="2" t="str">
        <f ca="1">IFERROR(__xludf.DUMMYFUNCTION("""COMPUTED_VALUE"""),"")</f>
        <v/>
      </c>
      <c r="BD30" s="2" t="str">
        <f ca="1">IFERROR(__xludf.DUMMYFUNCTION("""COMPUTED_VALUE"""),"")</f>
        <v/>
      </c>
      <c r="BE30" s="2" t="str">
        <f ca="1">IFERROR(__xludf.DUMMYFUNCTION("""COMPUTED_VALUE"""),"")</f>
        <v/>
      </c>
      <c r="BF30" t="str">
        <f ca="1">IFERROR(__xludf.DUMMYFUNCTION("""COMPUTED_VALUE"""),"")</f>
        <v/>
      </c>
      <c r="BG30" t="str">
        <f ca="1">IFERROR(__xludf.DUMMYFUNCTION("""COMPUTED_VALUE"""),"")</f>
        <v/>
      </c>
      <c r="BH30" s="2" t="str">
        <f ca="1">IFERROR(__xludf.DUMMYFUNCTION("""COMPUTED_VALUE"""),"")</f>
        <v/>
      </c>
      <c r="BI30" s="13" t="str">
        <f ca="1">IFERROR(__xludf.DUMMYFUNCTION("""COMPUTED_VALUE"""),"")</f>
        <v/>
      </c>
      <c r="BJ30" s="9" t="str">
        <f ca="1">IFERROR(__xludf.DUMMYFUNCTION("""COMPUTED_VALUE"""),"")</f>
        <v/>
      </c>
      <c r="BK30" s="4" t="str">
        <f ca="1">IFERROR(__xludf.DUMMYFUNCTION("""COMPUTED_VALUE"""),"")</f>
        <v/>
      </c>
    </row>
    <row r="31" spans="1:63" ht="12.5" x14ac:dyDescent="0.25">
      <c r="A31" s="7">
        <f ca="1">IFERROR(__xludf.DUMMYFUNCTION("""COMPUTED_VALUE"""),43437.3546261342)</f>
        <v>43437.354626134198</v>
      </c>
      <c r="B31" s="8" t="str">
        <f ca="1">IFERROR(__xludf.DUMMYFUNCTION("""COMPUTED_VALUE"""),"Waikato")</f>
        <v>Waikato</v>
      </c>
      <c r="C31" s="2" t="str">
        <f ca="1">IFERROR(__xludf.DUMMYFUNCTION("""COMPUTED_VALUE"""),"")</f>
        <v/>
      </c>
      <c r="D31" s="9">
        <f ca="1">IFERROR(__xludf.DUMMYFUNCTION("""COMPUTED_VALUE"""),43418)</f>
        <v>43418</v>
      </c>
      <c r="E31" s="4">
        <f ca="1">IFERROR(__xludf.DUMMYFUNCTION("""COMPUTED_VALUE"""),0.524305555554747)</f>
        <v>0.524305555554747</v>
      </c>
      <c r="F31" s="2" t="str">
        <f ca="1">IFERROR(__xludf.DUMMYFUNCTION("""COMPUTED_VALUE"""),"Dean Wetland")</f>
        <v>Dean Wetland</v>
      </c>
      <c r="G31" s="2" t="str">
        <f ca="1">IFERROR(__xludf.DUMMYFUNCTION("""COMPUTED_VALUE"""),"VHF (triangulation): I triangulated the bird with at least three bearings")</f>
        <v>VHF (triangulation): I triangulated the bird with at least three bearings</v>
      </c>
      <c r="H31" s="2" t="str">
        <f ca="1">IFERROR(__xludf.DUMMYFUNCTION("""COMPUTED_VALUE"""),"")</f>
        <v/>
      </c>
      <c r="I31" s="2" t="str">
        <f ca="1">IFERROR(__xludf.DUMMYFUNCTION("""COMPUTED_VALUE"""),"")</f>
        <v/>
      </c>
      <c r="J31" s="2" t="str">
        <f ca="1">IFERROR(__xludf.DUMMYFUNCTION("""COMPUTED_VALUE"""),"")</f>
        <v/>
      </c>
      <c r="K31" s="2" t="str">
        <f ca="1">IFERROR(__xludf.DUMMYFUNCTION("""COMPUTED_VALUE"""),"")</f>
        <v/>
      </c>
      <c r="L31" s="2" t="str">
        <f ca="1">IFERROR(__xludf.DUMMYFUNCTION("""COMPUTED_VALUE"""),"")</f>
        <v/>
      </c>
      <c r="M31" s="5" t="str">
        <f ca="1">IFERROR(__xludf.DUMMYFUNCTION("""COMPUTED_VALUE"""),"")</f>
        <v/>
      </c>
      <c r="N31" s="5" t="str">
        <f ca="1">IFERROR(__xludf.DUMMYFUNCTION("""COMPUTED_VALUE"""),"")</f>
        <v/>
      </c>
      <c r="O31" s="2" t="str">
        <f ca="1">IFERROR(__xludf.DUMMYFUNCTION("""COMPUTED_VALUE"""),"")</f>
        <v/>
      </c>
      <c r="P31" s="2" t="str">
        <f ca="1">IFERROR(__xludf.DUMMYFUNCTION("""COMPUTED_VALUE"""),"")</f>
        <v/>
      </c>
      <c r="Q31" s="2" t="str">
        <f ca="1">IFERROR(__xludf.DUMMYFUNCTION("""COMPUTED_VALUE"""),"")</f>
        <v/>
      </c>
      <c r="R31" s="2" t="str">
        <f ca="1">IFERROR(__xludf.DUMMYFUNCTION("""COMPUTED_VALUE"""),"")</f>
        <v/>
      </c>
      <c r="S31" s="2" t="str">
        <f ca="1">IFERROR(__xludf.DUMMYFUNCTION("""COMPUTED_VALUE"""),"")</f>
        <v/>
      </c>
      <c r="T31" s="2" t="str">
        <f ca="1">IFERROR(__xludf.DUMMYFUNCTION("""COMPUTED_VALUE"""),"")</f>
        <v/>
      </c>
      <c r="U31" s="2" t="str">
        <f ca="1">IFERROR(__xludf.DUMMYFUNCTION("""COMPUTED_VALUE"""),"")</f>
        <v/>
      </c>
      <c r="V31" s="2" t="str">
        <f ca="1">IFERROR(__xludf.DUMMYFUNCTION("""COMPUTED_VALUE"""),"")</f>
        <v/>
      </c>
      <c r="W31" s="2" t="str">
        <f ca="1">IFERROR(__xludf.DUMMYFUNCTION("""COMPUTED_VALUE"""),"")</f>
        <v/>
      </c>
      <c r="X31" s="2" t="str">
        <f ca="1">IFERROR(__xludf.DUMMYFUNCTION("""COMPUTED_VALUE"""),"")</f>
        <v/>
      </c>
      <c r="Y31" s="2" t="str">
        <f ca="1">IFERROR(__xludf.DUMMYFUNCTION("""COMPUTED_VALUE"""),"")</f>
        <v/>
      </c>
      <c r="Z31" s="2" t="str">
        <f ca="1">IFERROR(__xludf.DUMMYFUNCTION("""COMPUTED_VALUE"""),"")</f>
        <v/>
      </c>
      <c r="AA31" s="2">
        <f ca="1">IFERROR(__xludf.DUMMYFUNCTION("""COMPUTED_VALUE"""),1781116)</f>
        <v>1781116</v>
      </c>
      <c r="AB31" s="2">
        <f ca="1">IFERROR(__xludf.DUMMYFUNCTION("""COMPUTED_VALUE"""),5874218)</f>
        <v>5874218</v>
      </c>
      <c r="AC31" s="2">
        <f ca="1">IFERROR(__xludf.DUMMYFUNCTION("""COMPUTED_VALUE"""),46)</f>
        <v>46</v>
      </c>
      <c r="AD31" s="2" t="str">
        <f ca="1">IFERROR(__xludf.DUMMYFUNCTION("""COMPUTED_VALUE"""),"Strong - I got a lovely, clear, strong signal.")</f>
        <v>Strong - I got a lovely, clear, strong signal.</v>
      </c>
      <c r="AE31" s="2">
        <f ca="1">IFERROR(__xludf.DUMMYFUNCTION("""COMPUTED_VALUE"""),1781624)</f>
        <v>1781624</v>
      </c>
      <c r="AF31" s="2">
        <f ca="1">IFERROR(__xludf.DUMMYFUNCTION("""COMPUTED_VALUE"""),5874185)</f>
        <v>5874185</v>
      </c>
      <c r="AG31" s="2">
        <f ca="1">IFERROR(__xludf.DUMMYFUNCTION("""COMPUTED_VALUE"""),327)</f>
        <v>327</v>
      </c>
      <c r="AH31" s="2" t="str">
        <f ca="1">IFERROR(__xludf.DUMMYFUNCTION("""COMPUTED_VALUE"""),"Strong - I got a lovely, clear, strong signal.")</f>
        <v>Strong - I got a lovely, clear, strong signal.</v>
      </c>
      <c r="AI31" s="2">
        <f ca="1">IFERROR(__xludf.DUMMYFUNCTION("""COMPUTED_VALUE"""),1782383)</f>
        <v>1782383</v>
      </c>
      <c r="AJ31" s="2">
        <f ca="1">IFERROR(__xludf.DUMMYFUNCTION("""COMPUTED_VALUE"""),5874341)</f>
        <v>5874341</v>
      </c>
      <c r="AK31" s="2">
        <f ca="1">IFERROR(__xludf.DUMMYFUNCTION("""COMPUTED_VALUE"""),252)</f>
        <v>252</v>
      </c>
      <c r="AL31" s="2" t="str">
        <f ca="1">IFERROR(__xludf.DUMMYFUNCTION("""COMPUTED_VALUE"""),"Strong - I got a lovely, clear, strong signal.")</f>
        <v>Strong - I got a lovely, clear, strong signal.</v>
      </c>
      <c r="AM31" s="2" t="str">
        <f ca="1">IFERROR(__xludf.DUMMYFUNCTION("""COMPUTED_VALUE"""),"")</f>
        <v/>
      </c>
      <c r="AN31" s="2" t="str">
        <f ca="1">IFERROR(__xludf.DUMMYFUNCTION("""COMPUTED_VALUE"""),"")</f>
        <v/>
      </c>
      <c r="AO31" s="2" t="str">
        <f ca="1">IFERROR(__xludf.DUMMYFUNCTION("""COMPUTED_VALUE"""),"")</f>
        <v/>
      </c>
      <c r="AP31" s="2" t="str">
        <f ca="1">IFERROR(__xludf.DUMMYFUNCTION("""COMPUTED_VALUE"""),"")</f>
        <v/>
      </c>
      <c r="AQ31" s="2" t="str">
        <f ca="1">IFERROR(__xludf.DUMMYFUNCTION("""COMPUTED_VALUE"""),"")</f>
        <v/>
      </c>
      <c r="AR31" s="2" t="str">
        <f ca="1">IFERROR(__xludf.DUMMYFUNCTION("""COMPUTED_VALUE"""),"")</f>
        <v/>
      </c>
      <c r="AS31" s="2" t="str">
        <f ca="1">IFERROR(__xludf.DUMMYFUNCTION("""COMPUTED_VALUE"""),"")</f>
        <v/>
      </c>
      <c r="AT31" s="2" t="str">
        <f ca="1">IFERROR(__xludf.DUMMYFUNCTION("""COMPUTED_VALUE"""),"")</f>
        <v/>
      </c>
      <c r="AU31" s="2" t="str">
        <f ca="1">IFERROR(__xludf.DUMMYFUNCTION("""COMPUTED_VALUE"""),"No")</f>
        <v>No</v>
      </c>
      <c r="AV31" s="2" t="str">
        <f ca="1">IFERROR(__xludf.DUMMYFUNCTION("""COMPUTED_VALUE"""),"")</f>
        <v/>
      </c>
      <c r="AW31" s="2" t="str">
        <f ca="1">IFERROR(__xludf.DUMMYFUNCTION("""COMPUTED_VALUE"""),"")</f>
        <v/>
      </c>
      <c r="AX31" s="2" t="str">
        <f ca="1">IFERROR(__xludf.DUMMYFUNCTION("""COMPUTED_VALUE"""),"")</f>
        <v/>
      </c>
      <c r="AY31" s="2" t="str">
        <f ca="1">IFERROR(__xludf.DUMMYFUNCTION("""COMPUTED_VALUE"""),"")</f>
        <v/>
      </c>
      <c r="AZ31" s="2" t="str">
        <f ca="1">IFERROR(__xludf.DUMMYFUNCTION("""COMPUTED_VALUE"""),"")</f>
        <v/>
      </c>
      <c r="BA31" s="2" t="str">
        <f ca="1">IFERROR(__xludf.DUMMYFUNCTION("""COMPUTED_VALUE"""),"")</f>
        <v/>
      </c>
      <c r="BB31" s="2" t="str">
        <f ca="1">IFERROR(__xludf.DUMMYFUNCTION("""COMPUTED_VALUE"""),"")</f>
        <v/>
      </c>
      <c r="BC31" s="2" t="str">
        <f ca="1">IFERROR(__xludf.DUMMYFUNCTION("""COMPUTED_VALUE"""),"")</f>
        <v/>
      </c>
      <c r="BD31" s="2" t="str">
        <f ca="1">IFERROR(__xludf.DUMMYFUNCTION("""COMPUTED_VALUE"""),"")</f>
        <v/>
      </c>
      <c r="BE31" s="2" t="str">
        <f ca="1">IFERROR(__xludf.DUMMYFUNCTION("""COMPUTED_VALUE"""),"")</f>
        <v/>
      </c>
      <c r="BF31" t="str">
        <f ca="1">IFERROR(__xludf.DUMMYFUNCTION("""COMPUTED_VALUE"""),"")</f>
        <v/>
      </c>
      <c r="BG31" t="str">
        <f ca="1">IFERROR(__xludf.DUMMYFUNCTION("""COMPUTED_VALUE"""),"")</f>
        <v/>
      </c>
      <c r="BH31" s="2" t="str">
        <f ca="1">IFERROR(__xludf.DUMMYFUNCTION("""COMPUTED_VALUE"""),"")</f>
        <v/>
      </c>
      <c r="BI31" s="12" t="str">
        <f ca="1">IFERROR(__xludf.DUMMYFUNCTION("""COMPUTED_VALUE"""),"")</f>
        <v/>
      </c>
      <c r="BJ31" s="9" t="str">
        <f ca="1">IFERROR(__xludf.DUMMYFUNCTION("""COMPUTED_VALUE"""),"")</f>
        <v/>
      </c>
      <c r="BK31" s="4" t="str">
        <f ca="1">IFERROR(__xludf.DUMMYFUNCTION("""COMPUTED_VALUE"""),"")</f>
        <v/>
      </c>
    </row>
    <row r="32" spans="1:63" ht="12.5" x14ac:dyDescent="0.25">
      <c r="A32" s="7">
        <f ca="1">IFERROR(__xludf.DUMMYFUNCTION("""COMPUTED_VALUE"""),43437.3561325115)</f>
        <v>43437.356132511501</v>
      </c>
      <c r="B32" s="8" t="str">
        <f ca="1">IFERROR(__xludf.DUMMYFUNCTION("""COMPUTED_VALUE"""),"Waikato")</f>
        <v>Waikato</v>
      </c>
      <c r="C32" s="2" t="str">
        <f ca="1">IFERROR(__xludf.DUMMYFUNCTION("""COMPUTED_VALUE"""),"")</f>
        <v/>
      </c>
      <c r="D32" s="9">
        <f ca="1">IFERROR(__xludf.DUMMYFUNCTION("""COMPUTED_VALUE"""),43418)</f>
        <v>43418</v>
      </c>
      <c r="E32" s="4">
        <f ca="1">IFERROR(__xludf.DUMMYFUNCTION("""COMPUTED_VALUE"""),0.45833333333212)</f>
        <v>0.45833333333212001</v>
      </c>
      <c r="F32" s="2" t="str">
        <f ca="1">IFERROR(__xludf.DUMMYFUNCTION("""COMPUTED_VALUE"""),"Not found")</f>
        <v>Not found</v>
      </c>
      <c r="G32" s="2" t="str">
        <f ca="1">IFERROR(__xludf.DUMMYFUNCTION("""COMPUTED_VALUE"""),"None: I listened for the bird but was unable to find it")</f>
        <v>None: I listened for the bird but was unable to find it</v>
      </c>
      <c r="H32" s="2" t="str">
        <f ca="1">IFERROR(__xludf.DUMMYFUNCTION("""COMPUTED_VALUE"""),"")</f>
        <v/>
      </c>
      <c r="I32" s="2" t="str">
        <f ca="1">IFERROR(__xludf.DUMMYFUNCTION("""COMPUTED_VALUE"""),"")</f>
        <v/>
      </c>
      <c r="J32" s="2" t="str">
        <f ca="1">IFERROR(__xludf.DUMMYFUNCTION("""COMPUTED_VALUE"""),"")</f>
        <v/>
      </c>
      <c r="K32" s="2" t="str">
        <f ca="1">IFERROR(__xludf.DUMMYFUNCTION("""COMPUTED_VALUE"""),"")</f>
        <v/>
      </c>
      <c r="L32" s="2" t="str">
        <f ca="1">IFERROR(__xludf.DUMMYFUNCTION("""COMPUTED_VALUE"""),"")</f>
        <v/>
      </c>
      <c r="M32" s="5" t="str">
        <f ca="1">IFERROR(__xludf.DUMMYFUNCTION("""COMPUTED_VALUE"""),"")</f>
        <v/>
      </c>
      <c r="N32" s="5" t="str">
        <f ca="1">IFERROR(__xludf.DUMMYFUNCTION("""COMPUTED_VALUE"""),"")</f>
        <v/>
      </c>
      <c r="O32" s="2" t="str">
        <f ca="1">IFERROR(__xludf.DUMMYFUNCTION("""COMPUTED_VALUE"""),"")</f>
        <v/>
      </c>
      <c r="P32" s="2" t="str">
        <f ca="1">IFERROR(__xludf.DUMMYFUNCTION("""COMPUTED_VALUE"""),"")</f>
        <v/>
      </c>
      <c r="Q32" s="2" t="str">
        <f ca="1">IFERROR(__xludf.DUMMYFUNCTION("""COMPUTED_VALUE"""),"")</f>
        <v/>
      </c>
      <c r="R32" s="2" t="str">
        <f ca="1">IFERROR(__xludf.DUMMYFUNCTION("""COMPUTED_VALUE"""),"")</f>
        <v/>
      </c>
      <c r="S32" s="2" t="str">
        <f ca="1">IFERROR(__xludf.DUMMYFUNCTION("""COMPUTED_VALUE"""),"")</f>
        <v/>
      </c>
      <c r="T32" s="2" t="str">
        <f ca="1">IFERROR(__xludf.DUMMYFUNCTION("""COMPUTED_VALUE"""),"")</f>
        <v/>
      </c>
      <c r="U32" s="2" t="str">
        <f ca="1">IFERROR(__xludf.DUMMYFUNCTION("""COMPUTED_VALUE"""),"")</f>
        <v/>
      </c>
      <c r="V32" s="2" t="str">
        <f ca="1">IFERROR(__xludf.DUMMYFUNCTION("""COMPUTED_VALUE"""),"")</f>
        <v/>
      </c>
      <c r="W32" s="2" t="str">
        <f ca="1">IFERROR(__xludf.DUMMYFUNCTION("""COMPUTED_VALUE"""),"")</f>
        <v/>
      </c>
      <c r="X32" s="2" t="str">
        <f ca="1">IFERROR(__xludf.DUMMYFUNCTION("""COMPUTED_VALUE"""),"")</f>
        <v/>
      </c>
      <c r="Y32" s="2" t="str">
        <f ca="1">IFERROR(__xludf.DUMMYFUNCTION("""COMPUTED_VALUE"""),"")</f>
        <v/>
      </c>
      <c r="Z32" s="2" t="str">
        <f ca="1">IFERROR(__xludf.DUMMYFUNCTION("""COMPUTED_VALUE"""),"")</f>
        <v/>
      </c>
      <c r="AA32" s="2" t="str">
        <f ca="1">IFERROR(__xludf.DUMMYFUNCTION("""COMPUTED_VALUE"""),"")</f>
        <v/>
      </c>
      <c r="AB32" s="2" t="str">
        <f ca="1">IFERROR(__xludf.DUMMYFUNCTION("""COMPUTED_VALUE"""),"")</f>
        <v/>
      </c>
      <c r="AC32" s="2" t="str">
        <f ca="1">IFERROR(__xludf.DUMMYFUNCTION("""COMPUTED_VALUE"""),"")</f>
        <v/>
      </c>
      <c r="AD32" s="2" t="str">
        <f ca="1">IFERROR(__xludf.DUMMYFUNCTION("""COMPUTED_VALUE"""),"")</f>
        <v/>
      </c>
      <c r="AE32" s="2" t="str">
        <f ca="1">IFERROR(__xludf.DUMMYFUNCTION("""COMPUTED_VALUE"""),"")</f>
        <v/>
      </c>
      <c r="AF32" s="2" t="str">
        <f ca="1">IFERROR(__xludf.DUMMYFUNCTION("""COMPUTED_VALUE"""),"")</f>
        <v/>
      </c>
      <c r="AG32" s="2" t="str">
        <f ca="1">IFERROR(__xludf.DUMMYFUNCTION("""COMPUTED_VALUE"""),"")</f>
        <v/>
      </c>
      <c r="AH32" s="2" t="str">
        <f ca="1">IFERROR(__xludf.DUMMYFUNCTION("""COMPUTED_VALUE"""),"")</f>
        <v/>
      </c>
      <c r="AI32" s="2" t="str">
        <f ca="1">IFERROR(__xludf.DUMMYFUNCTION("""COMPUTED_VALUE"""),"")</f>
        <v/>
      </c>
      <c r="AJ32" s="2" t="str">
        <f ca="1">IFERROR(__xludf.DUMMYFUNCTION("""COMPUTED_VALUE"""),"")</f>
        <v/>
      </c>
      <c r="AK32" s="2" t="str">
        <f ca="1">IFERROR(__xludf.DUMMYFUNCTION("""COMPUTED_VALUE"""),"")</f>
        <v/>
      </c>
      <c r="AL32" s="2" t="str">
        <f ca="1">IFERROR(__xludf.DUMMYFUNCTION("""COMPUTED_VALUE"""),"")</f>
        <v/>
      </c>
      <c r="AM32" s="2" t="str">
        <f ca="1">IFERROR(__xludf.DUMMYFUNCTION("""COMPUTED_VALUE"""),"")</f>
        <v/>
      </c>
      <c r="AN32" s="2" t="str">
        <f ca="1">IFERROR(__xludf.DUMMYFUNCTION("""COMPUTED_VALUE"""),"")</f>
        <v/>
      </c>
      <c r="AO32" s="2" t="str">
        <f ca="1">IFERROR(__xludf.DUMMYFUNCTION("""COMPUTED_VALUE"""),"")</f>
        <v/>
      </c>
      <c r="AP32" s="2" t="str">
        <f ca="1">IFERROR(__xludf.DUMMYFUNCTION("""COMPUTED_VALUE"""),"")</f>
        <v/>
      </c>
      <c r="AQ32" s="2" t="str">
        <f ca="1">IFERROR(__xludf.DUMMYFUNCTION("""COMPUTED_VALUE"""),"")</f>
        <v/>
      </c>
      <c r="AR32" s="2" t="str">
        <f ca="1">IFERROR(__xludf.DUMMYFUNCTION("""COMPUTED_VALUE"""),"")</f>
        <v/>
      </c>
      <c r="AS32" s="2" t="str">
        <f ca="1">IFERROR(__xludf.DUMMYFUNCTION("""COMPUTED_VALUE"""),"")</f>
        <v/>
      </c>
      <c r="AT32" s="2" t="str">
        <f ca="1">IFERROR(__xludf.DUMMYFUNCTION("""COMPUTED_VALUE"""),"")</f>
        <v/>
      </c>
      <c r="AU32" s="2" t="str">
        <f ca="1">IFERROR(__xludf.DUMMYFUNCTION("""COMPUTED_VALUE"""),"")</f>
        <v/>
      </c>
      <c r="AV32" s="2" t="str">
        <f ca="1">IFERROR(__xludf.DUMMYFUNCTION("""COMPUTED_VALUE"""),"")</f>
        <v/>
      </c>
      <c r="AW32" s="2" t="str">
        <f ca="1">IFERROR(__xludf.DUMMYFUNCTION("""COMPUTED_VALUE"""),"")</f>
        <v/>
      </c>
      <c r="AX32" s="2" t="str">
        <f ca="1">IFERROR(__xludf.DUMMYFUNCTION("""COMPUTED_VALUE"""),"")</f>
        <v/>
      </c>
      <c r="AY32" s="2" t="str">
        <f ca="1">IFERROR(__xludf.DUMMYFUNCTION("""COMPUTED_VALUE"""),"")</f>
        <v/>
      </c>
      <c r="AZ32" s="2" t="str">
        <f ca="1">IFERROR(__xludf.DUMMYFUNCTION("""COMPUTED_VALUE"""),"")</f>
        <v/>
      </c>
      <c r="BA32" s="2" t="str">
        <f ca="1">IFERROR(__xludf.DUMMYFUNCTION("""COMPUTED_VALUE"""),"")</f>
        <v/>
      </c>
      <c r="BB32" s="2" t="str">
        <f ca="1">IFERROR(__xludf.DUMMYFUNCTION("""COMPUTED_VALUE"""),"")</f>
        <v/>
      </c>
      <c r="BC32" s="2" t="str">
        <f ca="1">IFERROR(__xludf.DUMMYFUNCTION("""COMPUTED_VALUE"""),"")</f>
        <v/>
      </c>
      <c r="BD32" s="2" t="str">
        <f ca="1">IFERROR(__xludf.DUMMYFUNCTION("""COMPUTED_VALUE"""),"Whangamarino, Dean wetland")</f>
        <v>Whangamarino, Dean wetland</v>
      </c>
      <c r="BE32" s="2" t="str">
        <f ca="1">IFERROR(__xludf.DUMMYFUNCTION("""COMPUTED_VALUE"""),"No")</f>
        <v>No</v>
      </c>
      <c r="BF32" t="str">
        <f ca="1">IFERROR(__xludf.DUMMYFUNCTION("""COMPUTED_VALUE"""),"")</f>
        <v/>
      </c>
      <c r="BG32" t="str">
        <f ca="1">IFERROR(__xludf.DUMMYFUNCTION("""COMPUTED_VALUE"""),"")</f>
        <v/>
      </c>
      <c r="BH32" s="2" t="str">
        <f ca="1">IFERROR(__xludf.DUMMYFUNCTION("""COMPUTED_VALUE"""),"")</f>
        <v/>
      </c>
      <c r="BI32" s="13" t="str">
        <f ca="1">IFERROR(__xludf.DUMMYFUNCTION("""COMPUTED_VALUE"""),"")</f>
        <v/>
      </c>
      <c r="BJ32" s="9" t="str">
        <f ca="1">IFERROR(__xludf.DUMMYFUNCTION("""COMPUTED_VALUE"""),"")</f>
        <v/>
      </c>
      <c r="BK32" s="4" t="str">
        <f ca="1">IFERROR(__xludf.DUMMYFUNCTION("""COMPUTED_VALUE"""),"")</f>
        <v/>
      </c>
    </row>
    <row r="33" spans="1:63" ht="12.5" x14ac:dyDescent="0.25">
      <c r="A33" s="7">
        <f ca="1">IFERROR(__xludf.DUMMYFUNCTION("""COMPUTED_VALUE"""),43437.3968024074)</f>
        <v>43437.396802407398</v>
      </c>
      <c r="B33" s="8" t="str">
        <f ca="1">IFERROR(__xludf.DUMMYFUNCTION("""COMPUTED_VALUE"""),"Waikato")</f>
        <v>Waikato</v>
      </c>
      <c r="C33" s="2" t="str">
        <f ca="1">IFERROR(__xludf.DUMMYFUNCTION("""COMPUTED_VALUE"""),"")</f>
        <v/>
      </c>
      <c r="D33" s="9">
        <f ca="1">IFERROR(__xludf.DUMMYFUNCTION("""COMPUTED_VALUE"""),43418)</f>
        <v>43418</v>
      </c>
      <c r="E33" s="4">
        <f ca="1">IFERROR(__xludf.DUMMYFUNCTION("""COMPUTED_VALUE"""),0.39583333333212)</f>
        <v>0.39583333333212001</v>
      </c>
      <c r="F33" s="2" t="str">
        <f ca="1">IFERROR(__xludf.DUMMYFUNCTION("""COMPUTED_VALUE"""),"Whangamarino Eastern F&amp;G block (Falls Rd)")</f>
        <v>Whangamarino Eastern F&amp;G block (Falls Rd)</v>
      </c>
      <c r="G33" s="2" t="str">
        <f ca="1">IFERROR(__xludf.DUMMYFUNCTION("""COMPUTED_VALUE"""),"VHF (triangulation): I triangulated the bird with at least three bearings")</f>
        <v>VHF (triangulation): I triangulated the bird with at least three bearings</v>
      </c>
      <c r="H33" s="2" t="str">
        <f ca="1">IFERROR(__xludf.DUMMYFUNCTION("""COMPUTED_VALUE"""),"")</f>
        <v/>
      </c>
      <c r="I33" s="2" t="str">
        <f ca="1">IFERROR(__xludf.DUMMYFUNCTION("""COMPUTED_VALUE"""),"")</f>
        <v/>
      </c>
      <c r="J33" s="2" t="str">
        <f ca="1">IFERROR(__xludf.DUMMYFUNCTION("""COMPUTED_VALUE"""),"")</f>
        <v/>
      </c>
      <c r="K33" s="2" t="str">
        <f ca="1">IFERROR(__xludf.DUMMYFUNCTION("""COMPUTED_VALUE"""),"")</f>
        <v/>
      </c>
      <c r="L33" s="2" t="str">
        <f ca="1">IFERROR(__xludf.DUMMYFUNCTION("""COMPUTED_VALUE"""),"")</f>
        <v/>
      </c>
      <c r="M33" s="5" t="str">
        <f ca="1">IFERROR(__xludf.DUMMYFUNCTION("""COMPUTED_VALUE"""),"")</f>
        <v/>
      </c>
      <c r="N33" s="5" t="str">
        <f ca="1">IFERROR(__xludf.DUMMYFUNCTION("""COMPUTED_VALUE"""),"")</f>
        <v/>
      </c>
      <c r="O33" s="2" t="str">
        <f ca="1">IFERROR(__xludf.DUMMYFUNCTION("""COMPUTED_VALUE"""),"")</f>
        <v/>
      </c>
      <c r="P33" s="2" t="str">
        <f ca="1">IFERROR(__xludf.DUMMYFUNCTION("""COMPUTED_VALUE"""),"")</f>
        <v/>
      </c>
      <c r="Q33" s="2" t="str">
        <f ca="1">IFERROR(__xludf.DUMMYFUNCTION("""COMPUTED_VALUE"""),"")</f>
        <v/>
      </c>
      <c r="R33" s="2" t="str">
        <f ca="1">IFERROR(__xludf.DUMMYFUNCTION("""COMPUTED_VALUE"""),"")</f>
        <v/>
      </c>
      <c r="S33" s="2" t="str">
        <f ca="1">IFERROR(__xludf.DUMMYFUNCTION("""COMPUTED_VALUE"""),"")</f>
        <v/>
      </c>
      <c r="T33" s="2" t="str">
        <f ca="1">IFERROR(__xludf.DUMMYFUNCTION("""COMPUTED_VALUE"""),"")</f>
        <v/>
      </c>
      <c r="U33" s="2" t="str">
        <f ca="1">IFERROR(__xludf.DUMMYFUNCTION("""COMPUTED_VALUE"""),"")</f>
        <v/>
      </c>
      <c r="V33" s="2" t="str">
        <f ca="1">IFERROR(__xludf.DUMMYFUNCTION("""COMPUTED_VALUE"""),"")</f>
        <v/>
      </c>
      <c r="W33" s="2" t="str">
        <f ca="1">IFERROR(__xludf.DUMMYFUNCTION("""COMPUTED_VALUE"""),"")</f>
        <v/>
      </c>
      <c r="X33" s="2" t="str">
        <f ca="1">IFERROR(__xludf.DUMMYFUNCTION("""COMPUTED_VALUE"""),"")</f>
        <v/>
      </c>
      <c r="Y33" s="2" t="str">
        <f ca="1">IFERROR(__xludf.DUMMYFUNCTION("""COMPUTED_VALUE"""),"")</f>
        <v/>
      </c>
      <c r="Z33" s="2" t="str">
        <f ca="1">IFERROR(__xludf.DUMMYFUNCTION("""COMPUTED_VALUE"""),"")</f>
        <v/>
      </c>
      <c r="AA33" s="2">
        <f ca="1">IFERROR(__xludf.DUMMYFUNCTION("""COMPUTED_VALUE"""),1792006)</f>
        <v>1792006</v>
      </c>
      <c r="AB33" s="2">
        <f ca="1">IFERROR(__xludf.DUMMYFUNCTION("""COMPUTED_VALUE"""),5864913)</f>
        <v>5864913</v>
      </c>
      <c r="AC33" s="2">
        <f ca="1">IFERROR(__xludf.DUMMYFUNCTION("""COMPUTED_VALUE"""),198)</f>
        <v>198</v>
      </c>
      <c r="AD33" s="2" t="str">
        <f ca="1">IFERROR(__xludf.DUMMYFUNCTION("""COMPUTED_VALUE"""),"Strong - I got a lovely, clear, strong signal.")</f>
        <v>Strong - I got a lovely, clear, strong signal.</v>
      </c>
      <c r="AE33" s="2">
        <f ca="1">IFERROR(__xludf.DUMMYFUNCTION("""COMPUTED_VALUE"""),1791872)</f>
        <v>1791872</v>
      </c>
      <c r="AF33" s="2">
        <f ca="1">IFERROR(__xludf.DUMMYFUNCTION("""COMPUTED_VALUE"""),5864906)</f>
        <v>5864906</v>
      </c>
      <c r="AG33" s="2">
        <f ca="1">IFERROR(__xludf.DUMMYFUNCTION("""COMPUTED_VALUE"""),165)</f>
        <v>165</v>
      </c>
      <c r="AH33" s="2" t="str">
        <f ca="1">IFERROR(__xludf.DUMMYFUNCTION("""COMPUTED_VALUE"""),"Strong - I got a lovely, clear, strong signal.")</f>
        <v>Strong - I got a lovely, clear, strong signal.</v>
      </c>
      <c r="AI33" s="2">
        <f ca="1">IFERROR(__xludf.DUMMYFUNCTION("""COMPUTED_VALUE"""),1791785)</f>
        <v>1791785</v>
      </c>
      <c r="AJ33" s="2">
        <f ca="1">IFERROR(__xludf.DUMMYFUNCTION("""COMPUTED_VALUE"""),5864866)</f>
        <v>5864866</v>
      </c>
      <c r="AK33" s="2">
        <f ca="1">IFERROR(__xludf.DUMMYFUNCTION("""COMPUTED_VALUE"""),127)</f>
        <v>127</v>
      </c>
      <c r="AL33" s="2" t="str">
        <f ca="1">IFERROR(__xludf.DUMMYFUNCTION("""COMPUTED_VALUE"""),"Strong - I got a lovely, clear, strong signal.")</f>
        <v>Strong - I got a lovely, clear, strong signal.</v>
      </c>
      <c r="AM33" s="2">
        <f ca="1">IFERROR(__xludf.DUMMYFUNCTION("""COMPUTED_VALUE"""),1791493)</f>
        <v>1791493</v>
      </c>
      <c r="AN33" s="2">
        <f ca="1">IFERROR(__xludf.DUMMYFUNCTION("""COMPUTED_VALUE"""),5864816)</f>
        <v>5864816</v>
      </c>
      <c r="AO33" s="2">
        <f ca="1">IFERROR(__xludf.DUMMYFUNCTION("""COMPUTED_VALUE"""),79)</f>
        <v>79</v>
      </c>
      <c r="AP33" s="2" t="str">
        <f ca="1">IFERROR(__xludf.DUMMYFUNCTION("""COMPUTED_VALUE"""),"Strong - I got a lovely, clear, strong signal.")</f>
        <v>Strong - I got a lovely, clear, strong signal.</v>
      </c>
      <c r="AQ33" s="2" t="str">
        <f ca="1">IFERROR(__xludf.DUMMYFUNCTION("""COMPUTED_VALUE"""),"")</f>
        <v/>
      </c>
      <c r="AR33" s="2" t="str">
        <f ca="1">IFERROR(__xludf.DUMMYFUNCTION("""COMPUTED_VALUE"""),"")</f>
        <v/>
      </c>
      <c r="AS33" s="2" t="str">
        <f ca="1">IFERROR(__xludf.DUMMYFUNCTION("""COMPUTED_VALUE"""),"")</f>
        <v/>
      </c>
      <c r="AT33" s="2" t="str">
        <f ca="1">IFERROR(__xludf.DUMMYFUNCTION("""COMPUTED_VALUE"""),"")</f>
        <v/>
      </c>
      <c r="AU33" s="2" t="str">
        <f ca="1">IFERROR(__xludf.DUMMYFUNCTION("""COMPUTED_VALUE"""),"No")</f>
        <v>No</v>
      </c>
      <c r="AV33" s="2" t="str">
        <f ca="1">IFERROR(__xludf.DUMMYFUNCTION("""COMPUTED_VALUE"""),"")</f>
        <v/>
      </c>
      <c r="AW33" s="2" t="str">
        <f ca="1">IFERROR(__xludf.DUMMYFUNCTION("""COMPUTED_VALUE"""),"")</f>
        <v/>
      </c>
      <c r="AX33" s="2" t="str">
        <f ca="1">IFERROR(__xludf.DUMMYFUNCTION("""COMPUTED_VALUE"""),"")</f>
        <v/>
      </c>
      <c r="AY33" s="2" t="str">
        <f ca="1">IFERROR(__xludf.DUMMYFUNCTION("""COMPUTED_VALUE"""),"")</f>
        <v/>
      </c>
      <c r="AZ33" s="2" t="str">
        <f ca="1">IFERROR(__xludf.DUMMYFUNCTION("""COMPUTED_VALUE"""),"")</f>
        <v/>
      </c>
      <c r="BA33" s="2" t="str">
        <f ca="1">IFERROR(__xludf.DUMMYFUNCTION("""COMPUTED_VALUE"""),"")</f>
        <v/>
      </c>
      <c r="BB33" s="2" t="str">
        <f ca="1">IFERROR(__xludf.DUMMYFUNCTION("""COMPUTED_VALUE"""),"")</f>
        <v/>
      </c>
      <c r="BC33" s="2" t="str">
        <f ca="1">IFERROR(__xludf.DUMMYFUNCTION("""COMPUTED_VALUE"""),"")</f>
        <v/>
      </c>
      <c r="BD33" s="2" t="str">
        <f ca="1">IFERROR(__xludf.DUMMYFUNCTION("""COMPUTED_VALUE"""),"")</f>
        <v/>
      </c>
      <c r="BE33" s="2" t="str">
        <f ca="1">IFERROR(__xludf.DUMMYFUNCTION("""COMPUTED_VALUE"""),"")</f>
        <v/>
      </c>
      <c r="BF33" t="str">
        <f ca="1">IFERROR(__xludf.DUMMYFUNCTION("""COMPUTED_VALUE"""),"")</f>
        <v/>
      </c>
      <c r="BG33" t="str">
        <f ca="1">IFERROR(__xludf.DUMMYFUNCTION("""COMPUTED_VALUE"""),"")</f>
        <v/>
      </c>
      <c r="BH33" s="2" t="str">
        <f ca="1">IFERROR(__xludf.DUMMYFUNCTION("""COMPUTED_VALUE"""),"")</f>
        <v/>
      </c>
      <c r="BI33" s="12" t="str">
        <f ca="1">IFERROR(__xludf.DUMMYFUNCTION("""COMPUTED_VALUE"""),"")</f>
        <v/>
      </c>
      <c r="BJ33" s="9" t="str">
        <f ca="1">IFERROR(__xludf.DUMMYFUNCTION("""COMPUTED_VALUE"""),"")</f>
        <v/>
      </c>
      <c r="BK33" s="4" t="str">
        <f ca="1">IFERROR(__xludf.DUMMYFUNCTION("""COMPUTED_VALUE"""),"")</f>
        <v/>
      </c>
    </row>
    <row r="34" spans="1:63" ht="12.5" x14ac:dyDescent="0.25">
      <c r="A34" s="7">
        <f ca="1">IFERROR(__xludf.DUMMYFUNCTION("""COMPUTED_VALUE"""),43437.7754984722)</f>
        <v>43437.775498472198</v>
      </c>
      <c r="B34" s="8" t="str">
        <f ca="1">IFERROR(__xludf.DUMMYFUNCTION("""COMPUTED_VALUE"""),"Waikato")</f>
        <v>Waikato</v>
      </c>
      <c r="C34" s="2" t="str">
        <f ca="1">IFERROR(__xludf.DUMMYFUNCTION("""COMPUTED_VALUE"""),"")</f>
        <v/>
      </c>
      <c r="D34" s="9">
        <f ca="1">IFERROR(__xludf.DUMMYFUNCTION("""COMPUTED_VALUE"""),43437)</f>
        <v>43437</v>
      </c>
      <c r="E34" s="4">
        <f ca="1">IFERROR(__xludf.DUMMYFUNCTION("""COMPUTED_VALUE"""),0.58333333333212)</f>
        <v>0.58333333333212001</v>
      </c>
      <c r="F34" s="2" t="str">
        <f ca="1">IFERROR(__xludf.DUMMYFUNCTION("""COMPUTED_VALUE"""),"Lower Kaituna Wildlife Management Reserve")</f>
        <v>Lower Kaituna Wildlife Management Reserve</v>
      </c>
      <c r="G34" s="2" t="str">
        <f ca="1">IFERROR(__xludf.DUMMYFUNCTION("""COMPUTED_VALUE"""),"None: I listened for the bird but was unable to find it")</f>
        <v>None: I listened for the bird but was unable to find it</v>
      </c>
      <c r="H34" s="2" t="str">
        <f ca="1">IFERROR(__xludf.DUMMYFUNCTION("""COMPUTED_VALUE"""),"")</f>
        <v/>
      </c>
      <c r="I34" s="2" t="str">
        <f ca="1">IFERROR(__xludf.DUMMYFUNCTION("""COMPUTED_VALUE"""),"")</f>
        <v/>
      </c>
      <c r="J34" s="2" t="str">
        <f ca="1">IFERROR(__xludf.DUMMYFUNCTION("""COMPUTED_VALUE"""),"")</f>
        <v/>
      </c>
      <c r="K34" s="2" t="str">
        <f ca="1">IFERROR(__xludf.DUMMYFUNCTION("""COMPUTED_VALUE"""),"")</f>
        <v/>
      </c>
      <c r="L34" s="2" t="str">
        <f ca="1">IFERROR(__xludf.DUMMYFUNCTION("""COMPUTED_VALUE"""),"")</f>
        <v/>
      </c>
      <c r="M34" s="5" t="str">
        <f ca="1">IFERROR(__xludf.DUMMYFUNCTION("""COMPUTED_VALUE"""),"")</f>
        <v/>
      </c>
      <c r="N34" s="5" t="str">
        <f ca="1">IFERROR(__xludf.DUMMYFUNCTION("""COMPUTED_VALUE"""),"")</f>
        <v/>
      </c>
      <c r="O34" s="2" t="str">
        <f ca="1">IFERROR(__xludf.DUMMYFUNCTION("""COMPUTED_VALUE"""),"")</f>
        <v/>
      </c>
      <c r="P34" s="2" t="str">
        <f ca="1">IFERROR(__xludf.DUMMYFUNCTION("""COMPUTED_VALUE"""),"")</f>
        <v/>
      </c>
      <c r="Q34" s="2" t="str">
        <f ca="1">IFERROR(__xludf.DUMMYFUNCTION("""COMPUTED_VALUE"""),"")</f>
        <v/>
      </c>
      <c r="R34" s="2" t="str">
        <f ca="1">IFERROR(__xludf.DUMMYFUNCTION("""COMPUTED_VALUE"""),"")</f>
        <v/>
      </c>
      <c r="S34" s="2" t="str">
        <f ca="1">IFERROR(__xludf.DUMMYFUNCTION("""COMPUTED_VALUE"""),"")</f>
        <v/>
      </c>
      <c r="T34" s="2" t="str">
        <f ca="1">IFERROR(__xludf.DUMMYFUNCTION("""COMPUTED_VALUE"""),"")</f>
        <v/>
      </c>
      <c r="U34" s="2" t="str">
        <f ca="1">IFERROR(__xludf.DUMMYFUNCTION("""COMPUTED_VALUE"""),"")</f>
        <v/>
      </c>
      <c r="V34" s="2" t="str">
        <f ca="1">IFERROR(__xludf.DUMMYFUNCTION("""COMPUTED_VALUE"""),"")</f>
        <v/>
      </c>
      <c r="W34" s="2" t="str">
        <f ca="1">IFERROR(__xludf.DUMMYFUNCTION("""COMPUTED_VALUE"""),"")</f>
        <v/>
      </c>
      <c r="X34" s="2" t="str">
        <f ca="1">IFERROR(__xludf.DUMMYFUNCTION("""COMPUTED_VALUE"""),"")</f>
        <v/>
      </c>
      <c r="Y34" s="2" t="str">
        <f ca="1">IFERROR(__xludf.DUMMYFUNCTION("""COMPUTED_VALUE"""),"")</f>
        <v/>
      </c>
      <c r="Z34" s="2" t="str">
        <f ca="1">IFERROR(__xludf.DUMMYFUNCTION("""COMPUTED_VALUE"""),"")</f>
        <v/>
      </c>
      <c r="AA34" s="2" t="str">
        <f ca="1">IFERROR(__xludf.DUMMYFUNCTION("""COMPUTED_VALUE"""),"")</f>
        <v/>
      </c>
      <c r="AB34" s="2" t="str">
        <f ca="1">IFERROR(__xludf.DUMMYFUNCTION("""COMPUTED_VALUE"""),"")</f>
        <v/>
      </c>
      <c r="AC34" s="2" t="str">
        <f ca="1">IFERROR(__xludf.DUMMYFUNCTION("""COMPUTED_VALUE"""),"")</f>
        <v/>
      </c>
      <c r="AD34" s="2" t="str">
        <f ca="1">IFERROR(__xludf.DUMMYFUNCTION("""COMPUTED_VALUE"""),"")</f>
        <v/>
      </c>
      <c r="AE34" s="2" t="str">
        <f ca="1">IFERROR(__xludf.DUMMYFUNCTION("""COMPUTED_VALUE"""),"")</f>
        <v/>
      </c>
      <c r="AF34" s="2" t="str">
        <f ca="1">IFERROR(__xludf.DUMMYFUNCTION("""COMPUTED_VALUE"""),"")</f>
        <v/>
      </c>
      <c r="AG34" s="2" t="str">
        <f ca="1">IFERROR(__xludf.DUMMYFUNCTION("""COMPUTED_VALUE"""),"")</f>
        <v/>
      </c>
      <c r="AH34" s="2" t="str">
        <f ca="1">IFERROR(__xludf.DUMMYFUNCTION("""COMPUTED_VALUE"""),"")</f>
        <v/>
      </c>
      <c r="AI34" s="2" t="str">
        <f ca="1">IFERROR(__xludf.DUMMYFUNCTION("""COMPUTED_VALUE"""),"")</f>
        <v/>
      </c>
      <c r="AJ34" s="2" t="str">
        <f ca="1">IFERROR(__xludf.DUMMYFUNCTION("""COMPUTED_VALUE"""),"")</f>
        <v/>
      </c>
      <c r="AK34" s="2" t="str">
        <f ca="1">IFERROR(__xludf.DUMMYFUNCTION("""COMPUTED_VALUE"""),"")</f>
        <v/>
      </c>
      <c r="AL34" s="2" t="str">
        <f ca="1">IFERROR(__xludf.DUMMYFUNCTION("""COMPUTED_VALUE"""),"")</f>
        <v/>
      </c>
      <c r="AM34" s="2" t="str">
        <f ca="1">IFERROR(__xludf.DUMMYFUNCTION("""COMPUTED_VALUE"""),"")</f>
        <v/>
      </c>
      <c r="AN34" s="2" t="str">
        <f ca="1">IFERROR(__xludf.DUMMYFUNCTION("""COMPUTED_VALUE"""),"")</f>
        <v/>
      </c>
      <c r="AO34" s="2" t="str">
        <f ca="1">IFERROR(__xludf.DUMMYFUNCTION("""COMPUTED_VALUE"""),"")</f>
        <v/>
      </c>
      <c r="AP34" s="2" t="str">
        <f ca="1">IFERROR(__xludf.DUMMYFUNCTION("""COMPUTED_VALUE"""),"")</f>
        <v/>
      </c>
      <c r="AQ34" s="2" t="str">
        <f ca="1">IFERROR(__xludf.DUMMYFUNCTION("""COMPUTED_VALUE"""),"")</f>
        <v/>
      </c>
      <c r="AR34" s="2" t="str">
        <f ca="1">IFERROR(__xludf.DUMMYFUNCTION("""COMPUTED_VALUE"""),"")</f>
        <v/>
      </c>
      <c r="AS34" s="2" t="str">
        <f ca="1">IFERROR(__xludf.DUMMYFUNCTION("""COMPUTED_VALUE"""),"")</f>
        <v/>
      </c>
      <c r="AT34" s="2" t="str">
        <f ca="1">IFERROR(__xludf.DUMMYFUNCTION("""COMPUTED_VALUE"""),"")</f>
        <v/>
      </c>
      <c r="AU34" s="2" t="str">
        <f ca="1">IFERROR(__xludf.DUMMYFUNCTION("""COMPUTED_VALUE"""),"")</f>
        <v/>
      </c>
      <c r="AV34" s="2" t="str">
        <f ca="1">IFERROR(__xludf.DUMMYFUNCTION("""COMPUTED_VALUE"""),"")</f>
        <v/>
      </c>
      <c r="AW34" s="2" t="str">
        <f ca="1">IFERROR(__xludf.DUMMYFUNCTION("""COMPUTED_VALUE"""),"")</f>
        <v/>
      </c>
      <c r="AX34" s="2" t="str">
        <f ca="1">IFERROR(__xludf.DUMMYFUNCTION("""COMPUTED_VALUE"""),"")</f>
        <v/>
      </c>
      <c r="AY34" s="2" t="str">
        <f ca="1">IFERROR(__xludf.DUMMYFUNCTION("""COMPUTED_VALUE"""),"")</f>
        <v/>
      </c>
      <c r="AZ34" s="2" t="str">
        <f ca="1">IFERROR(__xludf.DUMMYFUNCTION("""COMPUTED_VALUE"""),"")</f>
        <v/>
      </c>
      <c r="BA34" s="2" t="str">
        <f ca="1">IFERROR(__xludf.DUMMYFUNCTION("""COMPUTED_VALUE"""),"")</f>
        <v/>
      </c>
      <c r="BB34" s="2" t="str">
        <f ca="1">IFERROR(__xludf.DUMMYFUNCTION("""COMPUTED_VALUE"""),"")</f>
        <v/>
      </c>
      <c r="BC34" s="2" t="str">
        <f ca="1">IFERROR(__xludf.DUMMYFUNCTION("""COMPUTED_VALUE"""),"")</f>
        <v/>
      </c>
      <c r="BD34" s="2" t="str">
        <f ca="1">IFERROR(__xludf.DUMMYFUNCTION("""COMPUTED_VALUE"""),"Lower Kaituna Wildlife Management Reserve ( drove around stop bank no signal)  also listened for at Little Waihi ")</f>
        <v xml:space="preserve">Lower Kaituna Wildlife Management Reserve ( drove around stop bank no signal)  also listened for at Little Waihi </v>
      </c>
      <c r="BE34" s="2" t="str">
        <f ca="1">IFERROR(__xludf.DUMMYFUNCTION("""COMPUTED_VALUE"""),"Karl McCarthy - note saw 3 other bittern at Kaituna WMR. 1 sighting a double where size difference between two birds obvious.. ")</f>
        <v xml:space="preserve">Karl McCarthy - note saw 3 other bittern at Kaituna WMR. 1 sighting a double where size difference between two birds obvious.. </v>
      </c>
      <c r="BF34" t="str">
        <f ca="1">IFERROR(__xludf.DUMMYFUNCTION("""COMPUTED_VALUE"""),"")</f>
        <v/>
      </c>
      <c r="BG34" t="str">
        <f ca="1">IFERROR(__xludf.DUMMYFUNCTION("""COMPUTED_VALUE"""),"")</f>
        <v/>
      </c>
      <c r="BH34" s="2" t="str">
        <f ca="1">IFERROR(__xludf.DUMMYFUNCTION("""COMPUTED_VALUE"""),"")</f>
        <v/>
      </c>
      <c r="BI34" s="13" t="str">
        <f ca="1">IFERROR(__xludf.DUMMYFUNCTION("""COMPUTED_VALUE"""),"")</f>
        <v/>
      </c>
      <c r="BJ34" s="9" t="str">
        <f ca="1">IFERROR(__xludf.DUMMYFUNCTION("""COMPUTED_VALUE"""),"")</f>
        <v/>
      </c>
      <c r="BK34" s="4" t="str">
        <f ca="1">IFERROR(__xludf.DUMMYFUNCTION("""COMPUTED_VALUE"""),"")</f>
        <v/>
      </c>
    </row>
    <row r="35" spans="1:63" ht="12.5" x14ac:dyDescent="0.25">
      <c r="A35" s="7">
        <f ca="1">IFERROR(__xludf.DUMMYFUNCTION("""COMPUTED_VALUE"""),43452.5821941319)</f>
        <v>43452.582194131901</v>
      </c>
      <c r="B35" s="8" t="str">
        <f ca="1">IFERROR(__xludf.DUMMYFUNCTION("""COMPUTED_VALUE"""),"Waikato")</f>
        <v>Waikato</v>
      </c>
      <c r="C35" s="2" t="str">
        <f ca="1">IFERROR(__xludf.DUMMYFUNCTION("""COMPUTED_VALUE"""),"")</f>
        <v/>
      </c>
      <c r="D35" s="9">
        <f ca="1">IFERROR(__xludf.DUMMYFUNCTION("""COMPUTED_VALUE"""),43452)</f>
        <v>43452</v>
      </c>
      <c r="E35" s="4">
        <f ca="1">IFERROR(__xludf.DUMMYFUNCTION("""COMPUTED_VALUE"""),0.430555555554747)</f>
        <v>0.430555555554747</v>
      </c>
      <c r="F35" s="2" t="str">
        <f ca="1">IFERROR(__xludf.DUMMYFUNCTION("""COMPUTED_VALUE"""),"Dean Wetland")</f>
        <v>Dean Wetland</v>
      </c>
      <c r="G35" s="2" t="str">
        <f ca="1">IFERROR(__xludf.DUMMYFUNCTION("""COMPUTED_VALUE"""),"VHF (triangulation): I triangulated the bird with at least three bearings")</f>
        <v>VHF (triangulation): I triangulated the bird with at least three bearings</v>
      </c>
      <c r="H35" s="2" t="str">
        <f ca="1">IFERROR(__xludf.DUMMYFUNCTION("""COMPUTED_VALUE"""),"")</f>
        <v/>
      </c>
      <c r="I35" s="2" t="str">
        <f ca="1">IFERROR(__xludf.DUMMYFUNCTION("""COMPUTED_VALUE"""),"")</f>
        <v/>
      </c>
      <c r="J35" s="2" t="str">
        <f ca="1">IFERROR(__xludf.DUMMYFUNCTION("""COMPUTED_VALUE"""),"")</f>
        <v/>
      </c>
      <c r="K35" s="2" t="str">
        <f ca="1">IFERROR(__xludf.DUMMYFUNCTION("""COMPUTED_VALUE"""),"")</f>
        <v/>
      </c>
      <c r="L35" s="2" t="str">
        <f ca="1">IFERROR(__xludf.DUMMYFUNCTION("""COMPUTED_VALUE"""),"")</f>
        <v/>
      </c>
      <c r="M35" s="5" t="str">
        <f ca="1">IFERROR(__xludf.DUMMYFUNCTION("""COMPUTED_VALUE"""),"")</f>
        <v/>
      </c>
      <c r="N35" s="5" t="str">
        <f ca="1">IFERROR(__xludf.DUMMYFUNCTION("""COMPUTED_VALUE"""),"")</f>
        <v/>
      </c>
      <c r="O35" s="2" t="str">
        <f ca="1">IFERROR(__xludf.DUMMYFUNCTION("""COMPUTED_VALUE"""),"")</f>
        <v/>
      </c>
      <c r="P35" s="2" t="str">
        <f ca="1">IFERROR(__xludf.DUMMYFUNCTION("""COMPUTED_VALUE"""),"")</f>
        <v/>
      </c>
      <c r="Q35" s="2" t="str">
        <f ca="1">IFERROR(__xludf.DUMMYFUNCTION("""COMPUTED_VALUE"""),"")</f>
        <v/>
      </c>
      <c r="R35" s="2" t="str">
        <f ca="1">IFERROR(__xludf.DUMMYFUNCTION("""COMPUTED_VALUE"""),"")</f>
        <v/>
      </c>
      <c r="S35" s="2" t="str">
        <f ca="1">IFERROR(__xludf.DUMMYFUNCTION("""COMPUTED_VALUE"""),"")</f>
        <v/>
      </c>
      <c r="T35" s="2" t="str">
        <f ca="1">IFERROR(__xludf.DUMMYFUNCTION("""COMPUTED_VALUE"""),"")</f>
        <v/>
      </c>
      <c r="U35" s="2" t="str">
        <f ca="1">IFERROR(__xludf.DUMMYFUNCTION("""COMPUTED_VALUE"""),"")</f>
        <v/>
      </c>
      <c r="V35" s="2" t="str">
        <f ca="1">IFERROR(__xludf.DUMMYFUNCTION("""COMPUTED_VALUE"""),"")</f>
        <v/>
      </c>
      <c r="W35" s="2" t="str">
        <f ca="1">IFERROR(__xludf.DUMMYFUNCTION("""COMPUTED_VALUE"""),"")</f>
        <v/>
      </c>
      <c r="X35" s="2" t="str">
        <f ca="1">IFERROR(__xludf.DUMMYFUNCTION("""COMPUTED_VALUE"""),"")</f>
        <v/>
      </c>
      <c r="Y35" s="2" t="str">
        <f ca="1">IFERROR(__xludf.DUMMYFUNCTION("""COMPUTED_VALUE"""),"")</f>
        <v/>
      </c>
      <c r="Z35" s="2" t="str">
        <f ca="1">IFERROR(__xludf.DUMMYFUNCTION("""COMPUTED_VALUE"""),"")</f>
        <v/>
      </c>
      <c r="AA35" s="2">
        <f ca="1">IFERROR(__xludf.DUMMYFUNCTION("""COMPUTED_VALUE"""),1781124)</f>
        <v>1781124</v>
      </c>
      <c r="AB35" s="2">
        <f ca="1">IFERROR(__xludf.DUMMYFUNCTION("""COMPUTED_VALUE"""),5874272)</f>
        <v>5874272</v>
      </c>
      <c r="AC35" s="2">
        <f ca="1">IFERROR(__xludf.DUMMYFUNCTION("""COMPUTED_VALUE"""),41)</f>
        <v>41</v>
      </c>
      <c r="AD35" s="2" t="str">
        <f ca="1">IFERROR(__xludf.DUMMYFUNCTION("""COMPUTED_VALUE"""),"Medium - Signal was good but bird was not close.")</f>
        <v>Medium - Signal was good but bird was not close.</v>
      </c>
      <c r="AE35" s="2">
        <f ca="1">IFERROR(__xludf.DUMMYFUNCTION("""COMPUTED_VALUE"""),1781630)</f>
        <v>1781630</v>
      </c>
      <c r="AF35" s="2">
        <f ca="1">IFERROR(__xludf.DUMMYFUNCTION("""COMPUTED_VALUE"""),5874186)</f>
        <v>5874186</v>
      </c>
      <c r="AG35" s="2">
        <f ca="1">IFERROR(__xludf.DUMMYFUNCTION("""COMPUTED_VALUE"""),323)</f>
        <v>323</v>
      </c>
      <c r="AH35" s="2" t="str">
        <f ca="1">IFERROR(__xludf.DUMMYFUNCTION("""COMPUTED_VALUE"""),"Strong - I got a lovely, clear, strong signal.")</f>
        <v>Strong - I got a lovely, clear, strong signal.</v>
      </c>
      <c r="AI35" s="2">
        <f ca="1">IFERROR(__xludf.DUMMYFUNCTION("""COMPUTED_VALUE"""),1782385)</f>
        <v>1782385</v>
      </c>
      <c r="AJ35" s="2">
        <f ca="1">IFERROR(__xludf.DUMMYFUNCTION("""COMPUTED_VALUE"""),5874347)</f>
        <v>5874347</v>
      </c>
      <c r="AK35" s="2">
        <f ca="1">IFERROR(__xludf.DUMMYFUNCTION("""COMPUTED_VALUE"""),256)</f>
        <v>256</v>
      </c>
      <c r="AL35" s="2" t="str">
        <f ca="1">IFERROR(__xludf.DUMMYFUNCTION("""COMPUTED_VALUE"""),"Strong - I got a lovely, clear, strong signal.")</f>
        <v>Strong - I got a lovely, clear, strong signal.</v>
      </c>
      <c r="AM35" s="2" t="str">
        <f ca="1">IFERROR(__xludf.DUMMYFUNCTION("""COMPUTED_VALUE"""),"")</f>
        <v/>
      </c>
      <c r="AN35" s="2" t="str">
        <f ca="1">IFERROR(__xludf.DUMMYFUNCTION("""COMPUTED_VALUE"""),"")</f>
        <v/>
      </c>
      <c r="AO35" s="2" t="str">
        <f ca="1">IFERROR(__xludf.DUMMYFUNCTION("""COMPUTED_VALUE"""),"")</f>
        <v/>
      </c>
      <c r="AP35" s="2" t="str">
        <f ca="1">IFERROR(__xludf.DUMMYFUNCTION("""COMPUTED_VALUE"""),"")</f>
        <v/>
      </c>
      <c r="AQ35" s="2" t="str">
        <f ca="1">IFERROR(__xludf.DUMMYFUNCTION("""COMPUTED_VALUE"""),"")</f>
        <v/>
      </c>
      <c r="AR35" s="2" t="str">
        <f ca="1">IFERROR(__xludf.DUMMYFUNCTION("""COMPUTED_VALUE"""),"")</f>
        <v/>
      </c>
      <c r="AS35" s="2" t="str">
        <f ca="1">IFERROR(__xludf.DUMMYFUNCTION("""COMPUTED_VALUE"""),"")</f>
        <v/>
      </c>
      <c r="AT35" s="2" t="str">
        <f ca="1">IFERROR(__xludf.DUMMYFUNCTION("""COMPUTED_VALUE"""),"")</f>
        <v/>
      </c>
      <c r="AU35" s="2" t="str">
        <f ca="1">IFERROR(__xludf.DUMMYFUNCTION("""COMPUTED_VALUE"""),"no")</f>
        <v>no</v>
      </c>
      <c r="AV35" s="2" t="str">
        <f ca="1">IFERROR(__xludf.DUMMYFUNCTION("""COMPUTED_VALUE"""),"")</f>
        <v/>
      </c>
      <c r="AW35" s="2" t="str">
        <f ca="1">IFERROR(__xludf.DUMMYFUNCTION("""COMPUTED_VALUE"""),"")</f>
        <v/>
      </c>
      <c r="AX35" s="2" t="str">
        <f ca="1">IFERROR(__xludf.DUMMYFUNCTION("""COMPUTED_VALUE"""),"")</f>
        <v/>
      </c>
      <c r="AY35" s="2" t="str">
        <f ca="1">IFERROR(__xludf.DUMMYFUNCTION("""COMPUTED_VALUE"""),"")</f>
        <v/>
      </c>
      <c r="AZ35" s="2" t="str">
        <f ca="1">IFERROR(__xludf.DUMMYFUNCTION("""COMPUTED_VALUE"""),"")</f>
        <v/>
      </c>
      <c r="BA35" s="2" t="str">
        <f ca="1">IFERROR(__xludf.DUMMYFUNCTION("""COMPUTED_VALUE"""),"")</f>
        <v/>
      </c>
      <c r="BB35" s="2" t="str">
        <f ca="1">IFERROR(__xludf.DUMMYFUNCTION("""COMPUTED_VALUE"""),"")</f>
        <v/>
      </c>
      <c r="BC35" s="2" t="str">
        <f ca="1">IFERROR(__xludf.DUMMYFUNCTION("""COMPUTED_VALUE"""),"")</f>
        <v/>
      </c>
      <c r="BD35" s="2" t="str">
        <f ca="1">IFERROR(__xludf.DUMMYFUNCTION("""COMPUTED_VALUE"""),"")</f>
        <v/>
      </c>
      <c r="BE35" s="2" t="str">
        <f ca="1">IFERROR(__xludf.DUMMYFUNCTION("""COMPUTED_VALUE"""),"")</f>
        <v/>
      </c>
      <c r="BF35" t="str">
        <f ca="1">IFERROR(__xludf.DUMMYFUNCTION("""COMPUTED_VALUE"""),"")</f>
        <v/>
      </c>
      <c r="BG35" t="str">
        <f ca="1">IFERROR(__xludf.DUMMYFUNCTION("""COMPUTED_VALUE"""),"")</f>
        <v/>
      </c>
      <c r="BH35" s="2" t="str">
        <f ca="1">IFERROR(__xludf.DUMMYFUNCTION("""COMPUTED_VALUE"""),"")</f>
        <v/>
      </c>
      <c r="BI35" s="12" t="str">
        <f ca="1">IFERROR(__xludf.DUMMYFUNCTION("""COMPUTED_VALUE"""),"")</f>
        <v/>
      </c>
      <c r="BJ35" s="9" t="str">
        <f ca="1">IFERROR(__xludf.DUMMYFUNCTION("""COMPUTED_VALUE"""),"")</f>
        <v/>
      </c>
      <c r="BK35" s="4" t="str">
        <f ca="1">IFERROR(__xludf.DUMMYFUNCTION("""COMPUTED_VALUE"""),"")</f>
        <v/>
      </c>
    </row>
    <row r="36" spans="1:63" ht="12.5" x14ac:dyDescent="0.25">
      <c r="A36" s="7">
        <f ca="1">IFERROR(__xludf.DUMMYFUNCTION("""COMPUTED_VALUE"""),43452.5841257291)</f>
        <v>43452.584125729103</v>
      </c>
      <c r="B36" s="8" t="str">
        <f ca="1">IFERROR(__xludf.DUMMYFUNCTION("""COMPUTED_VALUE"""),"Waikato")</f>
        <v>Waikato</v>
      </c>
      <c r="C36" s="2" t="str">
        <f ca="1">IFERROR(__xludf.DUMMYFUNCTION("""COMPUTED_VALUE"""),"")</f>
        <v/>
      </c>
      <c r="D36" s="9">
        <f ca="1">IFERROR(__xludf.DUMMYFUNCTION("""COMPUTED_VALUE"""),43452)</f>
        <v>43452</v>
      </c>
      <c r="E36" s="4">
        <f ca="1">IFERROR(__xludf.DUMMYFUNCTION("""COMPUTED_VALUE"""),0.45833333333212)</f>
        <v>0.45833333333212001</v>
      </c>
      <c r="F36" s="2" t="str">
        <f ca="1">IFERROR(__xludf.DUMMYFUNCTION("""COMPUTED_VALUE"""),"Whangamarino Eastern F&amp;G block")</f>
        <v>Whangamarino Eastern F&amp;G block</v>
      </c>
      <c r="G36" s="2" t="str">
        <f ca="1">IFERROR(__xludf.DUMMYFUNCTION("""COMPUTED_VALUE"""),"VHF (triangulation): I triangulated the bird with at least three bearings")</f>
        <v>VHF (triangulation): I triangulated the bird with at least three bearings</v>
      </c>
      <c r="H36" s="2" t="str">
        <f ca="1">IFERROR(__xludf.DUMMYFUNCTION("""COMPUTED_VALUE"""),"")</f>
        <v/>
      </c>
      <c r="I36" s="2" t="str">
        <f ca="1">IFERROR(__xludf.DUMMYFUNCTION("""COMPUTED_VALUE"""),"")</f>
        <v/>
      </c>
      <c r="J36" s="2" t="str">
        <f ca="1">IFERROR(__xludf.DUMMYFUNCTION("""COMPUTED_VALUE"""),"")</f>
        <v/>
      </c>
      <c r="K36" s="2" t="str">
        <f ca="1">IFERROR(__xludf.DUMMYFUNCTION("""COMPUTED_VALUE"""),"")</f>
        <v/>
      </c>
      <c r="L36" s="2" t="str">
        <f ca="1">IFERROR(__xludf.DUMMYFUNCTION("""COMPUTED_VALUE"""),"")</f>
        <v/>
      </c>
      <c r="M36" s="5" t="str">
        <f ca="1">IFERROR(__xludf.DUMMYFUNCTION("""COMPUTED_VALUE"""),"")</f>
        <v/>
      </c>
      <c r="N36" s="5" t="str">
        <f ca="1">IFERROR(__xludf.DUMMYFUNCTION("""COMPUTED_VALUE"""),"")</f>
        <v/>
      </c>
      <c r="O36" s="2" t="str">
        <f ca="1">IFERROR(__xludf.DUMMYFUNCTION("""COMPUTED_VALUE"""),"")</f>
        <v/>
      </c>
      <c r="P36" s="2" t="str">
        <f ca="1">IFERROR(__xludf.DUMMYFUNCTION("""COMPUTED_VALUE"""),"")</f>
        <v/>
      </c>
      <c r="Q36" s="2" t="str">
        <f ca="1">IFERROR(__xludf.DUMMYFUNCTION("""COMPUTED_VALUE"""),"")</f>
        <v/>
      </c>
      <c r="R36" s="2" t="str">
        <f ca="1">IFERROR(__xludf.DUMMYFUNCTION("""COMPUTED_VALUE"""),"")</f>
        <v/>
      </c>
      <c r="S36" s="2" t="str">
        <f ca="1">IFERROR(__xludf.DUMMYFUNCTION("""COMPUTED_VALUE"""),"")</f>
        <v/>
      </c>
      <c r="T36" s="2" t="str">
        <f ca="1">IFERROR(__xludf.DUMMYFUNCTION("""COMPUTED_VALUE"""),"")</f>
        <v/>
      </c>
      <c r="U36" s="2" t="str">
        <f ca="1">IFERROR(__xludf.DUMMYFUNCTION("""COMPUTED_VALUE"""),"")</f>
        <v/>
      </c>
      <c r="V36" s="2" t="str">
        <f ca="1">IFERROR(__xludf.DUMMYFUNCTION("""COMPUTED_VALUE"""),"")</f>
        <v/>
      </c>
      <c r="W36" s="2" t="str">
        <f ca="1">IFERROR(__xludf.DUMMYFUNCTION("""COMPUTED_VALUE"""),"")</f>
        <v/>
      </c>
      <c r="X36" s="2" t="str">
        <f ca="1">IFERROR(__xludf.DUMMYFUNCTION("""COMPUTED_VALUE"""),"")</f>
        <v/>
      </c>
      <c r="Y36" s="2" t="str">
        <f ca="1">IFERROR(__xludf.DUMMYFUNCTION("""COMPUTED_VALUE"""),"")</f>
        <v/>
      </c>
      <c r="Z36" s="2" t="str">
        <f ca="1">IFERROR(__xludf.DUMMYFUNCTION("""COMPUTED_VALUE"""),"")</f>
        <v/>
      </c>
      <c r="AA36" s="2">
        <f ca="1">IFERROR(__xludf.DUMMYFUNCTION("""COMPUTED_VALUE"""),1792886)</f>
        <v>1792886</v>
      </c>
      <c r="AB36" s="2">
        <f ca="1">IFERROR(__xludf.DUMMYFUNCTION("""COMPUTED_VALUE"""),5865602)</f>
        <v>5865602</v>
      </c>
      <c r="AC36" s="2">
        <f ca="1">IFERROR(__xludf.DUMMYFUNCTION("""COMPUTED_VALUE"""),265)</f>
        <v>265</v>
      </c>
      <c r="AD36" s="2" t="str">
        <f ca="1">IFERROR(__xludf.DUMMYFUNCTION("""COMPUTED_VALUE"""),"Strong - I got a lovely, clear, strong signal.")</f>
        <v>Strong - I got a lovely, clear, strong signal.</v>
      </c>
      <c r="AE36" s="2">
        <f ca="1">IFERROR(__xludf.DUMMYFUNCTION("""COMPUTED_VALUE"""),1792712)</f>
        <v>1792712</v>
      </c>
      <c r="AF36" s="2">
        <f ca="1">IFERROR(__xludf.DUMMYFUNCTION("""COMPUTED_VALUE"""),5865309)</f>
        <v>5865309</v>
      </c>
      <c r="AG36" s="2">
        <f ca="1">IFERROR(__xludf.DUMMYFUNCTION("""COMPUTED_VALUE"""),297)</f>
        <v>297</v>
      </c>
      <c r="AH36" s="2" t="str">
        <f ca="1">IFERROR(__xludf.DUMMYFUNCTION("""COMPUTED_VALUE"""),"Strong - I got a lovely, clear, strong signal.")</f>
        <v>Strong - I got a lovely, clear, strong signal.</v>
      </c>
      <c r="AI36" s="2">
        <f ca="1">IFERROR(__xludf.DUMMYFUNCTION("""COMPUTED_VALUE"""),1792118)</f>
        <v>1792118</v>
      </c>
      <c r="AJ36" s="2">
        <f ca="1">IFERROR(__xludf.DUMMYFUNCTION("""COMPUTED_VALUE"""),5865257)</f>
        <v>5865257</v>
      </c>
      <c r="AK36" s="2">
        <f ca="1">IFERROR(__xludf.DUMMYFUNCTION("""COMPUTED_VALUE"""),355)</f>
        <v>355</v>
      </c>
      <c r="AL36" s="2" t="str">
        <f ca="1">IFERROR(__xludf.DUMMYFUNCTION("""COMPUTED_VALUE"""),"Strong - I got a lovely, clear, strong signal.")</f>
        <v>Strong - I got a lovely, clear, strong signal.</v>
      </c>
      <c r="AM36" s="2" t="str">
        <f ca="1">IFERROR(__xludf.DUMMYFUNCTION("""COMPUTED_VALUE"""),"")</f>
        <v/>
      </c>
      <c r="AN36" s="2" t="str">
        <f ca="1">IFERROR(__xludf.DUMMYFUNCTION("""COMPUTED_VALUE"""),"")</f>
        <v/>
      </c>
      <c r="AO36" s="2" t="str">
        <f ca="1">IFERROR(__xludf.DUMMYFUNCTION("""COMPUTED_VALUE"""),"")</f>
        <v/>
      </c>
      <c r="AP36" s="2" t="str">
        <f ca="1">IFERROR(__xludf.DUMMYFUNCTION("""COMPUTED_VALUE"""),"")</f>
        <v/>
      </c>
      <c r="AQ36" s="2" t="str">
        <f ca="1">IFERROR(__xludf.DUMMYFUNCTION("""COMPUTED_VALUE"""),"")</f>
        <v/>
      </c>
      <c r="AR36" s="2" t="str">
        <f ca="1">IFERROR(__xludf.DUMMYFUNCTION("""COMPUTED_VALUE"""),"")</f>
        <v/>
      </c>
      <c r="AS36" s="2" t="str">
        <f ca="1">IFERROR(__xludf.DUMMYFUNCTION("""COMPUTED_VALUE"""),"")</f>
        <v/>
      </c>
      <c r="AT36" s="2" t="str">
        <f ca="1">IFERROR(__xludf.DUMMYFUNCTION("""COMPUTED_VALUE"""),"")</f>
        <v/>
      </c>
      <c r="AU36" s="2" t="str">
        <f ca="1">IFERROR(__xludf.DUMMYFUNCTION("""COMPUTED_VALUE"""),"no")</f>
        <v>no</v>
      </c>
      <c r="AV36" s="2" t="str">
        <f ca="1">IFERROR(__xludf.DUMMYFUNCTION("""COMPUTED_VALUE"""),"")</f>
        <v/>
      </c>
      <c r="AW36" s="2" t="str">
        <f ca="1">IFERROR(__xludf.DUMMYFUNCTION("""COMPUTED_VALUE"""),"")</f>
        <v/>
      </c>
      <c r="AX36" s="2" t="str">
        <f ca="1">IFERROR(__xludf.DUMMYFUNCTION("""COMPUTED_VALUE"""),"")</f>
        <v/>
      </c>
      <c r="AY36" s="2" t="str">
        <f ca="1">IFERROR(__xludf.DUMMYFUNCTION("""COMPUTED_VALUE"""),"")</f>
        <v/>
      </c>
      <c r="AZ36" s="2" t="str">
        <f ca="1">IFERROR(__xludf.DUMMYFUNCTION("""COMPUTED_VALUE"""),"")</f>
        <v/>
      </c>
      <c r="BA36" s="2" t="str">
        <f ca="1">IFERROR(__xludf.DUMMYFUNCTION("""COMPUTED_VALUE"""),"")</f>
        <v/>
      </c>
      <c r="BB36" s="2" t="str">
        <f ca="1">IFERROR(__xludf.DUMMYFUNCTION("""COMPUTED_VALUE"""),"")</f>
        <v/>
      </c>
      <c r="BC36" s="2" t="str">
        <f ca="1">IFERROR(__xludf.DUMMYFUNCTION("""COMPUTED_VALUE"""),"")</f>
        <v/>
      </c>
      <c r="BD36" s="2" t="str">
        <f ca="1">IFERROR(__xludf.DUMMYFUNCTION("""COMPUTED_VALUE"""),"")</f>
        <v/>
      </c>
      <c r="BE36" s="2" t="str">
        <f ca="1">IFERROR(__xludf.DUMMYFUNCTION("""COMPUTED_VALUE"""),"")</f>
        <v/>
      </c>
      <c r="BF36" t="str">
        <f ca="1">IFERROR(__xludf.DUMMYFUNCTION("""COMPUTED_VALUE"""),"")</f>
        <v/>
      </c>
      <c r="BG36" t="str">
        <f ca="1">IFERROR(__xludf.DUMMYFUNCTION("""COMPUTED_VALUE"""),"")</f>
        <v/>
      </c>
      <c r="BH36" s="2" t="str">
        <f ca="1">IFERROR(__xludf.DUMMYFUNCTION("""COMPUTED_VALUE"""),"")</f>
        <v/>
      </c>
      <c r="BI36" s="13" t="str">
        <f ca="1">IFERROR(__xludf.DUMMYFUNCTION("""COMPUTED_VALUE"""),"")</f>
        <v/>
      </c>
      <c r="BJ36" s="9" t="str">
        <f ca="1">IFERROR(__xludf.DUMMYFUNCTION("""COMPUTED_VALUE"""),"")</f>
        <v/>
      </c>
      <c r="BK36" s="4" t="str">
        <f ca="1">IFERROR(__xludf.DUMMYFUNCTION("""COMPUTED_VALUE"""),"")</f>
        <v/>
      </c>
    </row>
    <row r="37" spans="1:63" ht="12.5" x14ac:dyDescent="0.25">
      <c r="A37" s="7">
        <f ca="1">IFERROR(__xludf.DUMMYFUNCTION("""COMPUTED_VALUE"""),43573.3437521064)</f>
        <v>43573.343752106397</v>
      </c>
      <c r="B37" s="8" t="str">
        <f ca="1">IFERROR(__xludf.DUMMYFUNCTION("""COMPUTED_VALUE"""),"Waikato")</f>
        <v>Waikato</v>
      </c>
      <c r="C37" s="2" t="str">
        <f ca="1">IFERROR(__xludf.DUMMYFUNCTION("""COMPUTED_VALUE"""),"")</f>
        <v/>
      </c>
      <c r="D37" s="9">
        <f ca="1">IFERROR(__xludf.DUMMYFUNCTION("""COMPUTED_VALUE"""),43469)</f>
        <v>43469</v>
      </c>
      <c r="E37" s="4">
        <f ca="1">IFERROR(__xludf.DUMMYFUNCTION("""COMPUTED_VALUE"""),0.375)</f>
        <v>0.375</v>
      </c>
      <c r="F37" s="2" t="str">
        <f ca="1">IFERROR(__xludf.DUMMYFUNCTION("""COMPUTED_VALUE"""),"Dean Wetland")</f>
        <v>Dean Wetland</v>
      </c>
      <c r="G37" s="2" t="str">
        <f ca="1">IFERROR(__xludf.DUMMYFUNCTION("""COMPUTED_VALUE"""),"VHF (triangulation): I triangulated the bird with at least three bearings")</f>
        <v>VHF (triangulation): I triangulated the bird with at least three bearings</v>
      </c>
      <c r="H37" s="2" t="str">
        <f ca="1">IFERROR(__xludf.DUMMYFUNCTION("""COMPUTED_VALUE"""),"")</f>
        <v/>
      </c>
      <c r="I37" s="2" t="str">
        <f ca="1">IFERROR(__xludf.DUMMYFUNCTION("""COMPUTED_VALUE"""),"")</f>
        <v/>
      </c>
      <c r="J37" s="2" t="str">
        <f ca="1">IFERROR(__xludf.DUMMYFUNCTION("""COMPUTED_VALUE"""),"")</f>
        <v/>
      </c>
      <c r="K37" s="2" t="str">
        <f ca="1">IFERROR(__xludf.DUMMYFUNCTION("""COMPUTED_VALUE"""),"")</f>
        <v/>
      </c>
      <c r="L37" s="2" t="str">
        <f ca="1">IFERROR(__xludf.DUMMYFUNCTION("""COMPUTED_VALUE"""),"")</f>
        <v/>
      </c>
      <c r="M37" s="5" t="str">
        <f ca="1">IFERROR(__xludf.DUMMYFUNCTION("""COMPUTED_VALUE"""),"")</f>
        <v/>
      </c>
      <c r="N37" s="5" t="str">
        <f ca="1">IFERROR(__xludf.DUMMYFUNCTION("""COMPUTED_VALUE"""),"")</f>
        <v/>
      </c>
      <c r="O37" s="2" t="str">
        <f ca="1">IFERROR(__xludf.DUMMYFUNCTION("""COMPUTED_VALUE"""),"")</f>
        <v/>
      </c>
      <c r="P37" s="2" t="str">
        <f ca="1">IFERROR(__xludf.DUMMYFUNCTION("""COMPUTED_VALUE"""),"")</f>
        <v/>
      </c>
      <c r="Q37" s="2" t="str">
        <f ca="1">IFERROR(__xludf.DUMMYFUNCTION("""COMPUTED_VALUE"""),"")</f>
        <v/>
      </c>
      <c r="R37" s="2" t="str">
        <f ca="1">IFERROR(__xludf.DUMMYFUNCTION("""COMPUTED_VALUE"""),"")</f>
        <v/>
      </c>
      <c r="S37" s="2" t="str">
        <f ca="1">IFERROR(__xludf.DUMMYFUNCTION("""COMPUTED_VALUE"""),"")</f>
        <v/>
      </c>
      <c r="T37" s="2" t="str">
        <f ca="1">IFERROR(__xludf.DUMMYFUNCTION("""COMPUTED_VALUE"""),"")</f>
        <v/>
      </c>
      <c r="U37" s="2" t="str">
        <f ca="1">IFERROR(__xludf.DUMMYFUNCTION("""COMPUTED_VALUE"""),"")</f>
        <v/>
      </c>
      <c r="V37" s="2" t="str">
        <f ca="1">IFERROR(__xludf.DUMMYFUNCTION("""COMPUTED_VALUE"""),"")</f>
        <v/>
      </c>
      <c r="W37" s="2" t="str">
        <f ca="1">IFERROR(__xludf.DUMMYFUNCTION("""COMPUTED_VALUE"""),"")</f>
        <v/>
      </c>
      <c r="X37" s="2" t="str">
        <f ca="1">IFERROR(__xludf.DUMMYFUNCTION("""COMPUTED_VALUE"""),"")</f>
        <v/>
      </c>
      <c r="Y37" s="2" t="str">
        <f ca="1">IFERROR(__xludf.DUMMYFUNCTION("""COMPUTED_VALUE"""),"")</f>
        <v/>
      </c>
      <c r="Z37" s="2" t="str">
        <f ca="1">IFERROR(__xludf.DUMMYFUNCTION("""COMPUTED_VALUE"""),"")</f>
        <v/>
      </c>
      <c r="AA37" s="2">
        <f ca="1">IFERROR(__xludf.DUMMYFUNCTION("""COMPUTED_VALUE"""),1781124)</f>
        <v>1781124</v>
      </c>
      <c r="AB37" s="2">
        <f ca="1">IFERROR(__xludf.DUMMYFUNCTION("""COMPUTED_VALUE"""),5874272)</f>
        <v>5874272</v>
      </c>
      <c r="AC37" s="2">
        <f ca="1">IFERROR(__xludf.DUMMYFUNCTION("""COMPUTED_VALUE"""),350)</f>
        <v>350</v>
      </c>
      <c r="AD37" s="2" t="str">
        <f ca="1">IFERROR(__xludf.DUMMYFUNCTION("""COMPUTED_VALUE"""),"Medium - Signal was good but bird was not close.")</f>
        <v>Medium - Signal was good but bird was not close.</v>
      </c>
      <c r="AE37" s="2">
        <f ca="1">IFERROR(__xludf.DUMMYFUNCTION("""COMPUTED_VALUE"""),1781630)</f>
        <v>1781630</v>
      </c>
      <c r="AF37" s="2">
        <f ca="1">IFERROR(__xludf.DUMMYFUNCTION("""COMPUTED_VALUE"""),5874186)</f>
        <v>5874186</v>
      </c>
      <c r="AG37" s="2">
        <f ca="1">IFERROR(__xludf.DUMMYFUNCTION("""COMPUTED_VALUE"""),310)</f>
        <v>310</v>
      </c>
      <c r="AH37" s="2" t="str">
        <f ca="1">IFERROR(__xludf.DUMMYFUNCTION("""COMPUTED_VALUE"""),"Medium - Signal was good but bird was not close.")</f>
        <v>Medium - Signal was good but bird was not close.</v>
      </c>
      <c r="AI37" s="2">
        <f ca="1">IFERROR(__xludf.DUMMYFUNCTION("""COMPUTED_VALUE"""),1780439)</f>
        <v>1780439</v>
      </c>
      <c r="AJ37" s="2">
        <f ca="1">IFERROR(__xludf.DUMMYFUNCTION("""COMPUTED_VALUE"""),5875821)</f>
        <v>5875821</v>
      </c>
      <c r="AK37" s="2">
        <f ca="1">IFERROR(__xludf.DUMMYFUNCTION("""COMPUTED_VALUE"""),118)</f>
        <v>118</v>
      </c>
      <c r="AL37" s="2" t="str">
        <f ca="1">IFERROR(__xludf.DUMMYFUNCTION("""COMPUTED_VALUE"""),"Medium - Signal was good but bird was not close.")</f>
        <v>Medium - Signal was good but bird was not close.</v>
      </c>
      <c r="AM37" s="2" t="str">
        <f ca="1">IFERROR(__xludf.DUMMYFUNCTION("""COMPUTED_VALUE"""),"")</f>
        <v/>
      </c>
      <c r="AN37" s="2" t="str">
        <f ca="1">IFERROR(__xludf.DUMMYFUNCTION("""COMPUTED_VALUE"""),"")</f>
        <v/>
      </c>
      <c r="AO37" s="2" t="str">
        <f ca="1">IFERROR(__xludf.DUMMYFUNCTION("""COMPUTED_VALUE"""),"")</f>
        <v/>
      </c>
      <c r="AP37" s="2" t="str">
        <f ca="1">IFERROR(__xludf.DUMMYFUNCTION("""COMPUTED_VALUE"""),"")</f>
        <v/>
      </c>
      <c r="AQ37" s="2" t="str">
        <f ca="1">IFERROR(__xludf.DUMMYFUNCTION("""COMPUTED_VALUE"""),"")</f>
        <v/>
      </c>
      <c r="AR37" s="2" t="str">
        <f ca="1">IFERROR(__xludf.DUMMYFUNCTION("""COMPUTED_VALUE"""),"")</f>
        <v/>
      </c>
      <c r="AS37" s="2" t="str">
        <f ca="1">IFERROR(__xludf.DUMMYFUNCTION("""COMPUTED_VALUE"""),"")</f>
        <v/>
      </c>
      <c r="AT37" s="2" t="str">
        <f ca="1">IFERROR(__xludf.DUMMYFUNCTION("""COMPUTED_VALUE"""),"")</f>
        <v/>
      </c>
      <c r="AU37" s="2" t="str">
        <f ca="1">IFERROR(__xludf.DUMMYFUNCTION("""COMPUTED_VALUE"""),"No")</f>
        <v>No</v>
      </c>
      <c r="AV37" s="2" t="str">
        <f ca="1">IFERROR(__xludf.DUMMYFUNCTION("""COMPUTED_VALUE"""),"")</f>
        <v/>
      </c>
      <c r="AW37" s="2" t="str">
        <f ca="1">IFERROR(__xludf.DUMMYFUNCTION("""COMPUTED_VALUE"""),"")</f>
        <v/>
      </c>
      <c r="AX37" s="2" t="str">
        <f ca="1">IFERROR(__xludf.DUMMYFUNCTION("""COMPUTED_VALUE"""),"")</f>
        <v/>
      </c>
      <c r="AY37" s="2" t="str">
        <f ca="1">IFERROR(__xludf.DUMMYFUNCTION("""COMPUTED_VALUE"""),"")</f>
        <v/>
      </c>
      <c r="AZ37" s="2" t="str">
        <f ca="1">IFERROR(__xludf.DUMMYFUNCTION("""COMPUTED_VALUE"""),"")</f>
        <v/>
      </c>
      <c r="BA37" s="2" t="str">
        <f ca="1">IFERROR(__xludf.DUMMYFUNCTION("""COMPUTED_VALUE"""),"")</f>
        <v/>
      </c>
      <c r="BB37" s="2" t="str">
        <f ca="1">IFERROR(__xludf.DUMMYFUNCTION("""COMPUTED_VALUE"""),"")</f>
        <v/>
      </c>
      <c r="BC37" s="2" t="str">
        <f ca="1">IFERROR(__xludf.DUMMYFUNCTION("""COMPUTED_VALUE"""),"")</f>
        <v/>
      </c>
      <c r="BD37" s="2" t="str">
        <f ca="1">IFERROR(__xludf.DUMMYFUNCTION("""COMPUTED_VALUE"""),"")</f>
        <v/>
      </c>
      <c r="BE37" s="2" t="str">
        <f ca="1">IFERROR(__xludf.DUMMYFUNCTION("""COMPUTED_VALUE"""),"")</f>
        <v/>
      </c>
      <c r="BF37" t="str">
        <f ca="1">IFERROR(__xludf.DUMMYFUNCTION("""COMPUTED_VALUE"""),"")</f>
        <v/>
      </c>
      <c r="BG37" t="str">
        <f ca="1">IFERROR(__xludf.DUMMYFUNCTION("""COMPUTED_VALUE"""),"")</f>
        <v/>
      </c>
      <c r="BH37" s="2" t="str">
        <f ca="1">IFERROR(__xludf.DUMMYFUNCTION("""COMPUTED_VALUE"""),"")</f>
        <v/>
      </c>
      <c r="BI37" s="12" t="str">
        <f ca="1">IFERROR(__xludf.DUMMYFUNCTION("""COMPUTED_VALUE"""),"")</f>
        <v/>
      </c>
      <c r="BJ37" s="9" t="str">
        <f ca="1">IFERROR(__xludf.DUMMYFUNCTION("""COMPUTED_VALUE"""),"")</f>
        <v/>
      </c>
      <c r="BK37" s="4" t="str">
        <f ca="1">IFERROR(__xludf.DUMMYFUNCTION("""COMPUTED_VALUE"""),"")</f>
        <v/>
      </c>
    </row>
    <row r="38" spans="1:63" ht="12.5" x14ac:dyDescent="0.25">
      <c r="A38" s="7">
        <f ca="1">IFERROR(__xludf.DUMMYFUNCTION("""COMPUTED_VALUE"""),43573.3459573379)</f>
        <v>43573.3459573379</v>
      </c>
      <c r="B38" s="8" t="str">
        <f ca="1">IFERROR(__xludf.DUMMYFUNCTION("""COMPUTED_VALUE"""),"Waikato")</f>
        <v>Waikato</v>
      </c>
      <c r="C38" s="2" t="str">
        <f ca="1">IFERROR(__xludf.DUMMYFUNCTION("""COMPUTED_VALUE"""),"")</f>
        <v/>
      </c>
      <c r="D38" s="9">
        <f ca="1">IFERROR(__xludf.DUMMYFUNCTION("""COMPUTED_VALUE"""),43469)</f>
        <v>43469</v>
      </c>
      <c r="E38" s="4">
        <f ca="1">IFERROR(__xludf.DUMMYFUNCTION("""COMPUTED_VALUE"""),0.375)</f>
        <v>0.375</v>
      </c>
      <c r="F38" s="2" t="str">
        <f ca="1">IFERROR(__xludf.DUMMYFUNCTION("""COMPUTED_VALUE"""),"Whangamarino and Dean Wetland")</f>
        <v>Whangamarino and Dean Wetland</v>
      </c>
      <c r="G38" s="2" t="str">
        <f ca="1">IFERROR(__xludf.DUMMYFUNCTION("""COMPUTED_VALUE"""),"None: I listened for the bird but was unable to find it")</f>
        <v>None: I listened for the bird but was unable to find it</v>
      </c>
      <c r="H38" s="2" t="str">
        <f ca="1">IFERROR(__xludf.DUMMYFUNCTION("""COMPUTED_VALUE"""),"")</f>
        <v/>
      </c>
      <c r="I38" s="2" t="str">
        <f ca="1">IFERROR(__xludf.DUMMYFUNCTION("""COMPUTED_VALUE"""),"")</f>
        <v/>
      </c>
      <c r="J38" s="2" t="str">
        <f ca="1">IFERROR(__xludf.DUMMYFUNCTION("""COMPUTED_VALUE"""),"")</f>
        <v/>
      </c>
      <c r="K38" s="2" t="str">
        <f ca="1">IFERROR(__xludf.DUMMYFUNCTION("""COMPUTED_VALUE"""),"")</f>
        <v/>
      </c>
      <c r="L38" s="2" t="str">
        <f ca="1">IFERROR(__xludf.DUMMYFUNCTION("""COMPUTED_VALUE"""),"")</f>
        <v/>
      </c>
      <c r="M38" s="5" t="str">
        <f ca="1">IFERROR(__xludf.DUMMYFUNCTION("""COMPUTED_VALUE"""),"")</f>
        <v/>
      </c>
      <c r="N38" s="5" t="str">
        <f ca="1">IFERROR(__xludf.DUMMYFUNCTION("""COMPUTED_VALUE"""),"")</f>
        <v/>
      </c>
      <c r="O38" s="2" t="str">
        <f ca="1">IFERROR(__xludf.DUMMYFUNCTION("""COMPUTED_VALUE"""),"")</f>
        <v/>
      </c>
      <c r="P38" s="2" t="str">
        <f ca="1">IFERROR(__xludf.DUMMYFUNCTION("""COMPUTED_VALUE"""),"")</f>
        <v/>
      </c>
      <c r="Q38" s="2" t="str">
        <f ca="1">IFERROR(__xludf.DUMMYFUNCTION("""COMPUTED_VALUE"""),"")</f>
        <v/>
      </c>
      <c r="R38" s="2" t="str">
        <f ca="1">IFERROR(__xludf.DUMMYFUNCTION("""COMPUTED_VALUE"""),"")</f>
        <v/>
      </c>
      <c r="S38" s="2" t="str">
        <f ca="1">IFERROR(__xludf.DUMMYFUNCTION("""COMPUTED_VALUE"""),"")</f>
        <v/>
      </c>
      <c r="T38" s="2" t="str">
        <f ca="1">IFERROR(__xludf.DUMMYFUNCTION("""COMPUTED_VALUE"""),"")</f>
        <v/>
      </c>
      <c r="U38" s="2" t="str">
        <f ca="1">IFERROR(__xludf.DUMMYFUNCTION("""COMPUTED_VALUE"""),"")</f>
        <v/>
      </c>
      <c r="V38" s="2" t="str">
        <f ca="1">IFERROR(__xludf.DUMMYFUNCTION("""COMPUTED_VALUE"""),"")</f>
        <v/>
      </c>
      <c r="W38" s="2" t="str">
        <f ca="1">IFERROR(__xludf.DUMMYFUNCTION("""COMPUTED_VALUE"""),"")</f>
        <v/>
      </c>
      <c r="X38" s="2" t="str">
        <f ca="1">IFERROR(__xludf.DUMMYFUNCTION("""COMPUTED_VALUE"""),"")</f>
        <v/>
      </c>
      <c r="Y38" s="2" t="str">
        <f ca="1">IFERROR(__xludf.DUMMYFUNCTION("""COMPUTED_VALUE"""),"")</f>
        <v/>
      </c>
      <c r="Z38" s="2" t="str">
        <f ca="1">IFERROR(__xludf.DUMMYFUNCTION("""COMPUTED_VALUE"""),"")</f>
        <v/>
      </c>
      <c r="AA38" s="2" t="str">
        <f ca="1">IFERROR(__xludf.DUMMYFUNCTION("""COMPUTED_VALUE"""),"")</f>
        <v/>
      </c>
      <c r="AB38" s="2" t="str">
        <f ca="1">IFERROR(__xludf.DUMMYFUNCTION("""COMPUTED_VALUE"""),"")</f>
        <v/>
      </c>
      <c r="AC38" s="2" t="str">
        <f ca="1">IFERROR(__xludf.DUMMYFUNCTION("""COMPUTED_VALUE"""),"")</f>
        <v/>
      </c>
      <c r="AD38" s="2" t="str">
        <f ca="1">IFERROR(__xludf.DUMMYFUNCTION("""COMPUTED_VALUE"""),"")</f>
        <v/>
      </c>
      <c r="AE38" s="2" t="str">
        <f ca="1">IFERROR(__xludf.DUMMYFUNCTION("""COMPUTED_VALUE"""),"")</f>
        <v/>
      </c>
      <c r="AF38" s="2" t="str">
        <f ca="1">IFERROR(__xludf.DUMMYFUNCTION("""COMPUTED_VALUE"""),"")</f>
        <v/>
      </c>
      <c r="AG38" s="2" t="str">
        <f ca="1">IFERROR(__xludf.DUMMYFUNCTION("""COMPUTED_VALUE"""),"")</f>
        <v/>
      </c>
      <c r="AH38" s="2" t="str">
        <f ca="1">IFERROR(__xludf.DUMMYFUNCTION("""COMPUTED_VALUE"""),"")</f>
        <v/>
      </c>
      <c r="AI38" s="2" t="str">
        <f ca="1">IFERROR(__xludf.DUMMYFUNCTION("""COMPUTED_VALUE"""),"")</f>
        <v/>
      </c>
      <c r="AJ38" s="2" t="str">
        <f ca="1">IFERROR(__xludf.DUMMYFUNCTION("""COMPUTED_VALUE"""),"")</f>
        <v/>
      </c>
      <c r="AK38" s="2" t="str">
        <f ca="1">IFERROR(__xludf.DUMMYFUNCTION("""COMPUTED_VALUE"""),"")</f>
        <v/>
      </c>
      <c r="AL38" s="2" t="str">
        <f ca="1">IFERROR(__xludf.DUMMYFUNCTION("""COMPUTED_VALUE"""),"")</f>
        <v/>
      </c>
      <c r="AM38" s="2" t="str">
        <f ca="1">IFERROR(__xludf.DUMMYFUNCTION("""COMPUTED_VALUE"""),"")</f>
        <v/>
      </c>
      <c r="AN38" s="2" t="str">
        <f ca="1">IFERROR(__xludf.DUMMYFUNCTION("""COMPUTED_VALUE"""),"")</f>
        <v/>
      </c>
      <c r="AO38" s="2" t="str">
        <f ca="1">IFERROR(__xludf.DUMMYFUNCTION("""COMPUTED_VALUE"""),"")</f>
        <v/>
      </c>
      <c r="AP38" s="2" t="str">
        <f ca="1">IFERROR(__xludf.DUMMYFUNCTION("""COMPUTED_VALUE"""),"")</f>
        <v/>
      </c>
      <c r="AQ38" s="2" t="str">
        <f ca="1">IFERROR(__xludf.DUMMYFUNCTION("""COMPUTED_VALUE"""),"")</f>
        <v/>
      </c>
      <c r="AR38" s="2" t="str">
        <f ca="1">IFERROR(__xludf.DUMMYFUNCTION("""COMPUTED_VALUE"""),"")</f>
        <v/>
      </c>
      <c r="AS38" s="2" t="str">
        <f ca="1">IFERROR(__xludf.DUMMYFUNCTION("""COMPUTED_VALUE"""),"")</f>
        <v/>
      </c>
      <c r="AT38" s="2" t="str">
        <f ca="1">IFERROR(__xludf.DUMMYFUNCTION("""COMPUTED_VALUE"""),"")</f>
        <v/>
      </c>
      <c r="AU38" s="2" t="str">
        <f ca="1">IFERROR(__xludf.DUMMYFUNCTION("""COMPUTED_VALUE"""),"")</f>
        <v/>
      </c>
      <c r="AV38" s="2" t="str">
        <f ca="1">IFERROR(__xludf.DUMMYFUNCTION("""COMPUTED_VALUE"""),"")</f>
        <v/>
      </c>
      <c r="AW38" s="2" t="str">
        <f ca="1">IFERROR(__xludf.DUMMYFUNCTION("""COMPUTED_VALUE"""),"")</f>
        <v/>
      </c>
      <c r="AX38" s="2" t="str">
        <f ca="1">IFERROR(__xludf.DUMMYFUNCTION("""COMPUTED_VALUE"""),"")</f>
        <v/>
      </c>
      <c r="AY38" s="2" t="str">
        <f ca="1">IFERROR(__xludf.DUMMYFUNCTION("""COMPUTED_VALUE"""),"")</f>
        <v/>
      </c>
      <c r="AZ38" s="2" t="str">
        <f ca="1">IFERROR(__xludf.DUMMYFUNCTION("""COMPUTED_VALUE"""),"")</f>
        <v/>
      </c>
      <c r="BA38" s="2" t="str">
        <f ca="1">IFERROR(__xludf.DUMMYFUNCTION("""COMPUTED_VALUE"""),"")</f>
        <v/>
      </c>
      <c r="BB38" s="2" t="str">
        <f ca="1">IFERROR(__xludf.DUMMYFUNCTION("""COMPUTED_VALUE"""),"")</f>
        <v/>
      </c>
      <c r="BC38" s="2" t="str">
        <f ca="1">IFERROR(__xludf.DUMMYFUNCTION("""COMPUTED_VALUE"""),"")</f>
        <v/>
      </c>
      <c r="BD38" s="2" t="str">
        <f ca="1">IFERROR(__xludf.DUMMYFUNCTION("""COMPUTED_VALUE"""),"Whangamarino and Dean Wetland")</f>
        <v>Whangamarino and Dean Wetland</v>
      </c>
      <c r="BE38" s="2" t="str">
        <f ca="1">IFERROR(__xludf.DUMMYFUNCTION("""COMPUTED_VALUE"""),"No")</f>
        <v>No</v>
      </c>
      <c r="BF38" t="str">
        <f ca="1">IFERROR(__xludf.DUMMYFUNCTION("""COMPUTED_VALUE"""),"")</f>
        <v/>
      </c>
      <c r="BG38" t="str">
        <f ca="1">IFERROR(__xludf.DUMMYFUNCTION("""COMPUTED_VALUE"""),"")</f>
        <v/>
      </c>
      <c r="BH38" s="2" t="str">
        <f ca="1">IFERROR(__xludf.DUMMYFUNCTION("""COMPUTED_VALUE"""),"")</f>
        <v/>
      </c>
      <c r="BI38" s="13" t="str">
        <f ca="1">IFERROR(__xludf.DUMMYFUNCTION("""COMPUTED_VALUE"""),"")</f>
        <v/>
      </c>
      <c r="BJ38" s="9" t="str">
        <f ca="1">IFERROR(__xludf.DUMMYFUNCTION("""COMPUTED_VALUE"""),"")</f>
        <v/>
      </c>
      <c r="BK38" s="4" t="str">
        <f ca="1">IFERROR(__xludf.DUMMYFUNCTION("""COMPUTED_VALUE"""),"")</f>
        <v/>
      </c>
    </row>
    <row r="39" spans="1:63" ht="12.5" x14ac:dyDescent="0.25">
      <c r="A39" s="7">
        <f ca="1">IFERROR(__xludf.DUMMYFUNCTION("""COMPUTED_VALUE"""),43573.3467193287)</f>
        <v>43573.3467193287</v>
      </c>
      <c r="B39" s="8" t="str">
        <f ca="1">IFERROR(__xludf.DUMMYFUNCTION("""COMPUTED_VALUE"""),"Waikato")</f>
        <v>Waikato</v>
      </c>
      <c r="C39" s="2" t="str">
        <f ca="1">IFERROR(__xludf.DUMMYFUNCTION("""COMPUTED_VALUE"""),"")</f>
        <v/>
      </c>
      <c r="D39" s="9">
        <f ca="1">IFERROR(__xludf.DUMMYFUNCTION("""COMPUTED_VALUE"""),43556)</f>
        <v>43556</v>
      </c>
      <c r="E39" s="4">
        <f ca="1">IFERROR(__xludf.DUMMYFUNCTION("""COMPUTED_VALUE"""),0.375)</f>
        <v>0.375</v>
      </c>
      <c r="F39" s="2" t="str">
        <f ca="1">IFERROR(__xludf.DUMMYFUNCTION("""COMPUTED_VALUE"""),"Whangamarino and Dean Wetland")</f>
        <v>Whangamarino and Dean Wetland</v>
      </c>
      <c r="G39" s="2" t="str">
        <f ca="1">IFERROR(__xludf.DUMMYFUNCTION("""COMPUTED_VALUE"""),"None: I listened for the bird but was unable to find it")</f>
        <v>None: I listened for the bird but was unable to find it</v>
      </c>
      <c r="H39" s="2" t="str">
        <f ca="1">IFERROR(__xludf.DUMMYFUNCTION("""COMPUTED_VALUE"""),"")</f>
        <v/>
      </c>
      <c r="I39" s="2" t="str">
        <f ca="1">IFERROR(__xludf.DUMMYFUNCTION("""COMPUTED_VALUE"""),"")</f>
        <v/>
      </c>
      <c r="J39" s="2" t="str">
        <f ca="1">IFERROR(__xludf.DUMMYFUNCTION("""COMPUTED_VALUE"""),"")</f>
        <v/>
      </c>
      <c r="K39" s="2" t="str">
        <f ca="1">IFERROR(__xludf.DUMMYFUNCTION("""COMPUTED_VALUE"""),"")</f>
        <v/>
      </c>
      <c r="L39" s="2" t="str">
        <f ca="1">IFERROR(__xludf.DUMMYFUNCTION("""COMPUTED_VALUE"""),"")</f>
        <v/>
      </c>
      <c r="M39" s="5" t="str">
        <f ca="1">IFERROR(__xludf.DUMMYFUNCTION("""COMPUTED_VALUE"""),"")</f>
        <v/>
      </c>
      <c r="N39" s="5" t="str">
        <f ca="1">IFERROR(__xludf.DUMMYFUNCTION("""COMPUTED_VALUE"""),"")</f>
        <v/>
      </c>
      <c r="O39" s="2" t="str">
        <f ca="1">IFERROR(__xludf.DUMMYFUNCTION("""COMPUTED_VALUE"""),"")</f>
        <v/>
      </c>
      <c r="P39" s="2" t="str">
        <f ca="1">IFERROR(__xludf.DUMMYFUNCTION("""COMPUTED_VALUE"""),"")</f>
        <v/>
      </c>
      <c r="Q39" s="2" t="str">
        <f ca="1">IFERROR(__xludf.DUMMYFUNCTION("""COMPUTED_VALUE"""),"")</f>
        <v/>
      </c>
      <c r="R39" s="2" t="str">
        <f ca="1">IFERROR(__xludf.DUMMYFUNCTION("""COMPUTED_VALUE"""),"")</f>
        <v/>
      </c>
      <c r="S39" s="2" t="str">
        <f ca="1">IFERROR(__xludf.DUMMYFUNCTION("""COMPUTED_VALUE"""),"")</f>
        <v/>
      </c>
      <c r="T39" s="2" t="str">
        <f ca="1">IFERROR(__xludf.DUMMYFUNCTION("""COMPUTED_VALUE"""),"")</f>
        <v/>
      </c>
      <c r="U39" s="2" t="str">
        <f ca="1">IFERROR(__xludf.DUMMYFUNCTION("""COMPUTED_VALUE"""),"")</f>
        <v/>
      </c>
      <c r="V39" s="2" t="str">
        <f ca="1">IFERROR(__xludf.DUMMYFUNCTION("""COMPUTED_VALUE"""),"")</f>
        <v/>
      </c>
      <c r="W39" s="2" t="str">
        <f ca="1">IFERROR(__xludf.DUMMYFUNCTION("""COMPUTED_VALUE"""),"")</f>
        <v/>
      </c>
      <c r="X39" s="2" t="str">
        <f ca="1">IFERROR(__xludf.DUMMYFUNCTION("""COMPUTED_VALUE"""),"")</f>
        <v/>
      </c>
      <c r="Y39" s="2" t="str">
        <f ca="1">IFERROR(__xludf.DUMMYFUNCTION("""COMPUTED_VALUE"""),"")</f>
        <v/>
      </c>
      <c r="Z39" s="2" t="str">
        <f ca="1">IFERROR(__xludf.DUMMYFUNCTION("""COMPUTED_VALUE"""),"")</f>
        <v/>
      </c>
      <c r="AA39" s="2" t="str">
        <f ca="1">IFERROR(__xludf.DUMMYFUNCTION("""COMPUTED_VALUE"""),"")</f>
        <v/>
      </c>
      <c r="AB39" s="2" t="str">
        <f ca="1">IFERROR(__xludf.DUMMYFUNCTION("""COMPUTED_VALUE"""),"")</f>
        <v/>
      </c>
      <c r="AC39" s="2" t="str">
        <f ca="1">IFERROR(__xludf.DUMMYFUNCTION("""COMPUTED_VALUE"""),"")</f>
        <v/>
      </c>
      <c r="AD39" s="2" t="str">
        <f ca="1">IFERROR(__xludf.DUMMYFUNCTION("""COMPUTED_VALUE"""),"")</f>
        <v/>
      </c>
      <c r="AE39" s="2" t="str">
        <f ca="1">IFERROR(__xludf.DUMMYFUNCTION("""COMPUTED_VALUE"""),"")</f>
        <v/>
      </c>
      <c r="AF39" s="2" t="str">
        <f ca="1">IFERROR(__xludf.DUMMYFUNCTION("""COMPUTED_VALUE"""),"")</f>
        <v/>
      </c>
      <c r="AG39" s="2" t="str">
        <f ca="1">IFERROR(__xludf.DUMMYFUNCTION("""COMPUTED_VALUE"""),"")</f>
        <v/>
      </c>
      <c r="AH39" s="2" t="str">
        <f ca="1">IFERROR(__xludf.DUMMYFUNCTION("""COMPUTED_VALUE"""),"")</f>
        <v/>
      </c>
      <c r="AI39" s="2" t="str">
        <f ca="1">IFERROR(__xludf.DUMMYFUNCTION("""COMPUTED_VALUE"""),"")</f>
        <v/>
      </c>
      <c r="AJ39" s="2" t="str">
        <f ca="1">IFERROR(__xludf.DUMMYFUNCTION("""COMPUTED_VALUE"""),"")</f>
        <v/>
      </c>
      <c r="AK39" s="2" t="str">
        <f ca="1">IFERROR(__xludf.DUMMYFUNCTION("""COMPUTED_VALUE"""),"")</f>
        <v/>
      </c>
      <c r="AL39" s="2" t="str">
        <f ca="1">IFERROR(__xludf.DUMMYFUNCTION("""COMPUTED_VALUE"""),"")</f>
        <v/>
      </c>
      <c r="AM39" s="2" t="str">
        <f ca="1">IFERROR(__xludf.DUMMYFUNCTION("""COMPUTED_VALUE"""),"")</f>
        <v/>
      </c>
      <c r="AN39" s="2" t="str">
        <f ca="1">IFERROR(__xludf.DUMMYFUNCTION("""COMPUTED_VALUE"""),"")</f>
        <v/>
      </c>
      <c r="AO39" s="2" t="str">
        <f ca="1">IFERROR(__xludf.DUMMYFUNCTION("""COMPUTED_VALUE"""),"")</f>
        <v/>
      </c>
      <c r="AP39" s="2" t="str">
        <f ca="1">IFERROR(__xludf.DUMMYFUNCTION("""COMPUTED_VALUE"""),"")</f>
        <v/>
      </c>
      <c r="AQ39" s="2" t="str">
        <f ca="1">IFERROR(__xludf.DUMMYFUNCTION("""COMPUTED_VALUE"""),"")</f>
        <v/>
      </c>
      <c r="AR39" s="2" t="str">
        <f ca="1">IFERROR(__xludf.DUMMYFUNCTION("""COMPUTED_VALUE"""),"")</f>
        <v/>
      </c>
      <c r="AS39" s="2" t="str">
        <f ca="1">IFERROR(__xludf.DUMMYFUNCTION("""COMPUTED_VALUE"""),"")</f>
        <v/>
      </c>
      <c r="AT39" s="2" t="str">
        <f ca="1">IFERROR(__xludf.DUMMYFUNCTION("""COMPUTED_VALUE"""),"")</f>
        <v/>
      </c>
      <c r="AU39" s="2" t="str">
        <f ca="1">IFERROR(__xludf.DUMMYFUNCTION("""COMPUTED_VALUE"""),"")</f>
        <v/>
      </c>
      <c r="AV39" s="2" t="str">
        <f ca="1">IFERROR(__xludf.DUMMYFUNCTION("""COMPUTED_VALUE"""),"")</f>
        <v/>
      </c>
      <c r="AW39" s="2" t="str">
        <f ca="1">IFERROR(__xludf.DUMMYFUNCTION("""COMPUTED_VALUE"""),"")</f>
        <v/>
      </c>
      <c r="AX39" s="2" t="str">
        <f ca="1">IFERROR(__xludf.DUMMYFUNCTION("""COMPUTED_VALUE"""),"")</f>
        <v/>
      </c>
      <c r="AY39" s="2" t="str">
        <f ca="1">IFERROR(__xludf.DUMMYFUNCTION("""COMPUTED_VALUE"""),"")</f>
        <v/>
      </c>
      <c r="AZ39" s="2" t="str">
        <f ca="1">IFERROR(__xludf.DUMMYFUNCTION("""COMPUTED_VALUE"""),"")</f>
        <v/>
      </c>
      <c r="BA39" s="2" t="str">
        <f ca="1">IFERROR(__xludf.DUMMYFUNCTION("""COMPUTED_VALUE"""),"")</f>
        <v/>
      </c>
      <c r="BB39" s="2" t="str">
        <f ca="1">IFERROR(__xludf.DUMMYFUNCTION("""COMPUTED_VALUE"""),"")</f>
        <v/>
      </c>
      <c r="BC39" s="2" t="str">
        <f ca="1">IFERROR(__xludf.DUMMYFUNCTION("""COMPUTED_VALUE"""),"")</f>
        <v/>
      </c>
      <c r="BD39" s="2" t="str">
        <f ca="1">IFERROR(__xludf.DUMMYFUNCTION("""COMPUTED_VALUE"""),"Whangamarino and Dean Wetland")</f>
        <v>Whangamarino and Dean Wetland</v>
      </c>
      <c r="BE39" s="2" t="str">
        <f ca="1">IFERROR(__xludf.DUMMYFUNCTION("""COMPUTED_VALUE"""),"No")</f>
        <v>No</v>
      </c>
      <c r="BF39" t="str">
        <f ca="1">IFERROR(__xludf.DUMMYFUNCTION("""COMPUTED_VALUE"""),"")</f>
        <v/>
      </c>
      <c r="BG39" t="str">
        <f ca="1">IFERROR(__xludf.DUMMYFUNCTION("""COMPUTED_VALUE"""),"")</f>
        <v/>
      </c>
      <c r="BH39" s="2" t="str">
        <f ca="1">IFERROR(__xludf.DUMMYFUNCTION("""COMPUTED_VALUE"""),"")</f>
        <v/>
      </c>
      <c r="BI39" s="12" t="str">
        <f ca="1">IFERROR(__xludf.DUMMYFUNCTION("""COMPUTED_VALUE"""),"")</f>
        <v/>
      </c>
      <c r="BJ39" s="9" t="str">
        <f ca="1">IFERROR(__xludf.DUMMYFUNCTION("""COMPUTED_VALUE"""),"")</f>
        <v/>
      </c>
      <c r="BK39" s="4" t="str">
        <f ca="1">IFERROR(__xludf.DUMMYFUNCTION("""COMPUTED_VALUE"""),"")</f>
        <v/>
      </c>
    </row>
    <row r="40" spans="1:63" ht="12.5" x14ac:dyDescent="0.25">
      <c r="A40" s="7">
        <f ca="1">IFERROR(__xludf.DUMMYFUNCTION("""COMPUTED_VALUE"""),43573.3477563194)</f>
        <v>43573.347756319403</v>
      </c>
      <c r="B40" s="8" t="str">
        <f ca="1">IFERROR(__xludf.DUMMYFUNCTION("""COMPUTED_VALUE"""),"Waikato")</f>
        <v>Waikato</v>
      </c>
      <c r="C40" s="2" t="str">
        <f ca="1">IFERROR(__xludf.DUMMYFUNCTION("""COMPUTED_VALUE"""),"")</f>
        <v/>
      </c>
      <c r="D40" s="9">
        <f ca="1">IFERROR(__xludf.DUMMYFUNCTION("""COMPUTED_VALUE"""),43469)</f>
        <v>43469</v>
      </c>
      <c r="E40" s="4">
        <f ca="1">IFERROR(__xludf.DUMMYFUNCTION("""COMPUTED_VALUE"""),0.375)</f>
        <v>0.375</v>
      </c>
      <c r="F40" s="2" t="str">
        <f ca="1">IFERROR(__xludf.DUMMYFUNCTION("""COMPUTED_VALUE"""),"Not found")</f>
        <v>Not found</v>
      </c>
      <c r="G40" s="2" t="str">
        <f ca="1">IFERROR(__xludf.DUMMYFUNCTION("""COMPUTED_VALUE"""),"None: I listened for the bird but was unable to find it")</f>
        <v>None: I listened for the bird but was unable to find it</v>
      </c>
      <c r="H40" s="2" t="str">
        <f ca="1">IFERROR(__xludf.DUMMYFUNCTION("""COMPUTED_VALUE"""),"")</f>
        <v/>
      </c>
      <c r="I40" s="2" t="str">
        <f ca="1">IFERROR(__xludf.DUMMYFUNCTION("""COMPUTED_VALUE"""),"")</f>
        <v/>
      </c>
      <c r="J40" s="2" t="str">
        <f ca="1">IFERROR(__xludf.DUMMYFUNCTION("""COMPUTED_VALUE"""),"")</f>
        <v/>
      </c>
      <c r="K40" s="2" t="str">
        <f ca="1">IFERROR(__xludf.DUMMYFUNCTION("""COMPUTED_VALUE"""),"")</f>
        <v/>
      </c>
      <c r="L40" s="2" t="str">
        <f ca="1">IFERROR(__xludf.DUMMYFUNCTION("""COMPUTED_VALUE"""),"")</f>
        <v/>
      </c>
      <c r="M40" s="5" t="str">
        <f ca="1">IFERROR(__xludf.DUMMYFUNCTION("""COMPUTED_VALUE"""),"")</f>
        <v/>
      </c>
      <c r="N40" s="5" t="str">
        <f ca="1">IFERROR(__xludf.DUMMYFUNCTION("""COMPUTED_VALUE"""),"")</f>
        <v/>
      </c>
      <c r="O40" s="2" t="str">
        <f ca="1">IFERROR(__xludf.DUMMYFUNCTION("""COMPUTED_VALUE"""),"")</f>
        <v/>
      </c>
      <c r="P40" s="2" t="str">
        <f ca="1">IFERROR(__xludf.DUMMYFUNCTION("""COMPUTED_VALUE"""),"")</f>
        <v/>
      </c>
      <c r="Q40" s="2" t="str">
        <f ca="1">IFERROR(__xludf.DUMMYFUNCTION("""COMPUTED_VALUE"""),"")</f>
        <v/>
      </c>
      <c r="R40" s="2" t="str">
        <f ca="1">IFERROR(__xludf.DUMMYFUNCTION("""COMPUTED_VALUE"""),"")</f>
        <v/>
      </c>
      <c r="S40" s="2" t="str">
        <f ca="1">IFERROR(__xludf.DUMMYFUNCTION("""COMPUTED_VALUE"""),"")</f>
        <v/>
      </c>
      <c r="T40" s="2" t="str">
        <f ca="1">IFERROR(__xludf.DUMMYFUNCTION("""COMPUTED_VALUE"""),"")</f>
        <v/>
      </c>
      <c r="U40" s="2" t="str">
        <f ca="1">IFERROR(__xludf.DUMMYFUNCTION("""COMPUTED_VALUE"""),"")</f>
        <v/>
      </c>
      <c r="V40" s="2" t="str">
        <f ca="1">IFERROR(__xludf.DUMMYFUNCTION("""COMPUTED_VALUE"""),"")</f>
        <v/>
      </c>
      <c r="W40" s="2" t="str">
        <f ca="1">IFERROR(__xludf.DUMMYFUNCTION("""COMPUTED_VALUE"""),"")</f>
        <v/>
      </c>
      <c r="X40" s="2" t="str">
        <f ca="1">IFERROR(__xludf.DUMMYFUNCTION("""COMPUTED_VALUE"""),"")</f>
        <v/>
      </c>
      <c r="Y40" s="2" t="str">
        <f ca="1">IFERROR(__xludf.DUMMYFUNCTION("""COMPUTED_VALUE"""),"")</f>
        <v/>
      </c>
      <c r="Z40" s="2" t="str">
        <f ca="1">IFERROR(__xludf.DUMMYFUNCTION("""COMPUTED_VALUE"""),"")</f>
        <v/>
      </c>
      <c r="AA40" s="2" t="str">
        <f ca="1">IFERROR(__xludf.DUMMYFUNCTION("""COMPUTED_VALUE"""),"")</f>
        <v/>
      </c>
      <c r="AB40" s="2" t="str">
        <f ca="1">IFERROR(__xludf.DUMMYFUNCTION("""COMPUTED_VALUE"""),"")</f>
        <v/>
      </c>
      <c r="AC40" s="2" t="str">
        <f ca="1">IFERROR(__xludf.DUMMYFUNCTION("""COMPUTED_VALUE"""),"")</f>
        <v/>
      </c>
      <c r="AD40" s="2" t="str">
        <f ca="1">IFERROR(__xludf.DUMMYFUNCTION("""COMPUTED_VALUE"""),"")</f>
        <v/>
      </c>
      <c r="AE40" s="2" t="str">
        <f ca="1">IFERROR(__xludf.DUMMYFUNCTION("""COMPUTED_VALUE"""),"")</f>
        <v/>
      </c>
      <c r="AF40" s="2" t="str">
        <f ca="1">IFERROR(__xludf.DUMMYFUNCTION("""COMPUTED_VALUE"""),"")</f>
        <v/>
      </c>
      <c r="AG40" s="2" t="str">
        <f ca="1">IFERROR(__xludf.DUMMYFUNCTION("""COMPUTED_VALUE"""),"")</f>
        <v/>
      </c>
      <c r="AH40" s="2" t="str">
        <f ca="1">IFERROR(__xludf.DUMMYFUNCTION("""COMPUTED_VALUE"""),"")</f>
        <v/>
      </c>
      <c r="AI40" s="2" t="str">
        <f ca="1">IFERROR(__xludf.DUMMYFUNCTION("""COMPUTED_VALUE"""),"")</f>
        <v/>
      </c>
      <c r="AJ40" s="2" t="str">
        <f ca="1">IFERROR(__xludf.DUMMYFUNCTION("""COMPUTED_VALUE"""),"")</f>
        <v/>
      </c>
      <c r="AK40" s="2" t="str">
        <f ca="1">IFERROR(__xludf.DUMMYFUNCTION("""COMPUTED_VALUE"""),"")</f>
        <v/>
      </c>
      <c r="AL40" s="2" t="str">
        <f ca="1">IFERROR(__xludf.DUMMYFUNCTION("""COMPUTED_VALUE"""),"")</f>
        <v/>
      </c>
      <c r="AM40" s="2" t="str">
        <f ca="1">IFERROR(__xludf.DUMMYFUNCTION("""COMPUTED_VALUE"""),"")</f>
        <v/>
      </c>
      <c r="AN40" s="2" t="str">
        <f ca="1">IFERROR(__xludf.DUMMYFUNCTION("""COMPUTED_VALUE"""),"")</f>
        <v/>
      </c>
      <c r="AO40" s="2" t="str">
        <f ca="1">IFERROR(__xludf.DUMMYFUNCTION("""COMPUTED_VALUE"""),"")</f>
        <v/>
      </c>
      <c r="AP40" s="2" t="str">
        <f ca="1">IFERROR(__xludf.DUMMYFUNCTION("""COMPUTED_VALUE"""),"")</f>
        <v/>
      </c>
      <c r="AQ40" s="2" t="str">
        <f ca="1">IFERROR(__xludf.DUMMYFUNCTION("""COMPUTED_VALUE"""),"")</f>
        <v/>
      </c>
      <c r="AR40" s="2" t="str">
        <f ca="1">IFERROR(__xludf.DUMMYFUNCTION("""COMPUTED_VALUE"""),"")</f>
        <v/>
      </c>
      <c r="AS40" s="2" t="str">
        <f ca="1">IFERROR(__xludf.DUMMYFUNCTION("""COMPUTED_VALUE"""),"")</f>
        <v/>
      </c>
      <c r="AT40" s="2" t="str">
        <f ca="1">IFERROR(__xludf.DUMMYFUNCTION("""COMPUTED_VALUE"""),"")</f>
        <v/>
      </c>
      <c r="AU40" s="2" t="str">
        <f ca="1">IFERROR(__xludf.DUMMYFUNCTION("""COMPUTED_VALUE"""),"")</f>
        <v/>
      </c>
      <c r="AV40" s="2" t="str">
        <f ca="1">IFERROR(__xludf.DUMMYFUNCTION("""COMPUTED_VALUE"""),"")</f>
        <v/>
      </c>
      <c r="AW40" s="2" t="str">
        <f ca="1">IFERROR(__xludf.DUMMYFUNCTION("""COMPUTED_VALUE"""),"")</f>
        <v/>
      </c>
      <c r="AX40" s="2" t="str">
        <f ca="1">IFERROR(__xludf.DUMMYFUNCTION("""COMPUTED_VALUE"""),"")</f>
        <v/>
      </c>
      <c r="AY40" s="2" t="str">
        <f ca="1">IFERROR(__xludf.DUMMYFUNCTION("""COMPUTED_VALUE"""),"")</f>
        <v/>
      </c>
      <c r="AZ40" s="2" t="str">
        <f ca="1">IFERROR(__xludf.DUMMYFUNCTION("""COMPUTED_VALUE"""),"")</f>
        <v/>
      </c>
      <c r="BA40" s="2" t="str">
        <f ca="1">IFERROR(__xludf.DUMMYFUNCTION("""COMPUTED_VALUE"""),"")</f>
        <v/>
      </c>
      <c r="BB40" s="2" t="str">
        <f ca="1">IFERROR(__xludf.DUMMYFUNCTION("""COMPUTED_VALUE"""),"")</f>
        <v/>
      </c>
      <c r="BC40" s="2" t="str">
        <f ca="1">IFERROR(__xludf.DUMMYFUNCTION("""COMPUTED_VALUE"""),"")</f>
        <v/>
      </c>
      <c r="BD40" s="2" t="str">
        <f ca="1">IFERROR(__xludf.DUMMYFUNCTION("""COMPUTED_VALUE"""),"Whangamarino and Dean Wetland")</f>
        <v>Whangamarino and Dean Wetland</v>
      </c>
      <c r="BE40" s="2" t="str">
        <f ca="1">IFERROR(__xludf.DUMMYFUNCTION("""COMPUTED_VALUE"""),"No")</f>
        <v>No</v>
      </c>
      <c r="BF40" t="str">
        <f ca="1">IFERROR(__xludf.DUMMYFUNCTION("""COMPUTED_VALUE"""),"")</f>
        <v/>
      </c>
      <c r="BG40" t="str">
        <f ca="1">IFERROR(__xludf.DUMMYFUNCTION("""COMPUTED_VALUE"""),"")</f>
        <v/>
      </c>
      <c r="BH40" s="2" t="str">
        <f ca="1">IFERROR(__xludf.DUMMYFUNCTION("""COMPUTED_VALUE"""),"")</f>
        <v/>
      </c>
      <c r="BI40" s="13" t="str">
        <f ca="1">IFERROR(__xludf.DUMMYFUNCTION("""COMPUTED_VALUE"""),"")</f>
        <v/>
      </c>
      <c r="BJ40" s="9" t="str">
        <f ca="1">IFERROR(__xludf.DUMMYFUNCTION("""COMPUTED_VALUE"""),"")</f>
        <v/>
      </c>
      <c r="BK40" s="4" t="str">
        <f ca="1">IFERROR(__xludf.DUMMYFUNCTION("""COMPUTED_VALUE"""),"")</f>
        <v/>
      </c>
    </row>
    <row r="41" spans="1:63" ht="12.5" x14ac:dyDescent="0.25">
      <c r="A41" s="7">
        <f ca="1">IFERROR(__xludf.DUMMYFUNCTION("""COMPUTED_VALUE"""),43573.3919547106)</f>
        <v>43573.391954710598</v>
      </c>
      <c r="B41" s="8" t="str">
        <f ca="1">IFERROR(__xludf.DUMMYFUNCTION("""COMPUTED_VALUE"""),"Waikato")</f>
        <v>Waikato</v>
      </c>
      <c r="C41" s="2" t="str">
        <f ca="1">IFERROR(__xludf.DUMMYFUNCTION("""COMPUTED_VALUE"""),"")</f>
        <v/>
      </c>
      <c r="D41" s="9">
        <f ca="1">IFERROR(__xludf.DUMMYFUNCTION("""COMPUTED_VALUE"""),43470)</f>
        <v>43470</v>
      </c>
      <c r="E41" s="4">
        <f ca="1">IFERROR(__xludf.DUMMYFUNCTION("""COMPUTED_VALUE"""),0.604166666667879)</f>
        <v>0.60416666666787899</v>
      </c>
      <c r="F41" s="2" t="str">
        <f ca="1">IFERROR(__xludf.DUMMYFUNCTION("""COMPUTED_VALUE"""),"Whangamarino Eastern F&amp;G block")</f>
        <v>Whangamarino Eastern F&amp;G block</v>
      </c>
      <c r="G41" s="2" t="str">
        <f ca="1">IFERROR(__xludf.DUMMYFUNCTION("""COMPUTED_VALUE"""),"VHF (Mortality): I just listened to see if the signal was on mortality")</f>
        <v>VHF (Mortality): I just listened to see if the signal was on mortality</v>
      </c>
      <c r="H41" s="2" t="str">
        <f ca="1">IFERROR(__xludf.DUMMYFUNCTION("""COMPUTED_VALUE"""),"")</f>
        <v/>
      </c>
      <c r="I41" s="2" t="str">
        <f ca="1">IFERROR(__xludf.DUMMYFUNCTION("""COMPUTED_VALUE"""),"")</f>
        <v/>
      </c>
      <c r="J41" s="2" t="str">
        <f ca="1">IFERROR(__xludf.DUMMYFUNCTION("""COMPUTED_VALUE"""),"")</f>
        <v/>
      </c>
      <c r="K41" s="2" t="str">
        <f ca="1">IFERROR(__xludf.DUMMYFUNCTION("""COMPUTED_VALUE"""),"")</f>
        <v/>
      </c>
      <c r="L41" s="2" t="str">
        <f ca="1">IFERROR(__xludf.DUMMYFUNCTION("""COMPUTED_VALUE"""),"")</f>
        <v/>
      </c>
      <c r="M41" s="5" t="str">
        <f ca="1">IFERROR(__xludf.DUMMYFUNCTION("""COMPUTED_VALUE"""),"")</f>
        <v/>
      </c>
      <c r="N41" s="5" t="str">
        <f ca="1">IFERROR(__xludf.DUMMYFUNCTION("""COMPUTED_VALUE"""),"")</f>
        <v/>
      </c>
      <c r="O41" s="2" t="str">
        <f ca="1">IFERROR(__xludf.DUMMYFUNCTION("""COMPUTED_VALUE"""),"")</f>
        <v/>
      </c>
      <c r="P41" s="2" t="str">
        <f ca="1">IFERROR(__xludf.DUMMYFUNCTION("""COMPUTED_VALUE"""),"")</f>
        <v/>
      </c>
      <c r="Q41" s="2" t="str">
        <f ca="1">IFERROR(__xludf.DUMMYFUNCTION("""COMPUTED_VALUE"""),"")</f>
        <v/>
      </c>
      <c r="R41" s="2" t="str">
        <f ca="1">IFERROR(__xludf.DUMMYFUNCTION("""COMPUTED_VALUE"""),"")</f>
        <v/>
      </c>
      <c r="S41" s="2" t="str">
        <f ca="1">IFERROR(__xludf.DUMMYFUNCTION("""COMPUTED_VALUE"""),"")</f>
        <v/>
      </c>
      <c r="T41" s="2" t="str">
        <f ca="1">IFERROR(__xludf.DUMMYFUNCTION("""COMPUTED_VALUE"""),"")</f>
        <v/>
      </c>
      <c r="U41" s="2" t="str">
        <f ca="1">IFERROR(__xludf.DUMMYFUNCTION("""COMPUTED_VALUE"""),"")</f>
        <v/>
      </c>
      <c r="V41" s="2" t="str">
        <f ca="1">IFERROR(__xludf.DUMMYFUNCTION("""COMPUTED_VALUE"""),"")</f>
        <v/>
      </c>
      <c r="W41" s="2" t="str">
        <f ca="1">IFERROR(__xludf.DUMMYFUNCTION("""COMPUTED_VALUE"""),"")</f>
        <v/>
      </c>
      <c r="X41" s="2" t="str">
        <f ca="1">IFERROR(__xludf.DUMMYFUNCTION("""COMPUTED_VALUE"""),"")</f>
        <v/>
      </c>
      <c r="Y41" s="2" t="str">
        <f ca="1">IFERROR(__xludf.DUMMYFUNCTION("""COMPUTED_VALUE"""),"")</f>
        <v/>
      </c>
      <c r="Z41" s="2" t="str">
        <f ca="1">IFERROR(__xludf.DUMMYFUNCTION("""COMPUTED_VALUE"""),"")</f>
        <v/>
      </c>
      <c r="AA41" s="2" t="str">
        <f ca="1">IFERROR(__xludf.DUMMYFUNCTION("""COMPUTED_VALUE"""),"")</f>
        <v/>
      </c>
      <c r="AB41" s="2" t="str">
        <f ca="1">IFERROR(__xludf.DUMMYFUNCTION("""COMPUTED_VALUE"""),"")</f>
        <v/>
      </c>
      <c r="AC41" s="2" t="str">
        <f ca="1">IFERROR(__xludf.DUMMYFUNCTION("""COMPUTED_VALUE"""),"")</f>
        <v/>
      </c>
      <c r="AD41" s="2" t="str">
        <f ca="1">IFERROR(__xludf.DUMMYFUNCTION("""COMPUTED_VALUE"""),"")</f>
        <v/>
      </c>
      <c r="AE41" s="2" t="str">
        <f ca="1">IFERROR(__xludf.DUMMYFUNCTION("""COMPUTED_VALUE"""),"")</f>
        <v/>
      </c>
      <c r="AF41" s="2" t="str">
        <f ca="1">IFERROR(__xludf.DUMMYFUNCTION("""COMPUTED_VALUE"""),"")</f>
        <v/>
      </c>
      <c r="AG41" s="2" t="str">
        <f ca="1">IFERROR(__xludf.DUMMYFUNCTION("""COMPUTED_VALUE"""),"")</f>
        <v/>
      </c>
      <c r="AH41" s="2" t="str">
        <f ca="1">IFERROR(__xludf.DUMMYFUNCTION("""COMPUTED_VALUE"""),"")</f>
        <v/>
      </c>
      <c r="AI41" s="2" t="str">
        <f ca="1">IFERROR(__xludf.DUMMYFUNCTION("""COMPUTED_VALUE"""),"")</f>
        <v/>
      </c>
      <c r="AJ41" s="2" t="str">
        <f ca="1">IFERROR(__xludf.DUMMYFUNCTION("""COMPUTED_VALUE"""),"")</f>
        <v/>
      </c>
      <c r="AK41" s="2" t="str">
        <f ca="1">IFERROR(__xludf.DUMMYFUNCTION("""COMPUTED_VALUE"""),"")</f>
        <v/>
      </c>
      <c r="AL41" s="2" t="str">
        <f ca="1">IFERROR(__xludf.DUMMYFUNCTION("""COMPUTED_VALUE"""),"")</f>
        <v/>
      </c>
      <c r="AM41" s="2" t="str">
        <f ca="1">IFERROR(__xludf.DUMMYFUNCTION("""COMPUTED_VALUE"""),"")</f>
        <v/>
      </c>
      <c r="AN41" s="2" t="str">
        <f ca="1">IFERROR(__xludf.DUMMYFUNCTION("""COMPUTED_VALUE"""),"")</f>
        <v/>
      </c>
      <c r="AO41" s="2" t="str">
        <f ca="1">IFERROR(__xludf.DUMMYFUNCTION("""COMPUTED_VALUE"""),"")</f>
        <v/>
      </c>
      <c r="AP41" s="2" t="str">
        <f ca="1">IFERROR(__xludf.DUMMYFUNCTION("""COMPUTED_VALUE"""),"")</f>
        <v/>
      </c>
      <c r="AQ41" s="2" t="str">
        <f ca="1">IFERROR(__xludf.DUMMYFUNCTION("""COMPUTED_VALUE"""),"")</f>
        <v/>
      </c>
      <c r="AR41" s="2" t="str">
        <f ca="1">IFERROR(__xludf.DUMMYFUNCTION("""COMPUTED_VALUE"""),"")</f>
        <v/>
      </c>
      <c r="AS41" s="2" t="str">
        <f ca="1">IFERROR(__xludf.DUMMYFUNCTION("""COMPUTED_VALUE"""),"")</f>
        <v/>
      </c>
      <c r="AT41" s="2" t="str">
        <f ca="1">IFERROR(__xludf.DUMMYFUNCTION("""COMPUTED_VALUE"""),"")</f>
        <v/>
      </c>
      <c r="AU41" s="2" t="str">
        <f ca="1">IFERROR(__xludf.DUMMYFUNCTION("""COMPUTED_VALUE"""),"")</f>
        <v/>
      </c>
      <c r="AV41" s="2" t="str">
        <f ca="1">IFERROR(__xludf.DUMMYFUNCTION("""COMPUTED_VALUE"""),"30 pulses per minute - great all is well")</f>
        <v>30 pulses per minute - great all is well</v>
      </c>
      <c r="AW41" s="2">
        <f ca="1">IFERROR(__xludf.DUMMYFUNCTION("""COMPUTED_VALUE"""),1792923)</f>
        <v>1792923</v>
      </c>
      <c r="AX41" s="2">
        <f ca="1">IFERROR(__xludf.DUMMYFUNCTION("""COMPUTED_VALUE"""),5865608)</f>
        <v>5865608</v>
      </c>
      <c r="AY41" s="2" t="str">
        <f ca="1">IFERROR(__xludf.DUMMYFUNCTION("""COMPUTED_VALUE"""),"Good signal, 270 degrees")</f>
        <v>Good signal, 270 degrees</v>
      </c>
      <c r="AZ41" s="2" t="str">
        <f ca="1">IFERROR(__xludf.DUMMYFUNCTION("""COMPUTED_VALUE"""),"")</f>
        <v/>
      </c>
      <c r="BA41" s="2" t="str">
        <f ca="1">IFERROR(__xludf.DUMMYFUNCTION("""COMPUTED_VALUE"""),"")</f>
        <v/>
      </c>
      <c r="BB41" s="2" t="str">
        <f ca="1">IFERROR(__xludf.DUMMYFUNCTION("""COMPUTED_VALUE"""),"")</f>
        <v/>
      </c>
      <c r="BC41" s="2" t="str">
        <f ca="1">IFERROR(__xludf.DUMMYFUNCTION("""COMPUTED_VALUE"""),"")</f>
        <v/>
      </c>
      <c r="BD41" s="2" t="str">
        <f ca="1">IFERROR(__xludf.DUMMYFUNCTION("""COMPUTED_VALUE"""),"")</f>
        <v/>
      </c>
      <c r="BE41" s="2" t="str">
        <f ca="1">IFERROR(__xludf.DUMMYFUNCTION("""COMPUTED_VALUE"""),"")</f>
        <v/>
      </c>
      <c r="BF41" t="str">
        <f ca="1">IFERROR(__xludf.DUMMYFUNCTION("""COMPUTED_VALUE"""),"")</f>
        <v/>
      </c>
      <c r="BG41" t="str">
        <f ca="1">IFERROR(__xludf.DUMMYFUNCTION("""COMPUTED_VALUE"""),"")</f>
        <v/>
      </c>
      <c r="BH41" s="2" t="str">
        <f ca="1">IFERROR(__xludf.DUMMYFUNCTION("""COMPUTED_VALUE"""),"")</f>
        <v/>
      </c>
      <c r="BI41" s="12" t="str">
        <f ca="1">IFERROR(__xludf.DUMMYFUNCTION("""COMPUTED_VALUE"""),"")</f>
        <v/>
      </c>
      <c r="BJ41" s="9" t="str">
        <f ca="1">IFERROR(__xludf.DUMMYFUNCTION("""COMPUTED_VALUE"""),"")</f>
        <v/>
      </c>
      <c r="BK41" s="4" t="str">
        <f ca="1">IFERROR(__xludf.DUMMYFUNCTION("""COMPUTED_VALUE"""),"")</f>
        <v/>
      </c>
    </row>
    <row r="42" spans="1:63" ht="12.5" x14ac:dyDescent="0.25">
      <c r="A42" s="7">
        <f ca="1">IFERROR(__xludf.DUMMYFUNCTION("""COMPUTED_VALUE"""),43573.3980257754)</f>
        <v>43573.398025775401</v>
      </c>
      <c r="B42" s="8" t="str">
        <f ca="1">IFERROR(__xludf.DUMMYFUNCTION("""COMPUTED_VALUE"""),"Waikato")</f>
        <v>Waikato</v>
      </c>
      <c r="C42" s="2" t="str">
        <f ca="1">IFERROR(__xludf.DUMMYFUNCTION("""COMPUTED_VALUE"""),"")</f>
        <v/>
      </c>
      <c r="D42" s="9">
        <f ca="1">IFERROR(__xludf.DUMMYFUNCTION("""COMPUTED_VALUE"""),43490)</f>
        <v>43490</v>
      </c>
      <c r="E42" s="4">
        <f ca="1">IFERROR(__xludf.DUMMYFUNCTION("""COMPUTED_VALUE"""),0.48958333333212)</f>
        <v>0.48958333333212001</v>
      </c>
      <c r="F42" s="2" t="str">
        <f ca="1">IFERROR(__xludf.DUMMYFUNCTION("""COMPUTED_VALUE"""),"Dean Wetland")</f>
        <v>Dean Wetland</v>
      </c>
      <c r="G42" s="2" t="str">
        <f ca="1">IFERROR(__xludf.DUMMYFUNCTION("""COMPUTED_VALUE"""),"VHF (triangulation): I triangulated the bird with at least three bearings")</f>
        <v>VHF (triangulation): I triangulated the bird with at least three bearings</v>
      </c>
      <c r="H42" s="2" t="str">
        <f ca="1">IFERROR(__xludf.DUMMYFUNCTION("""COMPUTED_VALUE"""),"")</f>
        <v/>
      </c>
      <c r="I42" s="2" t="str">
        <f ca="1">IFERROR(__xludf.DUMMYFUNCTION("""COMPUTED_VALUE"""),"")</f>
        <v/>
      </c>
      <c r="J42" s="2" t="str">
        <f ca="1">IFERROR(__xludf.DUMMYFUNCTION("""COMPUTED_VALUE"""),"")</f>
        <v/>
      </c>
      <c r="K42" s="2" t="str">
        <f ca="1">IFERROR(__xludf.DUMMYFUNCTION("""COMPUTED_VALUE"""),"")</f>
        <v/>
      </c>
      <c r="L42" s="2" t="str">
        <f ca="1">IFERROR(__xludf.DUMMYFUNCTION("""COMPUTED_VALUE"""),"")</f>
        <v/>
      </c>
      <c r="M42" s="5" t="str">
        <f ca="1">IFERROR(__xludf.DUMMYFUNCTION("""COMPUTED_VALUE"""),"")</f>
        <v/>
      </c>
      <c r="N42" s="5" t="str">
        <f ca="1">IFERROR(__xludf.DUMMYFUNCTION("""COMPUTED_VALUE"""),"")</f>
        <v/>
      </c>
      <c r="O42" s="2" t="str">
        <f ca="1">IFERROR(__xludf.DUMMYFUNCTION("""COMPUTED_VALUE"""),"")</f>
        <v/>
      </c>
      <c r="P42" s="2" t="str">
        <f ca="1">IFERROR(__xludf.DUMMYFUNCTION("""COMPUTED_VALUE"""),"")</f>
        <v/>
      </c>
      <c r="Q42" s="2" t="str">
        <f ca="1">IFERROR(__xludf.DUMMYFUNCTION("""COMPUTED_VALUE"""),"")</f>
        <v/>
      </c>
      <c r="R42" s="2" t="str">
        <f ca="1">IFERROR(__xludf.DUMMYFUNCTION("""COMPUTED_VALUE"""),"")</f>
        <v/>
      </c>
      <c r="S42" s="2" t="str">
        <f ca="1">IFERROR(__xludf.DUMMYFUNCTION("""COMPUTED_VALUE"""),"")</f>
        <v/>
      </c>
      <c r="T42" s="2" t="str">
        <f ca="1">IFERROR(__xludf.DUMMYFUNCTION("""COMPUTED_VALUE"""),"")</f>
        <v/>
      </c>
      <c r="U42" s="2" t="str">
        <f ca="1">IFERROR(__xludf.DUMMYFUNCTION("""COMPUTED_VALUE"""),"")</f>
        <v/>
      </c>
      <c r="V42" s="2" t="str">
        <f ca="1">IFERROR(__xludf.DUMMYFUNCTION("""COMPUTED_VALUE"""),"")</f>
        <v/>
      </c>
      <c r="W42" s="2" t="str">
        <f ca="1">IFERROR(__xludf.DUMMYFUNCTION("""COMPUTED_VALUE"""),"")</f>
        <v/>
      </c>
      <c r="X42" s="2" t="str">
        <f ca="1">IFERROR(__xludf.DUMMYFUNCTION("""COMPUTED_VALUE"""),"")</f>
        <v/>
      </c>
      <c r="Y42" s="2" t="str">
        <f ca="1">IFERROR(__xludf.DUMMYFUNCTION("""COMPUTED_VALUE"""),"")</f>
        <v/>
      </c>
      <c r="Z42" s="2" t="str">
        <f ca="1">IFERROR(__xludf.DUMMYFUNCTION("""COMPUTED_VALUE"""),"")</f>
        <v/>
      </c>
      <c r="AA42" s="2">
        <f ca="1">IFERROR(__xludf.DUMMYFUNCTION("""COMPUTED_VALUE"""),1781124)</f>
        <v>1781124</v>
      </c>
      <c r="AB42" s="2">
        <f ca="1">IFERROR(__xludf.DUMMYFUNCTION("""COMPUTED_VALUE"""),5874272)</f>
        <v>5874272</v>
      </c>
      <c r="AC42" s="2">
        <f ca="1">IFERROR(__xludf.DUMMYFUNCTION("""COMPUTED_VALUE"""),36)</f>
        <v>36</v>
      </c>
      <c r="AD42" s="2" t="str">
        <f ca="1">IFERROR(__xludf.DUMMYFUNCTION("""COMPUTED_VALUE"""),"Medium - Signal was good but bird was not close.")</f>
        <v>Medium - Signal was good but bird was not close.</v>
      </c>
      <c r="AE42" s="2">
        <f ca="1">IFERROR(__xludf.DUMMYFUNCTION("""COMPUTED_VALUE"""),1781630)</f>
        <v>1781630</v>
      </c>
      <c r="AF42" s="2">
        <f ca="1">IFERROR(__xludf.DUMMYFUNCTION("""COMPUTED_VALUE"""),5874186)</f>
        <v>5874186</v>
      </c>
      <c r="AG42" s="2">
        <f ca="1">IFERROR(__xludf.DUMMYFUNCTION("""COMPUTED_VALUE"""),357)</f>
        <v>357</v>
      </c>
      <c r="AH42" s="2" t="str">
        <f ca="1">IFERROR(__xludf.DUMMYFUNCTION("""COMPUTED_VALUE"""),"Strong - I got a lovely, clear, strong signal.")</f>
        <v>Strong - I got a lovely, clear, strong signal.</v>
      </c>
      <c r="AI42" s="2">
        <f ca="1">IFERROR(__xludf.DUMMYFUNCTION("""COMPUTED_VALUE"""),1782385)</f>
        <v>1782385</v>
      </c>
      <c r="AJ42" s="2">
        <f ca="1">IFERROR(__xludf.DUMMYFUNCTION("""COMPUTED_VALUE"""),5874347)</f>
        <v>5874347</v>
      </c>
      <c r="AK42" s="2">
        <f ca="1">IFERROR(__xludf.DUMMYFUNCTION("""COMPUTED_VALUE"""),277)</f>
        <v>277</v>
      </c>
      <c r="AL42" s="2" t="str">
        <f ca="1">IFERROR(__xludf.DUMMYFUNCTION("""COMPUTED_VALUE"""),"Strong - I got a lovely, clear, strong signal.")</f>
        <v>Strong - I got a lovely, clear, strong signal.</v>
      </c>
      <c r="AM42" s="2" t="str">
        <f ca="1">IFERROR(__xludf.DUMMYFUNCTION("""COMPUTED_VALUE"""),"")</f>
        <v/>
      </c>
      <c r="AN42" s="2" t="str">
        <f ca="1">IFERROR(__xludf.DUMMYFUNCTION("""COMPUTED_VALUE"""),"")</f>
        <v/>
      </c>
      <c r="AO42" s="2" t="str">
        <f ca="1">IFERROR(__xludf.DUMMYFUNCTION("""COMPUTED_VALUE"""),"")</f>
        <v/>
      </c>
      <c r="AP42" s="2" t="str">
        <f ca="1">IFERROR(__xludf.DUMMYFUNCTION("""COMPUTED_VALUE"""),"")</f>
        <v/>
      </c>
      <c r="AQ42" s="2" t="str">
        <f ca="1">IFERROR(__xludf.DUMMYFUNCTION("""COMPUTED_VALUE"""),"")</f>
        <v/>
      </c>
      <c r="AR42" s="2" t="str">
        <f ca="1">IFERROR(__xludf.DUMMYFUNCTION("""COMPUTED_VALUE"""),"")</f>
        <v/>
      </c>
      <c r="AS42" s="2" t="str">
        <f ca="1">IFERROR(__xludf.DUMMYFUNCTION("""COMPUTED_VALUE"""),"")</f>
        <v/>
      </c>
      <c r="AT42" s="2" t="str">
        <f ca="1">IFERROR(__xludf.DUMMYFUNCTION("""COMPUTED_VALUE"""),"")</f>
        <v/>
      </c>
      <c r="AU42" s="2" t="str">
        <f ca="1">IFERROR(__xludf.DUMMYFUNCTION("""COMPUTED_VALUE"""),"No")</f>
        <v>No</v>
      </c>
      <c r="AV42" s="2" t="str">
        <f ca="1">IFERROR(__xludf.DUMMYFUNCTION("""COMPUTED_VALUE"""),"")</f>
        <v/>
      </c>
      <c r="AW42" s="2" t="str">
        <f ca="1">IFERROR(__xludf.DUMMYFUNCTION("""COMPUTED_VALUE"""),"")</f>
        <v/>
      </c>
      <c r="AX42" s="2" t="str">
        <f ca="1">IFERROR(__xludf.DUMMYFUNCTION("""COMPUTED_VALUE"""),"")</f>
        <v/>
      </c>
      <c r="AY42" s="2" t="str">
        <f ca="1">IFERROR(__xludf.DUMMYFUNCTION("""COMPUTED_VALUE"""),"")</f>
        <v/>
      </c>
      <c r="AZ42" s="2" t="str">
        <f ca="1">IFERROR(__xludf.DUMMYFUNCTION("""COMPUTED_VALUE"""),"")</f>
        <v/>
      </c>
      <c r="BA42" s="2" t="str">
        <f ca="1">IFERROR(__xludf.DUMMYFUNCTION("""COMPUTED_VALUE"""),"")</f>
        <v/>
      </c>
      <c r="BB42" s="2" t="str">
        <f ca="1">IFERROR(__xludf.DUMMYFUNCTION("""COMPUTED_VALUE"""),"")</f>
        <v/>
      </c>
      <c r="BC42" s="2" t="str">
        <f ca="1">IFERROR(__xludf.DUMMYFUNCTION("""COMPUTED_VALUE"""),"")</f>
        <v/>
      </c>
      <c r="BD42" s="2" t="str">
        <f ca="1">IFERROR(__xludf.DUMMYFUNCTION("""COMPUTED_VALUE"""),"")</f>
        <v/>
      </c>
      <c r="BE42" s="2" t="str">
        <f ca="1">IFERROR(__xludf.DUMMYFUNCTION("""COMPUTED_VALUE"""),"")</f>
        <v/>
      </c>
      <c r="BF42" t="str">
        <f ca="1">IFERROR(__xludf.DUMMYFUNCTION("""COMPUTED_VALUE"""),"")</f>
        <v/>
      </c>
      <c r="BG42" t="str">
        <f ca="1">IFERROR(__xludf.DUMMYFUNCTION("""COMPUTED_VALUE"""),"")</f>
        <v/>
      </c>
      <c r="BH42" s="2" t="str">
        <f ca="1">IFERROR(__xludf.DUMMYFUNCTION("""COMPUTED_VALUE"""),"")</f>
        <v/>
      </c>
      <c r="BI42" s="13" t="str">
        <f ca="1">IFERROR(__xludf.DUMMYFUNCTION("""COMPUTED_VALUE"""),"")</f>
        <v/>
      </c>
      <c r="BJ42" s="9" t="str">
        <f ca="1">IFERROR(__xludf.DUMMYFUNCTION("""COMPUTED_VALUE"""),"")</f>
        <v/>
      </c>
      <c r="BK42" s="4" t="str">
        <f ca="1">IFERROR(__xludf.DUMMYFUNCTION("""COMPUTED_VALUE"""),"")</f>
        <v/>
      </c>
    </row>
    <row r="43" spans="1:63" ht="12.5" x14ac:dyDescent="0.25">
      <c r="A43" s="7">
        <f ca="1">IFERROR(__xludf.DUMMYFUNCTION("""COMPUTED_VALUE"""),43573.3993738888)</f>
        <v>43573.399373888802</v>
      </c>
      <c r="B43" s="8" t="str">
        <f ca="1">IFERROR(__xludf.DUMMYFUNCTION("""COMPUTED_VALUE"""),"Waikato")</f>
        <v>Waikato</v>
      </c>
      <c r="C43" s="2" t="str">
        <f ca="1">IFERROR(__xludf.DUMMYFUNCTION("""COMPUTED_VALUE"""),"")</f>
        <v/>
      </c>
      <c r="D43" s="9">
        <f ca="1">IFERROR(__xludf.DUMMYFUNCTION("""COMPUTED_VALUE"""),43490)</f>
        <v>43490</v>
      </c>
      <c r="E43" s="4">
        <f ca="1">IFERROR(__xludf.DUMMYFUNCTION("""COMPUTED_VALUE"""),0.48958333333212)</f>
        <v>0.48958333333212001</v>
      </c>
      <c r="F43" s="2" t="str">
        <f ca="1">IFERROR(__xludf.DUMMYFUNCTION("""COMPUTED_VALUE"""),"Not found")</f>
        <v>Not found</v>
      </c>
      <c r="G43" s="2" t="str">
        <f ca="1">IFERROR(__xludf.DUMMYFUNCTION("""COMPUTED_VALUE"""),"None: I listened for the bird but was unable to find it")</f>
        <v>None: I listened for the bird but was unable to find it</v>
      </c>
      <c r="H43" s="2" t="str">
        <f ca="1">IFERROR(__xludf.DUMMYFUNCTION("""COMPUTED_VALUE"""),"")</f>
        <v/>
      </c>
      <c r="I43" s="2" t="str">
        <f ca="1">IFERROR(__xludf.DUMMYFUNCTION("""COMPUTED_VALUE"""),"")</f>
        <v/>
      </c>
      <c r="J43" s="2" t="str">
        <f ca="1">IFERROR(__xludf.DUMMYFUNCTION("""COMPUTED_VALUE"""),"")</f>
        <v/>
      </c>
      <c r="K43" s="2" t="str">
        <f ca="1">IFERROR(__xludf.DUMMYFUNCTION("""COMPUTED_VALUE"""),"")</f>
        <v/>
      </c>
      <c r="L43" s="2" t="str">
        <f ca="1">IFERROR(__xludf.DUMMYFUNCTION("""COMPUTED_VALUE"""),"")</f>
        <v/>
      </c>
      <c r="M43" s="5" t="str">
        <f ca="1">IFERROR(__xludf.DUMMYFUNCTION("""COMPUTED_VALUE"""),"")</f>
        <v/>
      </c>
      <c r="N43" s="5" t="str">
        <f ca="1">IFERROR(__xludf.DUMMYFUNCTION("""COMPUTED_VALUE"""),"")</f>
        <v/>
      </c>
      <c r="O43" s="2" t="str">
        <f ca="1">IFERROR(__xludf.DUMMYFUNCTION("""COMPUTED_VALUE"""),"")</f>
        <v/>
      </c>
      <c r="P43" s="2" t="str">
        <f ca="1">IFERROR(__xludf.DUMMYFUNCTION("""COMPUTED_VALUE"""),"")</f>
        <v/>
      </c>
      <c r="Q43" s="2" t="str">
        <f ca="1">IFERROR(__xludf.DUMMYFUNCTION("""COMPUTED_VALUE"""),"")</f>
        <v/>
      </c>
      <c r="R43" s="2" t="str">
        <f ca="1">IFERROR(__xludf.DUMMYFUNCTION("""COMPUTED_VALUE"""),"")</f>
        <v/>
      </c>
      <c r="S43" s="2" t="str">
        <f ca="1">IFERROR(__xludf.DUMMYFUNCTION("""COMPUTED_VALUE"""),"")</f>
        <v/>
      </c>
      <c r="T43" s="2" t="str">
        <f ca="1">IFERROR(__xludf.DUMMYFUNCTION("""COMPUTED_VALUE"""),"")</f>
        <v/>
      </c>
      <c r="U43" s="2" t="str">
        <f ca="1">IFERROR(__xludf.DUMMYFUNCTION("""COMPUTED_VALUE"""),"")</f>
        <v/>
      </c>
      <c r="V43" s="2" t="str">
        <f ca="1">IFERROR(__xludf.DUMMYFUNCTION("""COMPUTED_VALUE"""),"")</f>
        <v/>
      </c>
      <c r="W43" s="2" t="str">
        <f ca="1">IFERROR(__xludf.DUMMYFUNCTION("""COMPUTED_VALUE"""),"")</f>
        <v/>
      </c>
      <c r="X43" s="2" t="str">
        <f ca="1">IFERROR(__xludf.DUMMYFUNCTION("""COMPUTED_VALUE"""),"")</f>
        <v/>
      </c>
      <c r="Y43" s="2" t="str">
        <f ca="1">IFERROR(__xludf.DUMMYFUNCTION("""COMPUTED_VALUE"""),"")</f>
        <v/>
      </c>
      <c r="Z43" s="2" t="str">
        <f ca="1">IFERROR(__xludf.DUMMYFUNCTION("""COMPUTED_VALUE"""),"")</f>
        <v/>
      </c>
      <c r="AA43" s="2" t="str">
        <f ca="1">IFERROR(__xludf.DUMMYFUNCTION("""COMPUTED_VALUE"""),"")</f>
        <v/>
      </c>
      <c r="AB43" s="2" t="str">
        <f ca="1">IFERROR(__xludf.DUMMYFUNCTION("""COMPUTED_VALUE"""),"")</f>
        <v/>
      </c>
      <c r="AC43" s="2" t="str">
        <f ca="1">IFERROR(__xludf.DUMMYFUNCTION("""COMPUTED_VALUE"""),"")</f>
        <v/>
      </c>
      <c r="AD43" s="2" t="str">
        <f ca="1">IFERROR(__xludf.DUMMYFUNCTION("""COMPUTED_VALUE"""),"")</f>
        <v/>
      </c>
      <c r="AE43" s="2" t="str">
        <f ca="1">IFERROR(__xludf.DUMMYFUNCTION("""COMPUTED_VALUE"""),"")</f>
        <v/>
      </c>
      <c r="AF43" s="2" t="str">
        <f ca="1">IFERROR(__xludf.DUMMYFUNCTION("""COMPUTED_VALUE"""),"")</f>
        <v/>
      </c>
      <c r="AG43" s="2" t="str">
        <f ca="1">IFERROR(__xludf.DUMMYFUNCTION("""COMPUTED_VALUE"""),"")</f>
        <v/>
      </c>
      <c r="AH43" s="2" t="str">
        <f ca="1">IFERROR(__xludf.DUMMYFUNCTION("""COMPUTED_VALUE"""),"")</f>
        <v/>
      </c>
      <c r="AI43" s="2" t="str">
        <f ca="1">IFERROR(__xludf.DUMMYFUNCTION("""COMPUTED_VALUE"""),"")</f>
        <v/>
      </c>
      <c r="AJ43" s="2" t="str">
        <f ca="1">IFERROR(__xludf.DUMMYFUNCTION("""COMPUTED_VALUE"""),"")</f>
        <v/>
      </c>
      <c r="AK43" s="2" t="str">
        <f ca="1">IFERROR(__xludf.DUMMYFUNCTION("""COMPUTED_VALUE"""),"")</f>
        <v/>
      </c>
      <c r="AL43" s="2" t="str">
        <f ca="1">IFERROR(__xludf.DUMMYFUNCTION("""COMPUTED_VALUE"""),"")</f>
        <v/>
      </c>
      <c r="AM43" s="2" t="str">
        <f ca="1">IFERROR(__xludf.DUMMYFUNCTION("""COMPUTED_VALUE"""),"")</f>
        <v/>
      </c>
      <c r="AN43" s="2" t="str">
        <f ca="1">IFERROR(__xludf.DUMMYFUNCTION("""COMPUTED_VALUE"""),"")</f>
        <v/>
      </c>
      <c r="AO43" s="2" t="str">
        <f ca="1">IFERROR(__xludf.DUMMYFUNCTION("""COMPUTED_VALUE"""),"")</f>
        <v/>
      </c>
      <c r="AP43" s="2" t="str">
        <f ca="1">IFERROR(__xludf.DUMMYFUNCTION("""COMPUTED_VALUE"""),"")</f>
        <v/>
      </c>
      <c r="AQ43" s="2" t="str">
        <f ca="1">IFERROR(__xludf.DUMMYFUNCTION("""COMPUTED_VALUE"""),"")</f>
        <v/>
      </c>
      <c r="AR43" s="2" t="str">
        <f ca="1">IFERROR(__xludf.DUMMYFUNCTION("""COMPUTED_VALUE"""),"")</f>
        <v/>
      </c>
      <c r="AS43" s="2" t="str">
        <f ca="1">IFERROR(__xludf.DUMMYFUNCTION("""COMPUTED_VALUE"""),"")</f>
        <v/>
      </c>
      <c r="AT43" s="2" t="str">
        <f ca="1">IFERROR(__xludf.DUMMYFUNCTION("""COMPUTED_VALUE"""),"")</f>
        <v/>
      </c>
      <c r="AU43" s="2" t="str">
        <f ca="1">IFERROR(__xludf.DUMMYFUNCTION("""COMPUTED_VALUE"""),"")</f>
        <v/>
      </c>
      <c r="AV43" s="2" t="str">
        <f ca="1">IFERROR(__xludf.DUMMYFUNCTION("""COMPUTED_VALUE"""),"")</f>
        <v/>
      </c>
      <c r="AW43" s="2" t="str">
        <f ca="1">IFERROR(__xludf.DUMMYFUNCTION("""COMPUTED_VALUE"""),"")</f>
        <v/>
      </c>
      <c r="AX43" s="2" t="str">
        <f ca="1">IFERROR(__xludf.DUMMYFUNCTION("""COMPUTED_VALUE"""),"")</f>
        <v/>
      </c>
      <c r="AY43" s="2" t="str">
        <f ca="1">IFERROR(__xludf.DUMMYFUNCTION("""COMPUTED_VALUE"""),"")</f>
        <v/>
      </c>
      <c r="AZ43" s="2" t="str">
        <f ca="1">IFERROR(__xludf.DUMMYFUNCTION("""COMPUTED_VALUE"""),"")</f>
        <v/>
      </c>
      <c r="BA43" s="2" t="str">
        <f ca="1">IFERROR(__xludf.DUMMYFUNCTION("""COMPUTED_VALUE"""),"")</f>
        <v/>
      </c>
      <c r="BB43" s="2" t="str">
        <f ca="1">IFERROR(__xludf.DUMMYFUNCTION("""COMPUTED_VALUE"""),"")</f>
        <v/>
      </c>
      <c r="BC43" s="2" t="str">
        <f ca="1">IFERROR(__xludf.DUMMYFUNCTION("""COMPUTED_VALUE"""),"")</f>
        <v/>
      </c>
      <c r="BD43" s="2" t="str">
        <f ca="1">IFERROR(__xludf.DUMMYFUNCTION("""COMPUTED_VALUE"""),"Whangamarino and Dean Wetland")</f>
        <v>Whangamarino and Dean Wetland</v>
      </c>
      <c r="BE43" s="2" t="str">
        <f ca="1">IFERROR(__xludf.DUMMYFUNCTION("""COMPUTED_VALUE"""),"No")</f>
        <v>No</v>
      </c>
      <c r="BF43" t="str">
        <f ca="1">IFERROR(__xludf.DUMMYFUNCTION("""COMPUTED_VALUE"""),"")</f>
        <v/>
      </c>
      <c r="BG43" t="str">
        <f ca="1">IFERROR(__xludf.DUMMYFUNCTION("""COMPUTED_VALUE"""),"")</f>
        <v/>
      </c>
      <c r="BH43" s="2" t="str">
        <f ca="1">IFERROR(__xludf.DUMMYFUNCTION("""COMPUTED_VALUE"""),"")</f>
        <v/>
      </c>
      <c r="BI43" s="12" t="str">
        <f ca="1">IFERROR(__xludf.DUMMYFUNCTION("""COMPUTED_VALUE"""),"")</f>
        <v/>
      </c>
      <c r="BJ43" s="9" t="str">
        <f ca="1">IFERROR(__xludf.DUMMYFUNCTION("""COMPUTED_VALUE"""),"")</f>
        <v/>
      </c>
      <c r="BK43" s="4" t="str">
        <f ca="1">IFERROR(__xludf.DUMMYFUNCTION("""COMPUTED_VALUE"""),"")</f>
        <v/>
      </c>
    </row>
    <row r="44" spans="1:63" ht="12.5" x14ac:dyDescent="0.25">
      <c r="A44" s="7">
        <f ca="1">IFERROR(__xludf.DUMMYFUNCTION("""COMPUTED_VALUE"""),43573.4000525694)</f>
        <v>43573.400052569399</v>
      </c>
      <c r="B44" s="8" t="str">
        <f ca="1">IFERROR(__xludf.DUMMYFUNCTION("""COMPUTED_VALUE"""),"Waikato")</f>
        <v>Waikato</v>
      </c>
      <c r="C44" s="2" t="str">
        <f ca="1">IFERROR(__xludf.DUMMYFUNCTION("""COMPUTED_VALUE"""),"")</f>
        <v/>
      </c>
      <c r="D44" s="9">
        <f ca="1">IFERROR(__xludf.DUMMYFUNCTION("""COMPUTED_VALUE"""),43490)</f>
        <v>43490</v>
      </c>
      <c r="E44" s="4">
        <f ca="1">IFERROR(__xludf.DUMMYFUNCTION("""COMPUTED_VALUE"""),0.48958333333212)</f>
        <v>0.48958333333212001</v>
      </c>
      <c r="F44" s="2" t="str">
        <f ca="1">IFERROR(__xludf.DUMMYFUNCTION("""COMPUTED_VALUE"""),"Not found")</f>
        <v>Not found</v>
      </c>
      <c r="G44" s="2" t="str">
        <f ca="1">IFERROR(__xludf.DUMMYFUNCTION("""COMPUTED_VALUE"""),"None: I listened for the bird but was unable to find it")</f>
        <v>None: I listened for the bird but was unable to find it</v>
      </c>
      <c r="H44" s="2" t="str">
        <f ca="1">IFERROR(__xludf.DUMMYFUNCTION("""COMPUTED_VALUE"""),"")</f>
        <v/>
      </c>
      <c r="I44" s="2" t="str">
        <f ca="1">IFERROR(__xludf.DUMMYFUNCTION("""COMPUTED_VALUE"""),"")</f>
        <v/>
      </c>
      <c r="J44" s="2" t="str">
        <f ca="1">IFERROR(__xludf.DUMMYFUNCTION("""COMPUTED_VALUE"""),"")</f>
        <v/>
      </c>
      <c r="K44" s="2" t="str">
        <f ca="1">IFERROR(__xludf.DUMMYFUNCTION("""COMPUTED_VALUE"""),"")</f>
        <v/>
      </c>
      <c r="L44" s="2" t="str">
        <f ca="1">IFERROR(__xludf.DUMMYFUNCTION("""COMPUTED_VALUE"""),"")</f>
        <v/>
      </c>
      <c r="M44" s="5" t="str">
        <f ca="1">IFERROR(__xludf.DUMMYFUNCTION("""COMPUTED_VALUE"""),"")</f>
        <v/>
      </c>
      <c r="N44" s="5" t="str">
        <f ca="1">IFERROR(__xludf.DUMMYFUNCTION("""COMPUTED_VALUE"""),"")</f>
        <v/>
      </c>
      <c r="O44" s="2" t="str">
        <f ca="1">IFERROR(__xludf.DUMMYFUNCTION("""COMPUTED_VALUE"""),"")</f>
        <v/>
      </c>
      <c r="P44" s="2" t="str">
        <f ca="1">IFERROR(__xludf.DUMMYFUNCTION("""COMPUTED_VALUE"""),"")</f>
        <v/>
      </c>
      <c r="Q44" s="2" t="str">
        <f ca="1">IFERROR(__xludf.DUMMYFUNCTION("""COMPUTED_VALUE"""),"")</f>
        <v/>
      </c>
      <c r="R44" s="2" t="str">
        <f ca="1">IFERROR(__xludf.DUMMYFUNCTION("""COMPUTED_VALUE"""),"")</f>
        <v/>
      </c>
      <c r="S44" s="2" t="str">
        <f ca="1">IFERROR(__xludf.DUMMYFUNCTION("""COMPUTED_VALUE"""),"")</f>
        <v/>
      </c>
      <c r="T44" s="2" t="str">
        <f ca="1">IFERROR(__xludf.DUMMYFUNCTION("""COMPUTED_VALUE"""),"")</f>
        <v/>
      </c>
      <c r="U44" s="2" t="str">
        <f ca="1">IFERROR(__xludf.DUMMYFUNCTION("""COMPUTED_VALUE"""),"")</f>
        <v/>
      </c>
      <c r="V44" s="2" t="str">
        <f ca="1">IFERROR(__xludf.DUMMYFUNCTION("""COMPUTED_VALUE"""),"")</f>
        <v/>
      </c>
      <c r="W44" s="2" t="str">
        <f ca="1">IFERROR(__xludf.DUMMYFUNCTION("""COMPUTED_VALUE"""),"")</f>
        <v/>
      </c>
      <c r="X44" s="2" t="str">
        <f ca="1">IFERROR(__xludf.DUMMYFUNCTION("""COMPUTED_VALUE"""),"")</f>
        <v/>
      </c>
      <c r="Y44" s="2" t="str">
        <f ca="1">IFERROR(__xludf.DUMMYFUNCTION("""COMPUTED_VALUE"""),"")</f>
        <v/>
      </c>
      <c r="Z44" s="2" t="str">
        <f ca="1">IFERROR(__xludf.DUMMYFUNCTION("""COMPUTED_VALUE"""),"")</f>
        <v/>
      </c>
      <c r="AA44" s="2" t="str">
        <f ca="1">IFERROR(__xludf.DUMMYFUNCTION("""COMPUTED_VALUE"""),"")</f>
        <v/>
      </c>
      <c r="AB44" s="2" t="str">
        <f ca="1">IFERROR(__xludf.DUMMYFUNCTION("""COMPUTED_VALUE"""),"")</f>
        <v/>
      </c>
      <c r="AC44" s="2" t="str">
        <f ca="1">IFERROR(__xludf.DUMMYFUNCTION("""COMPUTED_VALUE"""),"")</f>
        <v/>
      </c>
      <c r="AD44" s="2" t="str">
        <f ca="1">IFERROR(__xludf.DUMMYFUNCTION("""COMPUTED_VALUE"""),"")</f>
        <v/>
      </c>
      <c r="AE44" s="2" t="str">
        <f ca="1">IFERROR(__xludf.DUMMYFUNCTION("""COMPUTED_VALUE"""),"")</f>
        <v/>
      </c>
      <c r="AF44" s="2" t="str">
        <f ca="1">IFERROR(__xludf.DUMMYFUNCTION("""COMPUTED_VALUE"""),"")</f>
        <v/>
      </c>
      <c r="AG44" s="2" t="str">
        <f ca="1">IFERROR(__xludf.DUMMYFUNCTION("""COMPUTED_VALUE"""),"")</f>
        <v/>
      </c>
      <c r="AH44" s="2" t="str">
        <f ca="1">IFERROR(__xludf.DUMMYFUNCTION("""COMPUTED_VALUE"""),"")</f>
        <v/>
      </c>
      <c r="AI44" s="2" t="str">
        <f ca="1">IFERROR(__xludf.DUMMYFUNCTION("""COMPUTED_VALUE"""),"")</f>
        <v/>
      </c>
      <c r="AJ44" s="2" t="str">
        <f ca="1">IFERROR(__xludf.DUMMYFUNCTION("""COMPUTED_VALUE"""),"")</f>
        <v/>
      </c>
      <c r="AK44" s="2" t="str">
        <f ca="1">IFERROR(__xludf.DUMMYFUNCTION("""COMPUTED_VALUE"""),"")</f>
        <v/>
      </c>
      <c r="AL44" s="2" t="str">
        <f ca="1">IFERROR(__xludf.DUMMYFUNCTION("""COMPUTED_VALUE"""),"")</f>
        <v/>
      </c>
      <c r="AM44" s="2" t="str">
        <f ca="1">IFERROR(__xludf.DUMMYFUNCTION("""COMPUTED_VALUE"""),"")</f>
        <v/>
      </c>
      <c r="AN44" s="2" t="str">
        <f ca="1">IFERROR(__xludf.DUMMYFUNCTION("""COMPUTED_VALUE"""),"")</f>
        <v/>
      </c>
      <c r="AO44" s="2" t="str">
        <f ca="1">IFERROR(__xludf.DUMMYFUNCTION("""COMPUTED_VALUE"""),"")</f>
        <v/>
      </c>
      <c r="AP44" s="2" t="str">
        <f ca="1">IFERROR(__xludf.DUMMYFUNCTION("""COMPUTED_VALUE"""),"")</f>
        <v/>
      </c>
      <c r="AQ44" s="2" t="str">
        <f ca="1">IFERROR(__xludf.DUMMYFUNCTION("""COMPUTED_VALUE"""),"")</f>
        <v/>
      </c>
      <c r="AR44" s="2" t="str">
        <f ca="1">IFERROR(__xludf.DUMMYFUNCTION("""COMPUTED_VALUE"""),"")</f>
        <v/>
      </c>
      <c r="AS44" s="2" t="str">
        <f ca="1">IFERROR(__xludf.DUMMYFUNCTION("""COMPUTED_VALUE"""),"")</f>
        <v/>
      </c>
      <c r="AT44" s="2" t="str">
        <f ca="1">IFERROR(__xludf.DUMMYFUNCTION("""COMPUTED_VALUE"""),"")</f>
        <v/>
      </c>
      <c r="AU44" s="2" t="str">
        <f ca="1">IFERROR(__xludf.DUMMYFUNCTION("""COMPUTED_VALUE"""),"")</f>
        <v/>
      </c>
      <c r="AV44" s="2" t="str">
        <f ca="1">IFERROR(__xludf.DUMMYFUNCTION("""COMPUTED_VALUE"""),"")</f>
        <v/>
      </c>
      <c r="AW44" s="2" t="str">
        <f ca="1">IFERROR(__xludf.DUMMYFUNCTION("""COMPUTED_VALUE"""),"")</f>
        <v/>
      </c>
      <c r="AX44" s="2" t="str">
        <f ca="1">IFERROR(__xludf.DUMMYFUNCTION("""COMPUTED_VALUE"""),"")</f>
        <v/>
      </c>
      <c r="AY44" s="2" t="str">
        <f ca="1">IFERROR(__xludf.DUMMYFUNCTION("""COMPUTED_VALUE"""),"")</f>
        <v/>
      </c>
      <c r="AZ44" s="2" t="str">
        <f ca="1">IFERROR(__xludf.DUMMYFUNCTION("""COMPUTED_VALUE"""),"")</f>
        <v/>
      </c>
      <c r="BA44" s="2" t="str">
        <f ca="1">IFERROR(__xludf.DUMMYFUNCTION("""COMPUTED_VALUE"""),"")</f>
        <v/>
      </c>
      <c r="BB44" s="2" t="str">
        <f ca="1">IFERROR(__xludf.DUMMYFUNCTION("""COMPUTED_VALUE"""),"")</f>
        <v/>
      </c>
      <c r="BC44" s="2" t="str">
        <f ca="1">IFERROR(__xludf.DUMMYFUNCTION("""COMPUTED_VALUE"""),"")</f>
        <v/>
      </c>
      <c r="BD44" s="2" t="str">
        <f ca="1">IFERROR(__xludf.DUMMYFUNCTION("""COMPUTED_VALUE"""),"Whangamarino and Dean Wetland")</f>
        <v>Whangamarino and Dean Wetland</v>
      </c>
      <c r="BE44" s="2" t="str">
        <f ca="1">IFERROR(__xludf.DUMMYFUNCTION("""COMPUTED_VALUE"""),"No")</f>
        <v>No</v>
      </c>
      <c r="BF44" t="str">
        <f ca="1">IFERROR(__xludf.DUMMYFUNCTION("""COMPUTED_VALUE"""),"")</f>
        <v/>
      </c>
      <c r="BG44" t="str">
        <f ca="1">IFERROR(__xludf.DUMMYFUNCTION("""COMPUTED_VALUE"""),"")</f>
        <v/>
      </c>
      <c r="BH44" s="2" t="str">
        <f ca="1">IFERROR(__xludf.DUMMYFUNCTION("""COMPUTED_VALUE"""),"")</f>
        <v/>
      </c>
      <c r="BI44" s="13" t="str">
        <f ca="1">IFERROR(__xludf.DUMMYFUNCTION("""COMPUTED_VALUE"""),"")</f>
        <v/>
      </c>
      <c r="BJ44" s="9" t="str">
        <f ca="1">IFERROR(__xludf.DUMMYFUNCTION("""COMPUTED_VALUE"""),"")</f>
        <v/>
      </c>
      <c r="BK44" s="4" t="str">
        <f ca="1">IFERROR(__xludf.DUMMYFUNCTION("""COMPUTED_VALUE"""),"")</f>
        <v/>
      </c>
    </row>
    <row r="45" spans="1:63" ht="12.5" x14ac:dyDescent="0.25">
      <c r="A45" s="7">
        <f ca="1">IFERROR(__xludf.DUMMYFUNCTION("""COMPUTED_VALUE"""),43573.4006965856)</f>
        <v>43573.400696585602</v>
      </c>
      <c r="B45" s="8" t="str">
        <f ca="1">IFERROR(__xludf.DUMMYFUNCTION("""COMPUTED_VALUE"""),"Waikato")</f>
        <v>Waikato</v>
      </c>
      <c r="C45" s="2" t="str">
        <f ca="1">IFERROR(__xludf.DUMMYFUNCTION("""COMPUTED_VALUE"""),"")</f>
        <v/>
      </c>
      <c r="D45" s="9">
        <f ca="1">IFERROR(__xludf.DUMMYFUNCTION("""COMPUTED_VALUE"""),43490)</f>
        <v>43490</v>
      </c>
      <c r="E45" s="4">
        <f ca="1">IFERROR(__xludf.DUMMYFUNCTION("""COMPUTED_VALUE"""),0.48958333333212)</f>
        <v>0.48958333333212001</v>
      </c>
      <c r="F45" s="2" t="str">
        <f ca="1">IFERROR(__xludf.DUMMYFUNCTION("""COMPUTED_VALUE"""),"Not found")</f>
        <v>Not found</v>
      </c>
      <c r="G45" s="2" t="str">
        <f ca="1">IFERROR(__xludf.DUMMYFUNCTION("""COMPUTED_VALUE"""),"None: I listened for the bird but was unable to find it")</f>
        <v>None: I listened for the bird but was unable to find it</v>
      </c>
      <c r="H45" s="2" t="str">
        <f ca="1">IFERROR(__xludf.DUMMYFUNCTION("""COMPUTED_VALUE"""),"")</f>
        <v/>
      </c>
      <c r="I45" s="2" t="str">
        <f ca="1">IFERROR(__xludf.DUMMYFUNCTION("""COMPUTED_VALUE"""),"")</f>
        <v/>
      </c>
      <c r="J45" s="2" t="str">
        <f ca="1">IFERROR(__xludf.DUMMYFUNCTION("""COMPUTED_VALUE"""),"")</f>
        <v/>
      </c>
      <c r="K45" s="2" t="str">
        <f ca="1">IFERROR(__xludf.DUMMYFUNCTION("""COMPUTED_VALUE"""),"")</f>
        <v/>
      </c>
      <c r="L45" s="2" t="str">
        <f ca="1">IFERROR(__xludf.DUMMYFUNCTION("""COMPUTED_VALUE"""),"")</f>
        <v/>
      </c>
      <c r="M45" s="5" t="str">
        <f ca="1">IFERROR(__xludf.DUMMYFUNCTION("""COMPUTED_VALUE"""),"")</f>
        <v/>
      </c>
      <c r="N45" s="5" t="str">
        <f ca="1">IFERROR(__xludf.DUMMYFUNCTION("""COMPUTED_VALUE"""),"")</f>
        <v/>
      </c>
      <c r="O45" s="2" t="str">
        <f ca="1">IFERROR(__xludf.DUMMYFUNCTION("""COMPUTED_VALUE"""),"")</f>
        <v/>
      </c>
      <c r="P45" s="2" t="str">
        <f ca="1">IFERROR(__xludf.DUMMYFUNCTION("""COMPUTED_VALUE"""),"")</f>
        <v/>
      </c>
      <c r="Q45" s="2" t="str">
        <f ca="1">IFERROR(__xludf.DUMMYFUNCTION("""COMPUTED_VALUE"""),"")</f>
        <v/>
      </c>
      <c r="R45" s="2" t="str">
        <f ca="1">IFERROR(__xludf.DUMMYFUNCTION("""COMPUTED_VALUE"""),"")</f>
        <v/>
      </c>
      <c r="S45" s="2" t="str">
        <f ca="1">IFERROR(__xludf.DUMMYFUNCTION("""COMPUTED_VALUE"""),"")</f>
        <v/>
      </c>
      <c r="T45" s="2" t="str">
        <f ca="1">IFERROR(__xludf.DUMMYFUNCTION("""COMPUTED_VALUE"""),"")</f>
        <v/>
      </c>
      <c r="U45" s="2" t="str">
        <f ca="1">IFERROR(__xludf.DUMMYFUNCTION("""COMPUTED_VALUE"""),"")</f>
        <v/>
      </c>
      <c r="V45" s="2" t="str">
        <f ca="1">IFERROR(__xludf.DUMMYFUNCTION("""COMPUTED_VALUE"""),"")</f>
        <v/>
      </c>
      <c r="W45" s="2" t="str">
        <f ca="1">IFERROR(__xludf.DUMMYFUNCTION("""COMPUTED_VALUE"""),"")</f>
        <v/>
      </c>
      <c r="X45" s="2" t="str">
        <f ca="1">IFERROR(__xludf.DUMMYFUNCTION("""COMPUTED_VALUE"""),"")</f>
        <v/>
      </c>
      <c r="Y45" s="2" t="str">
        <f ca="1">IFERROR(__xludf.DUMMYFUNCTION("""COMPUTED_VALUE"""),"")</f>
        <v/>
      </c>
      <c r="Z45" s="2" t="str">
        <f ca="1">IFERROR(__xludf.DUMMYFUNCTION("""COMPUTED_VALUE"""),"")</f>
        <v/>
      </c>
      <c r="AA45" s="2" t="str">
        <f ca="1">IFERROR(__xludf.DUMMYFUNCTION("""COMPUTED_VALUE"""),"")</f>
        <v/>
      </c>
      <c r="AB45" s="2" t="str">
        <f ca="1">IFERROR(__xludf.DUMMYFUNCTION("""COMPUTED_VALUE"""),"")</f>
        <v/>
      </c>
      <c r="AC45" s="2" t="str">
        <f ca="1">IFERROR(__xludf.DUMMYFUNCTION("""COMPUTED_VALUE"""),"")</f>
        <v/>
      </c>
      <c r="AD45" s="2" t="str">
        <f ca="1">IFERROR(__xludf.DUMMYFUNCTION("""COMPUTED_VALUE"""),"")</f>
        <v/>
      </c>
      <c r="AE45" s="2" t="str">
        <f ca="1">IFERROR(__xludf.DUMMYFUNCTION("""COMPUTED_VALUE"""),"")</f>
        <v/>
      </c>
      <c r="AF45" s="2" t="str">
        <f ca="1">IFERROR(__xludf.DUMMYFUNCTION("""COMPUTED_VALUE"""),"")</f>
        <v/>
      </c>
      <c r="AG45" s="2" t="str">
        <f ca="1">IFERROR(__xludf.DUMMYFUNCTION("""COMPUTED_VALUE"""),"")</f>
        <v/>
      </c>
      <c r="AH45" s="2" t="str">
        <f ca="1">IFERROR(__xludf.DUMMYFUNCTION("""COMPUTED_VALUE"""),"")</f>
        <v/>
      </c>
      <c r="AI45" s="2" t="str">
        <f ca="1">IFERROR(__xludf.DUMMYFUNCTION("""COMPUTED_VALUE"""),"")</f>
        <v/>
      </c>
      <c r="AJ45" s="2" t="str">
        <f ca="1">IFERROR(__xludf.DUMMYFUNCTION("""COMPUTED_VALUE"""),"")</f>
        <v/>
      </c>
      <c r="AK45" s="2" t="str">
        <f ca="1">IFERROR(__xludf.DUMMYFUNCTION("""COMPUTED_VALUE"""),"")</f>
        <v/>
      </c>
      <c r="AL45" s="2" t="str">
        <f ca="1">IFERROR(__xludf.DUMMYFUNCTION("""COMPUTED_VALUE"""),"")</f>
        <v/>
      </c>
      <c r="AM45" s="2" t="str">
        <f ca="1">IFERROR(__xludf.DUMMYFUNCTION("""COMPUTED_VALUE"""),"")</f>
        <v/>
      </c>
      <c r="AN45" s="2" t="str">
        <f ca="1">IFERROR(__xludf.DUMMYFUNCTION("""COMPUTED_VALUE"""),"")</f>
        <v/>
      </c>
      <c r="AO45" s="2" t="str">
        <f ca="1">IFERROR(__xludf.DUMMYFUNCTION("""COMPUTED_VALUE"""),"")</f>
        <v/>
      </c>
      <c r="AP45" s="2" t="str">
        <f ca="1">IFERROR(__xludf.DUMMYFUNCTION("""COMPUTED_VALUE"""),"")</f>
        <v/>
      </c>
      <c r="AQ45" s="2" t="str">
        <f ca="1">IFERROR(__xludf.DUMMYFUNCTION("""COMPUTED_VALUE"""),"")</f>
        <v/>
      </c>
      <c r="AR45" s="2" t="str">
        <f ca="1">IFERROR(__xludf.DUMMYFUNCTION("""COMPUTED_VALUE"""),"")</f>
        <v/>
      </c>
      <c r="AS45" s="2" t="str">
        <f ca="1">IFERROR(__xludf.DUMMYFUNCTION("""COMPUTED_VALUE"""),"")</f>
        <v/>
      </c>
      <c r="AT45" s="2" t="str">
        <f ca="1">IFERROR(__xludf.DUMMYFUNCTION("""COMPUTED_VALUE"""),"")</f>
        <v/>
      </c>
      <c r="AU45" s="2" t="str">
        <f ca="1">IFERROR(__xludf.DUMMYFUNCTION("""COMPUTED_VALUE"""),"")</f>
        <v/>
      </c>
      <c r="AV45" s="2" t="str">
        <f ca="1">IFERROR(__xludf.DUMMYFUNCTION("""COMPUTED_VALUE"""),"")</f>
        <v/>
      </c>
      <c r="AW45" s="2" t="str">
        <f ca="1">IFERROR(__xludf.DUMMYFUNCTION("""COMPUTED_VALUE"""),"")</f>
        <v/>
      </c>
      <c r="AX45" s="2" t="str">
        <f ca="1">IFERROR(__xludf.DUMMYFUNCTION("""COMPUTED_VALUE"""),"")</f>
        <v/>
      </c>
      <c r="AY45" s="2" t="str">
        <f ca="1">IFERROR(__xludf.DUMMYFUNCTION("""COMPUTED_VALUE"""),"")</f>
        <v/>
      </c>
      <c r="AZ45" s="2" t="str">
        <f ca="1">IFERROR(__xludf.DUMMYFUNCTION("""COMPUTED_VALUE"""),"")</f>
        <v/>
      </c>
      <c r="BA45" s="2" t="str">
        <f ca="1">IFERROR(__xludf.DUMMYFUNCTION("""COMPUTED_VALUE"""),"")</f>
        <v/>
      </c>
      <c r="BB45" s="2" t="str">
        <f ca="1">IFERROR(__xludf.DUMMYFUNCTION("""COMPUTED_VALUE"""),"")</f>
        <v/>
      </c>
      <c r="BC45" s="2" t="str">
        <f ca="1">IFERROR(__xludf.DUMMYFUNCTION("""COMPUTED_VALUE"""),"")</f>
        <v/>
      </c>
      <c r="BD45" s="2" t="str">
        <f ca="1">IFERROR(__xludf.DUMMYFUNCTION("""COMPUTED_VALUE"""),"Whangamarino and Dean Wetland")</f>
        <v>Whangamarino and Dean Wetland</v>
      </c>
      <c r="BE45" s="2" t="str">
        <f ca="1">IFERROR(__xludf.DUMMYFUNCTION("""COMPUTED_VALUE"""),"No")</f>
        <v>No</v>
      </c>
      <c r="BF45" t="str">
        <f ca="1">IFERROR(__xludf.DUMMYFUNCTION("""COMPUTED_VALUE"""),"")</f>
        <v/>
      </c>
      <c r="BG45" t="str">
        <f ca="1">IFERROR(__xludf.DUMMYFUNCTION("""COMPUTED_VALUE"""),"")</f>
        <v/>
      </c>
      <c r="BH45" s="2" t="str">
        <f ca="1">IFERROR(__xludf.DUMMYFUNCTION("""COMPUTED_VALUE"""),"")</f>
        <v/>
      </c>
      <c r="BI45" s="12" t="str">
        <f ca="1">IFERROR(__xludf.DUMMYFUNCTION("""COMPUTED_VALUE"""),"")</f>
        <v/>
      </c>
      <c r="BJ45" s="9" t="str">
        <f ca="1">IFERROR(__xludf.DUMMYFUNCTION("""COMPUTED_VALUE"""),"")</f>
        <v/>
      </c>
      <c r="BK45" s="4" t="str">
        <f ca="1">IFERROR(__xludf.DUMMYFUNCTION("""COMPUTED_VALUE"""),"")</f>
        <v/>
      </c>
    </row>
    <row r="46" spans="1:63" ht="12.5" x14ac:dyDescent="0.25">
      <c r="A46" s="7">
        <f ca="1">IFERROR(__xludf.DUMMYFUNCTION("""COMPUTED_VALUE"""),43573.4045354745)</f>
        <v>43573.404535474503</v>
      </c>
      <c r="B46" s="8" t="str">
        <f ca="1">IFERROR(__xludf.DUMMYFUNCTION("""COMPUTED_VALUE"""),"Waikato")</f>
        <v>Waikato</v>
      </c>
      <c r="C46" s="2" t="str">
        <f ca="1">IFERROR(__xludf.DUMMYFUNCTION("""COMPUTED_VALUE"""),"")</f>
        <v/>
      </c>
      <c r="D46" s="9">
        <f ca="1">IFERROR(__xludf.DUMMYFUNCTION("""COMPUTED_VALUE"""),43510)</f>
        <v>43510</v>
      </c>
      <c r="E46" s="4">
        <f ca="1">IFERROR(__xludf.DUMMYFUNCTION("""COMPUTED_VALUE"""),0.39583333333212)</f>
        <v>0.39583333333212001</v>
      </c>
      <c r="F46" s="2" t="str">
        <f ca="1">IFERROR(__xludf.DUMMYFUNCTION("""COMPUTED_VALUE"""),"Dean Wetland")</f>
        <v>Dean Wetland</v>
      </c>
      <c r="G46" s="2" t="str">
        <f ca="1">IFERROR(__xludf.DUMMYFUNCTION("""COMPUTED_VALUE"""),"VHF (triangulation): I triangulated the bird with at least three bearings")</f>
        <v>VHF (triangulation): I triangulated the bird with at least three bearings</v>
      </c>
      <c r="H46" s="2" t="str">
        <f ca="1">IFERROR(__xludf.DUMMYFUNCTION("""COMPUTED_VALUE"""),"")</f>
        <v/>
      </c>
      <c r="I46" s="2" t="str">
        <f ca="1">IFERROR(__xludf.DUMMYFUNCTION("""COMPUTED_VALUE"""),"")</f>
        <v/>
      </c>
      <c r="J46" s="2" t="str">
        <f ca="1">IFERROR(__xludf.DUMMYFUNCTION("""COMPUTED_VALUE"""),"")</f>
        <v/>
      </c>
      <c r="K46" s="2" t="str">
        <f ca="1">IFERROR(__xludf.DUMMYFUNCTION("""COMPUTED_VALUE"""),"")</f>
        <v/>
      </c>
      <c r="L46" s="2" t="str">
        <f ca="1">IFERROR(__xludf.DUMMYFUNCTION("""COMPUTED_VALUE"""),"")</f>
        <v/>
      </c>
      <c r="M46" s="5" t="str">
        <f ca="1">IFERROR(__xludf.DUMMYFUNCTION("""COMPUTED_VALUE"""),"")</f>
        <v/>
      </c>
      <c r="N46" s="5" t="str">
        <f ca="1">IFERROR(__xludf.DUMMYFUNCTION("""COMPUTED_VALUE"""),"")</f>
        <v/>
      </c>
      <c r="O46" s="2" t="str">
        <f ca="1">IFERROR(__xludf.DUMMYFUNCTION("""COMPUTED_VALUE"""),"")</f>
        <v/>
      </c>
      <c r="P46" s="2" t="str">
        <f ca="1">IFERROR(__xludf.DUMMYFUNCTION("""COMPUTED_VALUE"""),"")</f>
        <v/>
      </c>
      <c r="Q46" s="2" t="str">
        <f ca="1">IFERROR(__xludf.DUMMYFUNCTION("""COMPUTED_VALUE"""),"")</f>
        <v/>
      </c>
      <c r="R46" s="2" t="str">
        <f ca="1">IFERROR(__xludf.DUMMYFUNCTION("""COMPUTED_VALUE"""),"")</f>
        <v/>
      </c>
      <c r="S46" s="2" t="str">
        <f ca="1">IFERROR(__xludf.DUMMYFUNCTION("""COMPUTED_VALUE"""),"")</f>
        <v/>
      </c>
      <c r="T46" s="2" t="str">
        <f ca="1">IFERROR(__xludf.DUMMYFUNCTION("""COMPUTED_VALUE"""),"")</f>
        <v/>
      </c>
      <c r="U46" s="2" t="str">
        <f ca="1">IFERROR(__xludf.DUMMYFUNCTION("""COMPUTED_VALUE"""),"")</f>
        <v/>
      </c>
      <c r="V46" s="2" t="str">
        <f ca="1">IFERROR(__xludf.DUMMYFUNCTION("""COMPUTED_VALUE"""),"")</f>
        <v/>
      </c>
      <c r="W46" s="2" t="str">
        <f ca="1">IFERROR(__xludf.DUMMYFUNCTION("""COMPUTED_VALUE"""),"")</f>
        <v/>
      </c>
      <c r="X46" s="2" t="str">
        <f ca="1">IFERROR(__xludf.DUMMYFUNCTION("""COMPUTED_VALUE"""),"")</f>
        <v/>
      </c>
      <c r="Y46" s="2" t="str">
        <f ca="1">IFERROR(__xludf.DUMMYFUNCTION("""COMPUTED_VALUE"""),"")</f>
        <v/>
      </c>
      <c r="Z46" s="2" t="str">
        <f ca="1">IFERROR(__xludf.DUMMYFUNCTION("""COMPUTED_VALUE"""),"")</f>
        <v/>
      </c>
      <c r="AA46" s="2">
        <f ca="1">IFERROR(__xludf.DUMMYFUNCTION("""COMPUTED_VALUE"""),1781124)</f>
        <v>1781124</v>
      </c>
      <c r="AB46" s="2">
        <f ca="1">IFERROR(__xludf.DUMMYFUNCTION("""COMPUTED_VALUE"""),5874272)</f>
        <v>5874272</v>
      </c>
      <c r="AC46" s="2">
        <f ca="1">IFERROR(__xludf.DUMMYFUNCTION("""COMPUTED_VALUE"""),52)</f>
        <v>52</v>
      </c>
      <c r="AD46" s="2" t="str">
        <f ca="1">IFERROR(__xludf.DUMMYFUNCTION("""COMPUTED_VALUE"""),"Strong - I got a lovely, clear, strong signal.")</f>
        <v>Strong - I got a lovely, clear, strong signal.</v>
      </c>
      <c r="AE46" s="2">
        <f ca="1">IFERROR(__xludf.DUMMYFUNCTION("""COMPUTED_VALUE"""),1781630)</f>
        <v>1781630</v>
      </c>
      <c r="AF46" s="2">
        <f ca="1">IFERROR(__xludf.DUMMYFUNCTION("""COMPUTED_VALUE"""),5874186)</f>
        <v>5874186</v>
      </c>
      <c r="AG46" s="2" t="str">
        <f ca="1">IFERROR(__xludf.DUMMYFUNCTION("""COMPUTED_VALUE"""),"")</f>
        <v/>
      </c>
      <c r="AH46" s="2" t="str">
        <f ca="1">IFERROR(__xludf.DUMMYFUNCTION("""COMPUTED_VALUE"""),"Strong - I got a lovely, clear, strong signal.")</f>
        <v>Strong - I got a lovely, clear, strong signal.</v>
      </c>
      <c r="AI46" s="2">
        <f ca="1">IFERROR(__xludf.DUMMYFUNCTION("""COMPUTED_VALUE"""),1782385)</f>
        <v>1782385</v>
      </c>
      <c r="AJ46" s="2">
        <f ca="1">IFERROR(__xludf.DUMMYFUNCTION("""COMPUTED_VALUE"""),5874347)</f>
        <v>5874347</v>
      </c>
      <c r="AK46" s="2">
        <f ca="1">IFERROR(__xludf.DUMMYFUNCTION("""COMPUTED_VALUE"""),259)</f>
        <v>259</v>
      </c>
      <c r="AL46" s="2" t="str">
        <f ca="1">IFERROR(__xludf.DUMMYFUNCTION("""COMPUTED_VALUE"""),"Strong - I got a lovely, clear, strong signal.")</f>
        <v>Strong - I got a lovely, clear, strong signal.</v>
      </c>
      <c r="AM46" s="2" t="str">
        <f ca="1">IFERROR(__xludf.DUMMYFUNCTION("""COMPUTED_VALUE"""),"")</f>
        <v/>
      </c>
      <c r="AN46" s="2" t="str">
        <f ca="1">IFERROR(__xludf.DUMMYFUNCTION("""COMPUTED_VALUE"""),"")</f>
        <v/>
      </c>
      <c r="AO46" s="2" t="str">
        <f ca="1">IFERROR(__xludf.DUMMYFUNCTION("""COMPUTED_VALUE"""),"")</f>
        <v/>
      </c>
      <c r="AP46" s="2" t="str">
        <f ca="1">IFERROR(__xludf.DUMMYFUNCTION("""COMPUTED_VALUE"""),"")</f>
        <v/>
      </c>
      <c r="AQ46" s="2" t="str">
        <f ca="1">IFERROR(__xludf.DUMMYFUNCTION("""COMPUTED_VALUE"""),"")</f>
        <v/>
      </c>
      <c r="AR46" s="2" t="str">
        <f ca="1">IFERROR(__xludf.DUMMYFUNCTION("""COMPUTED_VALUE"""),"")</f>
        <v/>
      </c>
      <c r="AS46" s="2" t="str">
        <f ca="1">IFERROR(__xludf.DUMMYFUNCTION("""COMPUTED_VALUE"""),"")</f>
        <v/>
      </c>
      <c r="AT46" s="2" t="str">
        <f ca="1">IFERROR(__xludf.DUMMYFUNCTION("""COMPUTED_VALUE"""),"")</f>
        <v/>
      </c>
      <c r="AU46" s="2" t="str">
        <f ca="1">IFERROR(__xludf.DUMMYFUNCTION("""COMPUTED_VALUE"""),"No")</f>
        <v>No</v>
      </c>
      <c r="AV46" s="2" t="str">
        <f ca="1">IFERROR(__xludf.DUMMYFUNCTION("""COMPUTED_VALUE"""),"")</f>
        <v/>
      </c>
      <c r="AW46" s="2" t="str">
        <f ca="1">IFERROR(__xludf.DUMMYFUNCTION("""COMPUTED_VALUE"""),"")</f>
        <v/>
      </c>
      <c r="AX46" s="2" t="str">
        <f ca="1">IFERROR(__xludf.DUMMYFUNCTION("""COMPUTED_VALUE"""),"")</f>
        <v/>
      </c>
      <c r="AY46" s="2" t="str">
        <f ca="1">IFERROR(__xludf.DUMMYFUNCTION("""COMPUTED_VALUE"""),"")</f>
        <v/>
      </c>
      <c r="AZ46" s="2" t="str">
        <f ca="1">IFERROR(__xludf.DUMMYFUNCTION("""COMPUTED_VALUE"""),"")</f>
        <v/>
      </c>
      <c r="BA46" s="2" t="str">
        <f ca="1">IFERROR(__xludf.DUMMYFUNCTION("""COMPUTED_VALUE"""),"")</f>
        <v/>
      </c>
      <c r="BB46" s="2" t="str">
        <f ca="1">IFERROR(__xludf.DUMMYFUNCTION("""COMPUTED_VALUE"""),"")</f>
        <v/>
      </c>
      <c r="BC46" s="2" t="str">
        <f ca="1">IFERROR(__xludf.DUMMYFUNCTION("""COMPUTED_VALUE"""),"")</f>
        <v/>
      </c>
      <c r="BD46" s="2" t="str">
        <f ca="1">IFERROR(__xludf.DUMMYFUNCTION("""COMPUTED_VALUE"""),"")</f>
        <v/>
      </c>
      <c r="BE46" s="2" t="str">
        <f ca="1">IFERROR(__xludf.DUMMYFUNCTION("""COMPUTED_VALUE"""),"")</f>
        <v/>
      </c>
      <c r="BF46" t="str">
        <f ca="1">IFERROR(__xludf.DUMMYFUNCTION("""COMPUTED_VALUE"""),"")</f>
        <v/>
      </c>
      <c r="BG46" t="str">
        <f ca="1">IFERROR(__xludf.DUMMYFUNCTION("""COMPUTED_VALUE"""),"")</f>
        <v/>
      </c>
      <c r="BH46" s="2" t="str">
        <f ca="1">IFERROR(__xludf.DUMMYFUNCTION("""COMPUTED_VALUE"""),"")</f>
        <v/>
      </c>
      <c r="BI46" s="13" t="str">
        <f ca="1">IFERROR(__xludf.DUMMYFUNCTION("""COMPUTED_VALUE"""),"")</f>
        <v/>
      </c>
      <c r="BJ46" s="9" t="str">
        <f ca="1">IFERROR(__xludf.DUMMYFUNCTION("""COMPUTED_VALUE"""),"")</f>
        <v/>
      </c>
      <c r="BK46" s="4" t="str">
        <f ca="1">IFERROR(__xludf.DUMMYFUNCTION("""COMPUTED_VALUE"""),"")</f>
        <v/>
      </c>
    </row>
    <row r="47" spans="1:63" ht="12.5" x14ac:dyDescent="0.25">
      <c r="A47" s="7">
        <f ca="1">IFERROR(__xludf.DUMMYFUNCTION("""COMPUTED_VALUE"""),43573.4052745023)</f>
        <v>43573.4052745023</v>
      </c>
      <c r="B47" s="8" t="str">
        <f ca="1">IFERROR(__xludf.DUMMYFUNCTION("""COMPUTED_VALUE"""),"Waikato")</f>
        <v>Waikato</v>
      </c>
      <c r="C47" s="2" t="str">
        <f ca="1">IFERROR(__xludf.DUMMYFUNCTION("""COMPUTED_VALUE"""),"")</f>
        <v/>
      </c>
      <c r="D47" s="9">
        <f ca="1">IFERROR(__xludf.DUMMYFUNCTION("""COMPUTED_VALUE"""),43510)</f>
        <v>43510</v>
      </c>
      <c r="E47" s="4">
        <f ca="1">IFERROR(__xludf.DUMMYFUNCTION("""COMPUTED_VALUE"""),0.39583333333212)</f>
        <v>0.39583333333212001</v>
      </c>
      <c r="F47" s="2" t="str">
        <f ca="1">IFERROR(__xludf.DUMMYFUNCTION("""COMPUTED_VALUE"""),"Not found")</f>
        <v>Not found</v>
      </c>
      <c r="G47" s="2" t="str">
        <f ca="1">IFERROR(__xludf.DUMMYFUNCTION("""COMPUTED_VALUE"""),"None: I listened for the bird but was unable to find it")</f>
        <v>None: I listened for the bird but was unable to find it</v>
      </c>
      <c r="H47" s="2" t="str">
        <f ca="1">IFERROR(__xludf.DUMMYFUNCTION("""COMPUTED_VALUE"""),"")</f>
        <v/>
      </c>
      <c r="I47" s="2" t="str">
        <f ca="1">IFERROR(__xludf.DUMMYFUNCTION("""COMPUTED_VALUE"""),"")</f>
        <v/>
      </c>
      <c r="J47" s="2" t="str">
        <f ca="1">IFERROR(__xludf.DUMMYFUNCTION("""COMPUTED_VALUE"""),"")</f>
        <v/>
      </c>
      <c r="K47" s="2" t="str">
        <f ca="1">IFERROR(__xludf.DUMMYFUNCTION("""COMPUTED_VALUE"""),"")</f>
        <v/>
      </c>
      <c r="L47" s="2" t="str">
        <f ca="1">IFERROR(__xludf.DUMMYFUNCTION("""COMPUTED_VALUE"""),"")</f>
        <v/>
      </c>
      <c r="M47" s="5" t="str">
        <f ca="1">IFERROR(__xludf.DUMMYFUNCTION("""COMPUTED_VALUE"""),"")</f>
        <v/>
      </c>
      <c r="N47" s="5" t="str">
        <f ca="1">IFERROR(__xludf.DUMMYFUNCTION("""COMPUTED_VALUE"""),"")</f>
        <v/>
      </c>
      <c r="O47" s="2" t="str">
        <f ca="1">IFERROR(__xludf.DUMMYFUNCTION("""COMPUTED_VALUE"""),"")</f>
        <v/>
      </c>
      <c r="P47" s="2" t="str">
        <f ca="1">IFERROR(__xludf.DUMMYFUNCTION("""COMPUTED_VALUE"""),"")</f>
        <v/>
      </c>
      <c r="Q47" s="2" t="str">
        <f ca="1">IFERROR(__xludf.DUMMYFUNCTION("""COMPUTED_VALUE"""),"")</f>
        <v/>
      </c>
      <c r="R47" s="2" t="str">
        <f ca="1">IFERROR(__xludf.DUMMYFUNCTION("""COMPUTED_VALUE"""),"")</f>
        <v/>
      </c>
      <c r="S47" s="2" t="str">
        <f ca="1">IFERROR(__xludf.DUMMYFUNCTION("""COMPUTED_VALUE"""),"")</f>
        <v/>
      </c>
      <c r="T47" s="2" t="str">
        <f ca="1">IFERROR(__xludf.DUMMYFUNCTION("""COMPUTED_VALUE"""),"")</f>
        <v/>
      </c>
      <c r="U47" s="2" t="str">
        <f ca="1">IFERROR(__xludf.DUMMYFUNCTION("""COMPUTED_VALUE"""),"")</f>
        <v/>
      </c>
      <c r="V47" s="2" t="str">
        <f ca="1">IFERROR(__xludf.DUMMYFUNCTION("""COMPUTED_VALUE"""),"")</f>
        <v/>
      </c>
      <c r="W47" s="2" t="str">
        <f ca="1">IFERROR(__xludf.DUMMYFUNCTION("""COMPUTED_VALUE"""),"")</f>
        <v/>
      </c>
      <c r="X47" s="2" t="str">
        <f ca="1">IFERROR(__xludf.DUMMYFUNCTION("""COMPUTED_VALUE"""),"")</f>
        <v/>
      </c>
      <c r="Y47" s="2" t="str">
        <f ca="1">IFERROR(__xludf.DUMMYFUNCTION("""COMPUTED_VALUE"""),"")</f>
        <v/>
      </c>
      <c r="Z47" s="2" t="str">
        <f ca="1">IFERROR(__xludf.DUMMYFUNCTION("""COMPUTED_VALUE"""),"")</f>
        <v/>
      </c>
      <c r="AA47" s="2" t="str">
        <f ca="1">IFERROR(__xludf.DUMMYFUNCTION("""COMPUTED_VALUE"""),"")</f>
        <v/>
      </c>
      <c r="AB47" s="2" t="str">
        <f ca="1">IFERROR(__xludf.DUMMYFUNCTION("""COMPUTED_VALUE"""),"")</f>
        <v/>
      </c>
      <c r="AC47" s="2" t="str">
        <f ca="1">IFERROR(__xludf.DUMMYFUNCTION("""COMPUTED_VALUE"""),"")</f>
        <v/>
      </c>
      <c r="AD47" s="2" t="str">
        <f ca="1">IFERROR(__xludf.DUMMYFUNCTION("""COMPUTED_VALUE"""),"")</f>
        <v/>
      </c>
      <c r="AE47" s="2" t="str">
        <f ca="1">IFERROR(__xludf.DUMMYFUNCTION("""COMPUTED_VALUE"""),"")</f>
        <v/>
      </c>
      <c r="AF47" s="2" t="str">
        <f ca="1">IFERROR(__xludf.DUMMYFUNCTION("""COMPUTED_VALUE"""),"")</f>
        <v/>
      </c>
      <c r="AG47" s="2" t="str">
        <f ca="1">IFERROR(__xludf.DUMMYFUNCTION("""COMPUTED_VALUE"""),"")</f>
        <v/>
      </c>
      <c r="AH47" s="2" t="str">
        <f ca="1">IFERROR(__xludf.DUMMYFUNCTION("""COMPUTED_VALUE"""),"")</f>
        <v/>
      </c>
      <c r="AI47" s="2" t="str">
        <f ca="1">IFERROR(__xludf.DUMMYFUNCTION("""COMPUTED_VALUE"""),"")</f>
        <v/>
      </c>
      <c r="AJ47" s="2" t="str">
        <f ca="1">IFERROR(__xludf.DUMMYFUNCTION("""COMPUTED_VALUE"""),"")</f>
        <v/>
      </c>
      <c r="AK47" s="2" t="str">
        <f ca="1">IFERROR(__xludf.DUMMYFUNCTION("""COMPUTED_VALUE"""),"")</f>
        <v/>
      </c>
      <c r="AL47" s="2" t="str">
        <f ca="1">IFERROR(__xludf.DUMMYFUNCTION("""COMPUTED_VALUE"""),"")</f>
        <v/>
      </c>
      <c r="AM47" s="2" t="str">
        <f ca="1">IFERROR(__xludf.DUMMYFUNCTION("""COMPUTED_VALUE"""),"")</f>
        <v/>
      </c>
      <c r="AN47" s="2" t="str">
        <f ca="1">IFERROR(__xludf.DUMMYFUNCTION("""COMPUTED_VALUE"""),"")</f>
        <v/>
      </c>
      <c r="AO47" s="2" t="str">
        <f ca="1">IFERROR(__xludf.DUMMYFUNCTION("""COMPUTED_VALUE"""),"")</f>
        <v/>
      </c>
      <c r="AP47" s="2" t="str">
        <f ca="1">IFERROR(__xludf.DUMMYFUNCTION("""COMPUTED_VALUE"""),"")</f>
        <v/>
      </c>
      <c r="AQ47" s="2" t="str">
        <f ca="1">IFERROR(__xludf.DUMMYFUNCTION("""COMPUTED_VALUE"""),"")</f>
        <v/>
      </c>
      <c r="AR47" s="2" t="str">
        <f ca="1">IFERROR(__xludf.DUMMYFUNCTION("""COMPUTED_VALUE"""),"")</f>
        <v/>
      </c>
      <c r="AS47" s="2" t="str">
        <f ca="1">IFERROR(__xludf.DUMMYFUNCTION("""COMPUTED_VALUE"""),"")</f>
        <v/>
      </c>
      <c r="AT47" s="2" t="str">
        <f ca="1">IFERROR(__xludf.DUMMYFUNCTION("""COMPUTED_VALUE"""),"")</f>
        <v/>
      </c>
      <c r="AU47" s="2" t="str">
        <f ca="1">IFERROR(__xludf.DUMMYFUNCTION("""COMPUTED_VALUE"""),"")</f>
        <v/>
      </c>
      <c r="AV47" s="2" t="str">
        <f ca="1">IFERROR(__xludf.DUMMYFUNCTION("""COMPUTED_VALUE"""),"")</f>
        <v/>
      </c>
      <c r="AW47" s="2" t="str">
        <f ca="1">IFERROR(__xludf.DUMMYFUNCTION("""COMPUTED_VALUE"""),"")</f>
        <v/>
      </c>
      <c r="AX47" s="2" t="str">
        <f ca="1">IFERROR(__xludf.DUMMYFUNCTION("""COMPUTED_VALUE"""),"")</f>
        <v/>
      </c>
      <c r="AY47" s="2" t="str">
        <f ca="1">IFERROR(__xludf.DUMMYFUNCTION("""COMPUTED_VALUE"""),"")</f>
        <v/>
      </c>
      <c r="AZ47" s="2" t="str">
        <f ca="1">IFERROR(__xludf.DUMMYFUNCTION("""COMPUTED_VALUE"""),"")</f>
        <v/>
      </c>
      <c r="BA47" s="2" t="str">
        <f ca="1">IFERROR(__xludf.DUMMYFUNCTION("""COMPUTED_VALUE"""),"")</f>
        <v/>
      </c>
      <c r="BB47" s="2" t="str">
        <f ca="1">IFERROR(__xludf.DUMMYFUNCTION("""COMPUTED_VALUE"""),"")</f>
        <v/>
      </c>
      <c r="BC47" s="2" t="str">
        <f ca="1">IFERROR(__xludf.DUMMYFUNCTION("""COMPUTED_VALUE"""),"")</f>
        <v/>
      </c>
      <c r="BD47" s="2" t="str">
        <f ca="1">IFERROR(__xludf.DUMMYFUNCTION("""COMPUTED_VALUE"""),"Whangamarino and Dean Wetland")</f>
        <v>Whangamarino and Dean Wetland</v>
      </c>
      <c r="BE47" s="2" t="str">
        <f ca="1">IFERROR(__xludf.DUMMYFUNCTION("""COMPUTED_VALUE"""),"No")</f>
        <v>No</v>
      </c>
      <c r="BF47" t="str">
        <f ca="1">IFERROR(__xludf.DUMMYFUNCTION("""COMPUTED_VALUE"""),"")</f>
        <v/>
      </c>
      <c r="BG47" t="str">
        <f ca="1">IFERROR(__xludf.DUMMYFUNCTION("""COMPUTED_VALUE"""),"")</f>
        <v/>
      </c>
      <c r="BH47" s="2" t="str">
        <f ca="1">IFERROR(__xludf.DUMMYFUNCTION("""COMPUTED_VALUE"""),"")</f>
        <v/>
      </c>
      <c r="BI47" s="12" t="str">
        <f ca="1">IFERROR(__xludf.DUMMYFUNCTION("""COMPUTED_VALUE"""),"")</f>
        <v/>
      </c>
      <c r="BJ47" s="9" t="str">
        <f ca="1">IFERROR(__xludf.DUMMYFUNCTION("""COMPUTED_VALUE"""),"")</f>
        <v/>
      </c>
      <c r="BK47" s="4" t="str">
        <f ca="1">IFERROR(__xludf.DUMMYFUNCTION("""COMPUTED_VALUE"""),"")</f>
        <v/>
      </c>
    </row>
    <row r="48" spans="1:63" ht="12.5" x14ac:dyDescent="0.25">
      <c r="A48" s="7">
        <f ca="1">IFERROR(__xludf.DUMMYFUNCTION("""COMPUTED_VALUE"""),43573.4059484027)</f>
        <v>43573.405948402702</v>
      </c>
      <c r="B48" s="8" t="str">
        <f ca="1">IFERROR(__xludf.DUMMYFUNCTION("""COMPUTED_VALUE"""),"Waikato")</f>
        <v>Waikato</v>
      </c>
      <c r="C48" s="2" t="str">
        <f ca="1">IFERROR(__xludf.DUMMYFUNCTION("""COMPUTED_VALUE"""),"")</f>
        <v/>
      </c>
      <c r="D48" s="9">
        <f ca="1">IFERROR(__xludf.DUMMYFUNCTION("""COMPUTED_VALUE"""),43510)</f>
        <v>43510</v>
      </c>
      <c r="E48" s="4">
        <f ca="1">IFERROR(__xludf.DUMMYFUNCTION("""COMPUTED_VALUE"""),0.39583333333212)</f>
        <v>0.39583333333212001</v>
      </c>
      <c r="F48" s="2" t="str">
        <f ca="1">IFERROR(__xludf.DUMMYFUNCTION("""COMPUTED_VALUE"""),"Not found")</f>
        <v>Not found</v>
      </c>
      <c r="G48" s="2" t="str">
        <f ca="1">IFERROR(__xludf.DUMMYFUNCTION("""COMPUTED_VALUE"""),"None: I listened for the bird but was unable to find it")</f>
        <v>None: I listened for the bird but was unable to find it</v>
      </c>
      <c r="H48" s="2" t="str">
        <f ca="1">IFERROR(__xludf.DUMMYFUNCTION("""COMPUTED_VALUE"""),"")</f>
        <v/>
      </c>
      <c r="I48" s="2" t="str">
        <f ca="1">IFERROR(__xludf.DUMMYFUNCTION("""COMPUTED_VALUE"""),"")</f>
        <v/>
      </c>
      <c r="J48" s="2" t="str">
        <f ca="1">IFERROR(__xludf.DUMMYFUNCTION("""COMPUTED_VALUE"""),"")</f>
        <v/>
      </c>
      <c r="K48" s="2" t="str">
        <f ca="1">IFERROR(__xludf.DUMMYFUNCTION("""COMPUTED_VALUE"""),"")</f>
        <v/>
      </c>
      <c r="L48" s="2" t="str">
        <f ca="1">IFERROR(__xludf.DUMMYFUNCTION("""COMPUTED_VALUE"""),"")</f>
        <v/>
      </c>
      <c r="M48" s="5" t="str">
        <f ca="1">IFERROR(__xludf.DUMMYFUNCTION("""COMPUTED_VALUE"""),"")</f>
        <v/>
      </c>
      <c r="N48" s="5" t="str">
        <f ca="1">IFERROR(__xludf.DUMMYFUNCTION("""COMPUTED_VALUE"""),"")</f>
        <v/>
      </c>
      <c r="O48" s="2" t="str">
        <f ca="1">IFERROR(__xludf.DUMMYFUNCTION("""COMPUTED_VALUE"""),"")</f>
        <v/>
      </c>
      <c r="P48" s="2" t="str">
        <f ca="1">IFERROR(__xludf.DUMMYFUNCTION("""COMPUTED_VALUE"""),"")</f>
        <v/>
      </c>
      <c r="Q48" s="2" t="str">
        <f ca="1">IFERROR(__xludf.DUMMYFUNCTION("""COMPUTED_VALUE"""),"")</f>
        <v/>
      </c>
      <c r="R48" s="2" t="str">
        <f ca="1">IFERROR(__xludf.DUMMYFUNCTION("""COMPUTED_VALUE"""),"")</f>
        <v/>
      </c>
      <c r="S48" s="2" t="str">
        <f ca="1">IFERROR(__xludf.DUMMYFUNCTION("""COMPUTED_VALUE"""),"")</f>
        <v/>
      </c>
      <c r="T48" s="2" t="str">
        <f ca="1">IFERROR(__xludf.DUMMYFUNCTION("""COMPUTED_VALUE"""),"")</f>
        <v/>
      </c>
      <c r="U48" s="2" t="str">
        <f ca="1">IFERROR(__xludf.DUMMYFUNCTION("""COMPUTED_VALUE"""),"")</f>
        <v/>
      </c>
      <c r="V48" s="2" t="str">
        <f ca="1">IFERROR(__xludf.DUMMYFUNCTION("""COMPUTED_VALUE"""),"")</f>
        <v/>
      </c>
      <c r="W48" s="2" t="str">
        <f ca="1">IFERROR(__xludf.DUMMYFUNCTION("""COMPUTED_VALUE"""),"")</f>
        <v/>
      </c>
      <c r="X48" s="2" t="str">
        <f ca="1">IFERROR(__xludf.DUMMYFUNCTION("""COMPUTED_VALUE"""),"")</f>
        <v/>
      </c>
      <c r="Y48" s="2" t="str">
        <f ca="1">IFERROR(__xludf.DUMMYFUNCTION("""COMPUTED_VALUE"""),"")</f>
        <v/>
      </c>
      <c r="Z48" s="2" t="str">
        <f ca="1">IFERROR(__xludf.DUMMYFUNCTION("""COMPUTED_VALUE"""),"")</f>
        <v/>
      </c>
      <c r="AA48" s="2" t="str">
        <f ca="1">IFERROR(__xludf.DUMMYFUNCTION("""COMPUTED_VALUE"""),"")</f>
        <v/>
      </c>
      <c r="AB48" s="2" t="str">
        <f ca="1">IFERROR(__xludf.DUMMYFUNCTION("""COMPUTED_VALUE"""),"")</f>
        <v/>
      </c>
      <c r="AC48" s="2" t="str">
        <f ca="1">IFERROR(__xludf.DUMMYFUNCTION("""COMPUTED_VALUE"""),"")</f>
        <v/>
      </c>
      <c r="AD48" s="2" t="str">
        <f ca="1">IFERROR(__xludf.DUMMYFUNCTION("""COMPUTED_VALUE"""),"")</f>
        <v/>
      </c>
      <c r="AE48" s="2" t="str">
        <f ca="1">IFERROR(__xludf.DUMMYFUNCTION("""COMPUTED_VALUE"""),"")</f>
        <v/>
      </c>
      <c r="AF48" s="2" t="str">
        <f ca="1">IFERROR(__xludf.DUMMYFUNCTION("""COMPUTED_VALUE"""),"")</f>
        <v/>
      </c>
      <c r="AG48" s="2" t="str">
        <f ca="1">IFERROR(__xludf.DUMMYFUNCTION("""COMPUTED_VALUE"""),"")</f>
        <v/>
      </c>
      <c r="AH48" s="2" t="str">
        <f ca="1">IFERROR(__xludf.DUMMYFUNCTION("""COMPUTED_VALUE"""),"")</f>
        <v/>
      </c>
      <c r="AI48" s="2" t="str">
        <f ca="1">IFERROR(__xludf.DUMMYFUNCTION("""COMPUTED_VALUE"""),"")</f>
        <v/>
      </c>
      <c r="AJ48" s="2" t="str">
        <f ca="1">IFERROR(__xludf.DUMMYFUNCTION("""COMPUTED_VALUE"""),"")</f>
        <v/>
      </c>
      <c r="AK48" s="2" t="str">
        <f ca="1">IFERROR(__xludf.DUMMYFUNCTION("""COMPUTED_VALUE"""),"")</f>
        <v/>
      </c>
      <c r="AL48" s="2" t="str">
        <f ca="1">IFERROR(__xludf.DUMMYFUNCTION("""COMPUTED_VALUE"""),"")</f>
        <v/>
      </c>
      <c r="AM48" s="2" t="str">
        <f ca="1">IFERROR(__xludf.DUMMYFUNCTION("""COMPUTED_VALUE"""),"")</f>
        <v/>
      </c>
      <c r="AN48" s="2" t="str">
        <f ca="1">IFERROR(__xludf.DUMMYFUNCTION("""COMPUTED_VALUE"""),"")</f>
        <v/>
      </c>
      <c r="AO48" s="2" t="str">
        <f ca="1">IFERROR(__xludf.DUMMYFUNCTION("""COMPUTED_VALUE"""),"")</f>
        <v/>
      </c>
      <c r="AP48" s="2" t="str">
        <f ca="1">IFERROR(__xludf.DUMMYFUNCTION("""COMPUTED_VALUE"""),"")</f>
        <v/>
      </c>
      <c r="AQ48" s="2" t="str">
        <f ca="1">IFERROR(__xludf.DUMMYFUNCTION("""COMPUTED_VALUE"""),"")</f>
        <v/>
      </c>
      <c r="AR48" s="2" t="str">
        <f ca="1">IFERROR(__xludf.DUMMYFUNCTION("""COMPUTED_VALUE"""),"")</f>
        <v/>
      </c>
      <c r="AS48" s="2" t="str">
        <f ca="1">IFERROR(__xludf.DUMMYFUNCTION("""COMPUTED_VALUE"""),"")</f>
        <v/>
      </c>
      <c r="AT48" s="2" t="str">
        <f ca="1">IFERROR(__xludf.DUMMYFUNCTION("""COMPUTED_VALUE"""),"")</f>
        <v/>
      </c>
      <c r="AU48" s="2" t="str">
        <f ca="1">IFERROR(__xludf.DUMMYFUNCTION("""COMPUTED_VALUE"""),"")</f>
        <v/>
      </c>
      <c r="AV48" s="2" t="str">
        <f ca="1">IFERROR(__xludf.DUMMYFUNCTION("""COMPUTED_VALUE"""),"")</f>
        <v/>
      </c>
      <c r="AW48" s="2" t="str">
        <f ca="1">IFERROR(__xludf.DUMMYFUNCTION("""COMPUTED_VALUE"""),"")</f>
        <v/>
      </c>
      <c r="AX48" s="2" t="str">
        <f ca="1">IFERROR(__xludf.DUMMYFUNCTION("""COMPUTED_VALUE"""),"")</f>
        <v/>
      </c>
      <c r="AY48" s="2" t="str">
        <f ca="1">IFERROR(__xludf.DUMMYFUNCTION("""COMPUTED_VALUE"""),"")</f>
        <v/>
      </c>
      <c r="AZ48" s="2" t="str">
        <f ca="1">IFERROR(__xludf.DUMMYFUNCTION("""COMPUTED_VALUE"""),"")</f>
        <v/>
      </c>
      <c r="BA48" s="2" t="str">
        <f ca="1">IFERROR(__xludf.DUMMYFUNCTION("""COMPUTED_VALUE"""),"")</f>
        <v/>
      </c>
      <c r="BB48" s="2" t="str">
        <f ca="1">IFERROR(__xludf.DUMMYFUNCTION("""COMPUTED_VALUE"""),"")</f>
        <v/>
      </c>
      <c r="BC48" s="2" t="str">
        <f ca="1">IFERROR(__xludf.DUMMYFUNCTION("""COMPUTED_VALUE"""),"")</f>
        <v/>
      </c>
      <c r="BD48" s="2" t="str">
        <f ca="1">IFERROR(__xludf.DUMMYFUNCTION("""COMPUTED_VALUE"""),"Whangamarino and Dean Wetland")</f>
        <v>Whangamarino and Dean Wetland</v>
      </c>
      <c r="BE48" s="2" t="str">
        <f ca="1">IFERROR(__xludf.DUMMYFUNCTION("""COMPUTED_VALUE"""),"No")</f>
        <v>No</v>
      </c>
      <c r="BF48" t="str">
        <f ca="1">IFERROR(__xludf.DUMMYFUNCTION("""COMPUTED_VALUE"""),"")</f>
        <v/>
      </c>
      <c r="BG48" t="str">
        <f ca="1">IFERROR(__xludf.DUMMYFUNCTION("""COMPUTED_VALUE"""),"")</f>
        <v/>
      </c>
      <c r="BH48" s="2" t="str">
        <f ca="1">IFERROR(__xludf.DUMMYFUNCTION("""COMPUTED_VALUE"""),"")</f>
        <v/>
      </c>
      <c r="BI48" s="13" t="str">
        <f ca="1">IFERROR(__xludf.DUMMYFUNCTION("""COMPUTED_VALUE"""),"")</f>
        <v/>
      </c>
      <c r="BJ48" s="9" t="str">
        <f ca="1">IFERROR(__xludf.DUMMYFUNCTION("""COMPUTED_VALUE"""),"")</f>
        <v/>
      </c>
      <c r="BK48" s="4" t="str">
        <f ca="1">IFERROR(__xludf.DUMMYFUNCTION("""COMPUTED_VALUE"""),"")</f>
        <v/>
      </c>
    </row>
    <row r="49" spans="1:63" ht="12.5" x14ac:dyDescent="0.25">
      <c r="A49" s="7">
        <f ca="1">IFERROR(__xludf.DUMMYFUNCTION("""COMPUTED_VALUE"""),43573.4066929629)</f>
        <v>43573.406692962897</v>
      </c>
      <c r="B49" s="8" t="str">
        <f ca="1">IFERROR(__xludf.DUMMYFUNCTION("""COMPUTED_VALUE"""),"Waikato")</f>
        <v>Waikato</v>
      </c>
      <c r="C49" s="2" t="str">
        <f ca="1">IFERROR(__xludf.DUMMYFUNCTION("""COMPUTED_VALUE"""),"")</f>
        <v/>
      </c>
      <c r="D49" s="9">
        <f ca="1">IFERROR(__xludf.DUMMYFUNCTION("""COMPUTED_VALUE"""),43510)</f>
        <v>43510</v>
      </c>
      <c r="E49" s="4">
        <f ca="1">IFERROR(__xludf.DUMMYFUNCTION("""COMPUTED_VALUE"""),0.39583333333212)</f>
        <v>0.39583333333212001</v>
      </c>
      <c r="F49" s="2" t="str">
        <f ca="1">IFERROR(__xludf.DUMMYFUNCTION("""COMPUTED_VALUE"""),"Not found")</f>
        <v>Not found</v>
      </c>
      <c r="G49" s="2" t="str">
        <f ca="1">IFERROR(__xludf.DUMMYFUNCTION("""COMPUTED_VALUE"""),"None: I listened for the bird but was unable to find it")</f>
        <v>None: I listened for the bird but was unable to find it</v>
      </c>
      <c r="H49" s="2" t="str">
        <f ca="1">IFERROR(__xludf.DUMMYFUNCTION("""COMPUTED_VALUE"""),"")</f>
        <v/>
      </c>
      <c r="I49" s="2" t="str">
        <f ca="1">IFERROR(__xludf.DUMMYFUNCTION("""COMPUTED_VALUE"""),"")</f>
        <v/>
      </c>
      <c r="J49" s="2" t="str">
        <f ca="1">IFERROR(__xludf.DUMMYFUNCTION("""COMPUTED_VALUE"""),"")</f>
        <v/>
      </c>
      <c r="K49" s="2" t="str">
        <f ca="1">IFERROR(__xludf.DUMMYFUNCTION("""COMPUTED_VALUE"""),"")</f>
        <v/>
      </c>
      <c r="L49" s="2" t="str">
        <f ca="1">IFERROR(__xludf.DUMMYFUNCTION("""COMPUTED_VALUE"""),"")</f>
        <v/>
      </c>
      <c r="M49" s="5" t="str">
        <f ca="1">IFERROR(__xludf.DUMMYFUNCTION("""COMPUTED_VALUE"""),"")</f>
        <v/>
      </c>
      <c r="N49" s="5" t="str">
        <f ca="1">IFERROR(__xludf.DUMMYFUNCTION("""COMPUTED_VALUE"""),"")</f>
        <v/>
      </c>
      <c r="O49" s="2" t="str">
        <f ca="1">IFERROR(__xludf.DUMMYFUNCTION("""COMPUTED_VALUE"""),"")</f>
        <v/>
      </c>
      <c r="P49" s="2" t="str">
        <f ca="1">IFERROR(__xludf.DUMMYFUNCTION("""COMPUTED_VALUE"""),"")</f>
        <v/>
      </c>
      <c r="Q49" s="2" t="str">
        <f ca="1">IFERROR(__xludf.DUMMYFUNCTION("""COMPUTED_VALUE"""),"")</f>
        <v/>
      </c>
      <c r="R49" s="2" t="str">
        <f ca="1">IFERROR(__xludf.DUMMYFUNCTION("""COMPUTED_VALUE"""),"")</f>
        <v/>
      </c>
      <c r="S49" s="2" t="str">
        <f ca="1">IFERROR(__xludf.DUMMYFUNCTION("""COMPUTED_VALUE"""),"")</f>
        <v/>
      </c>
      <c r="T49" s="2" t="str">
        <f ca="1">IFERROR(__xludf.DUMMYFUNCTION("""COMPUTED_VALUE"""),"")</f>
        <v/>
      </c>
      <c r="U49" s="2" t="str">
        <f ca="1">IFERROR(__xludf.DUMMYFUNCTION("""COMPUTED_VALUE"""),"")</f>
        <v/>
      </c>
      <c r="V49" s="2" t="str">
        <f ca="1">IFERROR(__xludf.DUMMYFUNCTION("""COMPUTED_VALUE"""),"")</f>
        <v/>
      </c>
      <c r="W49" s="2" t="str">
        <f ca="1">IFERROR(__xludf.DUMMYFUNCTION("""COMPUTED_VALUE"""),"")</f>
        <v/>
      </c>
      <c r="X49" s="2" t="str">
        <f ca="1">IFERROR(__xludf.DUMMYFUNCTION("""COMPUTED_VALUE"""),"")</f>
        <v/>
      </c>
      <c r="Y49" s="2" t="str">
        <f ca="1">IFERROR(__xludf.DUMMYFUNCTION("""COMPUTED_VALUE"""),"")</f>
        <v/>
      </c>
      <c r="Z49" s="2" t="str">
        <f ca="1">IFERROR(__xludf.DUMMYFUNCTION("""COMPUTED_VALUE"""),"")</f>
        <v/>
      </c>
      <c r="AA49" s="2" t="str">
        <f ca="1">IFERROR(__xludf.DUMMYFUNCTION("""COMPUTED_VALUE"""),"")</f>
        <v/>
      </c>
      <c r="AB49" s="2" t="str">
        <f ca="1">IFERROR(__xludf.DUMMYFUNCTION("""COMPUTED_VALUE"""),"")</f>
        <v/>
      </c>
      <c r="AC49" s="2" t="str">
        <f ca="1">IFERROR(__xludf.DUMMYFUNCTION("""COMPUTED_VALUE"""),"")</f>
        <v/>
      </c>
      <c r="AD49" s="2" t="str">
        <f ca="1">IFERROR(__xludf.DUMMYFUNCTION("""COMPUTED_VALUE"""),"")</f>
        <v/>
      </c>
      <c r="AE49" s="2" t="str">
        <f ca="1">IFERROR(__xludf.DUMMYFUNCTION("""COMPUTED_VALUE"""),"")</f>
        <v/>
      </c>
      <c r="AF49" s="2" t="str">
        <f ca="1">IFERROR(__xludf.DUMMYFUNCTION("""COMPUTED_VALUE"""),"")</f>
        <v/>
      </c>
      <c r="AG49" s="2" t="str">
        <f ca="1">IFERROR(__xludf.DUMMYFUNCTION("""COMPUTED_VALUE"""),"")</f>
        <v/>
      </c>
      <c r="AH49" s="2" t="str">
        <f ca="1">IFERROR(__xludf.DUMMYFUNCTION("""COMPUTED_VALUE"""),"")</f>
        <v/>
      </c>
      <c r="AI49" s="2" t="str">
        <f ca="1">IFERROR(__xludf.DUMMYFUNCTION("""COMPUTED_VALUE"""),"")</f>
        <v/>
      </c>
      <c r="AJ49" s="2" t="str">
        <f ca="1">IFERROR(__xludf.DUMMYFUNCTION("""COMPUTED_VALUE"""),"")</f>
        <v/>
      </c>
      <c r="AK49" s="2" t="str">
        <f ca="1">IFERROR(__xludf.DUMMYFUNCTION("""COMPUTED_VALUE"""),"")</f>
        <v/>
      </c>
      <c r="AL49" s="2" t="str">
        <f ca="1">IFERROR(__xludf.DUMMYFUNCTION("""COMPUTED_VALUE"""),"")</f>
        <v/>
      </c>
      <c r="AM49" s="2" t="str">
        <f ca="1">IFERROR(__xludf.DUMMYFUNCTION("""COMPUTED_VALUE"""),"")</f>
        <v/>
      </c>
      <c r="AN49" s="2" t="str">
        <f ca="1">IFERROR(__xludf.DUMMYFUNCTION("""COMPUTED_VALUE"""),"")</f>
        <v/>
      </c>
      <c r="AO49" s="2" t="str">
        <f ca="1">IFERROR(__xludf.DUMMYFUNCTION("""COMPUTED_VALUE"""),"")</f>
        <v/>
      </c>
      <c r="AP49" s="2" t="str">
        <f ca="1">IFERROR(__xludf.DUMMYFUNCTION("""COMPUTED_VALUE"""),"")</f>
        <v/>
      </c>
      <c r="AQ49" s="2" t="str">
        <f ca="1">IFERROR(__xludf.DUMMYFUNCTION("""COMPUTED_VALUE"""),"")</f>
        <v/>
      </c>
      <c r="AR49" s="2" t="str">
        <f ca="1">IFERROR(__xludf.DUMMYFUNCTION("""COMPUTED_VALUE"""),"")</f>
        <v/>
      </c>
      <c r="AS49" s="2" t="str">
        <f ca="1">IFERROR(__xludf.DUMMYFUNCTION("""COMPUTED_VALUE"""),"")</f>
        <v/>
      </c>
      <c r="AT49" s="2" t="str">
        <f ca="1">IFERROR(__xludf.DUMMYFUNCTION("""COMPUTED_VALUE"""),"")</f>
        <v/>
      </c>
      <c r="AU49" s="2" t="str">
        <f ca="1">IFERROR(__xludf.DUMMYFUNCTION("""COMPUTED_VALUE"""),"")</f>
        <v/>
      </c>
      <c r="AV49" s="2" t="str">
        <f ca="1">IFERROR(__xludf.DUMMYFUNCTION("""COMPUTED_VALUE"""),"")</f>
        <v/>
      </c>
      <c r="AW49" s="2" t="str">
        <f ca="1">IFERROR(__xludf.DUMMYFUNCTION("""COMPUTED_VALUE"""),"")</f>
        <v/>
      </c>
      <c r="AX49" s="2" t="str">
        <f ca="1">IFERROR(__xludf.DUMMYFUNCTION("""COMPUTED_VALUE"""),"")</f>
        <v/>
      </c>
      <c r="AY49" s="2" t="str">
        <f ca="1">IFERROR(__xludf.DUMMYFUNCTION("""COMPUTED_VALUE"""),"")</f>
        <v/>
      </c>
      <c r="AZ49" s="2" t="str">
        <f ca="1">IFERROR(__xludf.DUMMYFUNCTION("""COMPUTED_VALUE"""),"")</f>
        <v/>
      </c>
      <c r="BA49" s="2" t="str">
        <f ca="1">IFERROR(__xludf.DUMMYFUNCTION("""COMPUTED_VALUE"""),"")</f>
        <v/>
      </c>
      <c r="BB49" s="2" t="str">
        <f ca="1">IFERROR(__xludf.DUMMYFUNCTION("""COMPUTED_VALUE"""),"")</f>
        <v/>
      </c>
      <c r="BC49" s="2" t="str">
        <f ca="1">IFERROR(__xludf.DUMMYFUNCTION("""COMPUTED_VALUE"""),"")</f>
        <v/>
      </c>
      <c r="BD49" s="2" t="str">
        <f ca="1">IFERROR(__xludf.DUMMYFUNCTION("""COMPUTED_VALUE"""),"Whangamarino and Dean Wetland")</f>
        <v>Whangamarino and Dean Wetland</v>
      </c>
      <c r="BE49" s="2" t="str">
        <f ca="1">IFERROR(__xludf.DUMMYFUNCTION("""COMPUTED_VALUE"""),"No")</f>
        <v>No</v>
      </c>
      <c r="BF49" t="str">
        <f ca="1">IFERROR(__xludf.DUMMYFUNCTION("""COMPUTED_VALUE"""),"")</f>
        <v/>
      </c>
      <c r="BG49" t="str">
        <f ca="1">IFERROR(__xludf.DUMMYFUNCTION("""COMPUTED_VALUE"""),"")</f>
        <v/>
      </c>
      <c r="BH49" s="2" t="str">
        <f ca="1">IFERROR(__xludf.DUMMYFUNCTION("""COMPUTED_VALUE"""),"")</f>
        <v/>
      </c>
      <c r="BI49" s="12" t="str">
        <f ca="1">IFERROR(__xludf.DUMMYFUNCTION("""COMPUTED_VALUE"""),"")</f>
        <v/>
      </c>
      <c r="BJ49" s="9" t="str">
        <f ca="1">IFERROR(__xludf.DUMMYFUNCTION("""COMPUTED_VALUE"""),"")</f>
        <v/>
      </c>
      <c r="BK49" s="4" t="str">
        <f ca="1">IFERROR(__xludf.DUMMYFUNCTION("""COMPUTED_VALUE"""),"")</f>
        <v/>
      </c>
    </row>
    <row r="50" spans="1:63" ht="12.5" x14ac:dyDescent="0.25">
      <c r="A50" s="7">
        <f ca="1">IFERROR(__xludf.DUMMYFUNCTION("""COMPUTED_VALUE"""),43573.4127649652)</f>
        <v>43573.4127649652</v>
      </c>
      <c r="B50" s="8" t="str">
        <f ca="1">IFERROR(__xludf.DUMMYFUNCTION("""COMPUTED_VALUE"""),"Waikato")</f>
        <v>Waikato</v>
      </c>
      <c r="C50" s="2" t="str">
        <f ca="1">IFERROR(__xludf.DUMMYFUNCTION("""COMPUTED_VALUE"""),"")</f>
        <v/>
      </c>
      <c r="D50" s="9">
        <f ca="1">IFERROR(__xludf.DUMMYFUNCTION("""COMPUTED_VALUE"""),43538)</f>
        <v>43538</v>
      </c>
      <c r="E50" s="4">
        <f ca="1">IFERROR(__xludf.DUMMYFUNCTION("""COMPUTED_VALUE"""),0.375)</f>
        <v>0.375</v>
      </c>
      <c r="F50" s="2" t="str">
        <f ca="1">IFERROR(__xludf.DUMMYFUNCTION("""COMPUTED_VALUE"""),"Dean Wetland")</f>
        <v>Dean Wetland</v>
      </c>
      <c r="G50" s="2" t="str">
        <f ca="1">IFERROR(__xludf.DUMMYFUNCTION("""COMPUTED_VALUE"""),"VHF (triangulation): I triangulated the bird with at least three bearings")</f>
        <v>VHF (triangulation): I triangulated the bird with at least three bearings</v>
      </c>
      <c r="H50" s="2" t="str">
        <f ca="1">IFERROR(__xludf.DUMMYFUNCTION("""COMPUTED_VALUE"""),"")</f>
        <v/>
      </c>
      <c r="I50" s="2" t="str">
        <f ca="1">IFERROR(__xludf.DUMMYFUNCTION("""COMPUTED_VALUE"""),"")</f>
        <v/>
      </c>
      <c r="J50" s="2" t="str">
        <f ca="1">IFERROR(__xludf.DUMMYFUNCTION("""COMPUTED_VALUE"""),"")</f>
        <v/>
      </c>
      <c r="K50" s="2" t="str">
        <f ca="1">IFERROR(__xludf.DUMMYFUNCTION("""COMPUTED_VALUE"""),"")</f>
        <v/>
      </c>
      <c r="L50" s="2" t="str">
        <f ca="1">IFERROR(__xludf.DUMMYFUNCTION("""COMPUTED_VALUE"""),"")</f>
        <v/>
      </c>
      <c r="M50" s="5" t="str">
        <f ca="1">IFERROR(__xludf.DUMMYFUNCTION("""COMPUTED_VALUE"""),"")</f>
        <v/>
      </c>
      <c r="N50" s="5" t="str">
        <f ca="1">IFERROR(__xludf.DUMMYFUNCTION("""COMPUTED_VALUE"""),"")</f>
        <v/>
      </c>
      <c r="O50" s="2" t="str">
        <f ca="1">IFERROR(__xludf.DUMMYFUNCTION("""COMPUTED_VALUE"""),"")</f>
        <v/>
      </c>
      <c r="P50" s="2" t="str">
        <f ca="1">IFERROR(__xludf.DUMMYFUNCTION("""COMPUTED_VALUE"""),"")</f>
        <v/>
      </c>
      <c r="Q50" s="2" t="str">
        <f ca="1">IFERROR(__xludf.DUMMYFUNCTION("""COMPUTED_VALUE"""),"")</f>
        <v/>
      </c>
      <c r="R50" s="2" t="str">
        <f ca="1">IFERROR(__xludf.DUMMYFUNCTION("""COMPUTED_VALUE"""),"")</f>
        <v/>
      </c>
      <c r="S50" s="2" t="str">
        <f ca="1">IFERROR(__xludf.DUMMYFUNCTION("""COMPUTED_VALUE"""),"")</f>
        <v/>
      </c>
      <c r="T50" s="2" t="str">
        <f ca="1">IFERROR(__xludf.DUMMYFUNCTION("""COMPUTED_VALUE"""),"")</f>
        <v/>
      </c>
      <c r="U50" s="2" t="str">
        <f ca="1">IFERROR(__xludf.DUMMYFUNCTION("""COMPUTED_VALUE"""),"")</f>
        <v/>
      </c>
      <c r="V50" s="2" t="str">
        <f ca="1">IFERROR(__xludf.DUMMYFUNCTION("""COMPUTED_VALUE"""),"")</f>
        <v/>
      </c>
      <c r="W50" s="2" t="str">
        <f ca="1">IFERROR(__xludf.DUMMYFUNCTION("""COMPUTED_VALUE"""),"")</f>
        <v/>
      </c>
      <c r="X50" s="2" t="str">
        <f ca="1">IFERROR(__xludf.DUMMYFUNCTION("""COMPUTED_VALUE"""),"")</f>
        <v/>
      </c>
      <c r="Y50" s="2" t="str">
        <f ca="1">IFERROR(__xludf.DUMMYFUNCTION("""COMPUTED_VALUE"""),"")</f>
        <v/>
      </c>
      <c r="Z50" s="2" t="str">
        <f ca="1">IFERROR(__xludf.DUMMYFUNCTION("""COMPUTED_VALUE"""),"")</f>
        <v/>
      </c>
      <c r="AA50" s="2">
        <f ca="1">IFERROR(__xludf.DUMMYFUNCTION("""COMPUTED_VALUE"""),1781124)</f>
        <v>1781124</v>
      </c>
      <c r="AB50" s="2">
        <f ca="1">IFERROR(__xludf.DUMMYFUNCTION("""COMPUTED_VALUE"""),5874272)</f>
        <v>5874272</v>
      </c>
      <c r="AC50" s="2">
        <f ca="1">IFERROR(__xludf.DUMMYFUNCTION("""COMPUTED_VALUE"""),47)</f>
        <v>47</v>
      </c>
      <c r="AD50" s="2" t="str">
        <f ca="1">IFERROR(__xludf.DUMMYFUNCTION("""COMPUTED_VALUE"""),"Medium - Signal was good but bird was not close.")</f>
        <v>Medium - Signal was good but bird was not close.</v>
      </c>
      <c r="AE50" s="2">
        <f ca="1">IFERROR(__xludf.DUMMYFUNCTION("""COMPUTED_VALUE"""),1781630)</f>
        <v>1781630</v>
      </c>
      <c r="AF50" s="2">
        <f ca="1">IFERROR(__xludf.DUMMYFUNCTION("""COMPUTED_VALUE"""),5874186)</f>
        <v>5874186</v>
      </c>
      <c r="AG50" s="2">
        <f ca="1">IFERROR(__xludf.DUMMYFUNCTION("""COMPUTED_VALUE"""),350)</f>
        <v>350</v>
      </c>
      <c r="AH50" s="2" t="str">
        <f ca="1">IFERROR(__xludf.DUMMYFUNCTION("""COMPUTED_VALUE"""),"Strong - I got a lovely, clear, strong signal.")</f>
        <v>Strong - I got a lovely, clear, strong signal.</v>
      </c>
      <c r="AI50" s="2">
        <f ca="1">IFERROR(__xludf.DUMMYFUNCTION("""COMPUTED_VALUE"""),1782539)</f>
        <v>1782539</v>
      </c>
      <c r="AJ50" s="2">
        <f ca="1">IFERROR(__xludf.DUMMYFUNCTION("""COMPUTED_VALUE"""),5874762)</f>
        <v>5874762</v>
      </c>
      <c r="AK50" s="2">
        <f ca="1">IFERROR(__xludf.DUMMYFUNCTION("""COMPUTED_VALUE"""),250)</f>
        <v>250</v>
      </c>
      <c r="AL50" s="2" t="str">
        <f ca="1">IFERROR(__xludf.DUMMYFUNCTION("""COMPUTED_VALUE"""),"Medium - Signal was good but bird was not close.")</f>
        <v>Medium - Signal was good but bird was not close.</v>
      </c>
      <c r="AM50" s="2" t="str">
        <f ca="1">IFERROR(__xludf.DUMMYFUNCTION("""COMPUTED_VALUE"""),"")</f>
        <v/>
      </c>
      <c r="AN50" s="2" t="str">
        <f ca="1">IFERROR(__xludf.DUMMYFUNCTION("""COMPUTED_VALUE"""),"")</f>
        <v/>
      </c>
      <c r="AO50" s="2" t="str">
        <f ca="1">IFERROR(__xludf.DUMMYFUNCTION("""COMPUTED_VALUE"""),"")</f>
        <v/>
      </c>
      <c r="AP50" s="2" t="str">
        <f ca="1">IFERROR(__xludf.DUMMYFUNCTION("""COMPUTED_VALUE"""),"")</f>
        <v/>
      </c>
      <c r="AQ50" s="2" t="str">
        <f ca="1">IFERROR(__xludf.DUMMYFUNCTION("""COMPUTED_VALUE"""),"")</f>
        <v/>
      </c>
      <c r="AR50" s="2" t="str">
        <f ca="1">IFERROR(__xludf.DUMMYFUNCTION("""COMPUTED_VALUE"""),"")</f>
        <v/>
      </c>
      <c r="AS50" s="2" t="str">
        <f ca="1">IFERROR(__xludf.DUMMYFUNCTION("""COMPUTED_VALUE"""),"")</f>
        <v/>
      </c>
      <c r="AT50" s="2" t="str">
        <f ca="1">IFERROR(__xludf.DUMMYFUNCTION("""COMPUTED_VALUE"""),"")</f>
        <v/>
      </c>
      <c r="AU50" s="2" t="str">
        <f ca="1">IFERROR(__xludf.DUMMYFUNCTION("""COMPUTED_VALUE"""),"No")</f>
        <v>No</v>
      </c>
      <c r="AV50" s="2" t="str">
        <f ca="1">IFERROR(__xludf.DUMMYFUNCTION("""COMPUTED_VALUE"""),"")</f>
        <v/>
      </c>
      <c r="AW50" s="2" t="str">
        <f ca="1">IFERROR(__xludf.DUMMYFUNCTION("""COMPUTED_VALUE"""),"")</f>
        <v/>
      </c>
      <c r="AX50" s="2" t="str">
        <f ca="1">IFERROR(__xludf.DUMMYFUNCTION("""COMPUTED_VALUE"""),"")</f>
        <v/>
      </c>
      <c r="AY50" s="2" t="str">
        <f ca="1">IFERROR(__xludf.DUMMYFUNCTION("""COMPUTED_VALUE"""),"")</f>
        <v/>
      </c>
      <c r="AZ50" s="2" t="str">
        <f ca="1">IFERROR(__xludf.DUMMYFUNCTION("""COMPUTED_VALUE"""),"")</f>
        <v/>
      </c>
      <c r="BA50" s="2" t="str">
        <f ca="1">IFERROR(__xludf.DUMMYFUNCTION("""COMPUTED_VALUE"""),"")</f>
        <v/>
      </c>
      <c r="BB50" s="2" t="str">
        <f ca="1">IFERROR(__xludf.DUMMYFUNCTION("""COMPUTED_VALUE"""),"")</f>
        <v/>
      </c>
      <c r="BC50" s="2" t="str">
        <f ca="1">IFERROR(__xludf.DUMMYFUNCTION("""COMPUTED_VALUE"""),"")</f>
        <v/>
      </c>
      <c r="BD50" s="2" t="str">
        <f ca="1">IFERROR(__xludf.DUMMYFUNCTION("""COMPUTED_VALUE"""),"")</f>
        <v/>
      </c>
      <c r="BE50" s="2" t="str">
        <f ca="1">IFERROR(__xludf.DUMMYFUNCTION("""COMPUTED_VALUE"""),"")</f>
        <v/>
      </c>
      <c r="BF50" t="str">
        <f ca="1">IFERROR(__xludf.DUMMYFUNCTION("""COMPUTED_VALUE"""),"")</f>
        <v/>
      </c>
      <c r="BG50" t="str">
        <f ca="1">IFERROR(__xludf.DUMMYFUNCTION("""COMPUTED_VALUE"""),"")</f>
        <v/>
      </c>
      <c r="BH50" s="2" t="str">
        <f ca="1">IFERROR(__xludf.DUMMYFUNCTION("""COMPUTED_VALUE"""),"")</f>
        <v/>
      </c>
      <c r="BI50" s="13" t="str">
        <f ca="1">IFERROR(__xludf.DUMMYFUNCTION("""COMPUTED_VALUE"""),"")</f>
        <v/>
      </c>
      <c r="BJ50" s="9" t="str">
        <f ca="1">IFERROR(__xludf.DUMMYFUNCTION("""COMPUTED_VALUE"""),"")</f>
        <v/>
      </c>
      <c r="BK50" s="4" t="str">
        <f ca="1">IFERROR(__xludf.DUMMYFUNCTION("""COMPUTED_VALUE"""),"")</f>
        <v/>
      </c>
    </row>
    <row r="51" spans="1:63" ht="12.5" x14ac:dyDescent="0.25">
      <c r="A51" s="7">
        <f ca="1">IFERROR(__xludf.DUMMYFUNCTION("""COMPUTED_VALUE"""),43573.4134672569)</f>
        <v>43573.413467256898</v>
      </c>
      <c r="B51" s="8" t="str">
        <f ca="1">IFERROR(__xludf.DUMMYFUNCTION("""COMPUTED_VALUE"""),"Waikato")</f>
        <v>Waikato</v>
      </c>
      <c r="C51" s="2" t="str">
        <f ca="1">IFERROR(__xludf.DUMMYFUNCTION("""COMPUTED_VALUE"""),"")</f>
        <v/>
      </c>
      <c r="D51" s="9">
        <f ca="1">IFERROR(__xludf.DUMMYFUNCTION("""COMPUTED_VALUE"""),43538)</f>
        <v>43538</v>
      </c>
      <c r="E51" s="4">
        <f ca="1">IFERROR(__xludf.DUMMYFUNCTION("""COMPUTED_VALUE"""),0.375)</f>
        <v>0.375</v>
      </c>
      <c r="F51" s="2" t="str">
        <f ca="1">IFERROR(__xludf.DUMMYFUNCTION("""COMPUTED_VALUE"""),"Not found")</f>
        <v>Not found</v>
      </c>
      <c r="G51" s="2" t="str">
        <f ca="1">IFERROR(__xludf.DUMMYFUNCTION("""COMPUTED_VALUE"""),"None: I listened for the bird but was unable to find it")</f>
        <v>None: I listened for the bird but was unable to find it</v>
      </c>
      <c r="H51" s="2" t="str">
        <f ca="1">IFERROR(__xludf.DUMMYFUNCTION("""COMPUTED_VALUE"""),"")</f>
        <v/>
      </c>
      <c r="I51" s="2" t="str">
        <f ca="1">IFERROR(__xludf.DUMMYFUNCTION("""COMPUTED_VALUE"""),"")</f>
        <v/>
      </c>
      <c r="J51" s="2" t="str">
        <f ca="1">IFERROR(__xludf.DUMMYFUNCTION("""COMPUTED_VALUE"""),"")</f>
        <v/>
      </c>
      <c r="K51" s="2" t="str">
        <f ca="1">IFERROR(__xludf.DUMMYFUNCTION("""COMPUTED_VALUE"""),"")</f>
        <v/>
      </c>
      <c r="L51" s="2" t="str">
        <f ca="1">IFERROR(__xludf.DUMMYFUNCTION("""COMPUTED_VALUE"""),"")</f>
        <v/>
      </c>
      <c r="M51" s="5" t="str">
        <f ca="1">IFERROR(__xludf.DUMMYFUNCTION("""COMPUTED_VALUE"""),"")</f>
        <v/>
      </c>
      <c r="N51" s="5" t="str">
        <f ca="1">IFERROR(__xludf.DUMMYFUNCTION("""COMPUTED_VALUE"""),"")</f>
        <v/>
      </c>
      <c r="O51" s="2" t="str">
        <f ca="1">IFERROR(__xludf.DUMMYFUNCTION("""COMPUTED_VALUE"""),"")</f>
        <v/>
      </c>
      <c r="P51" s="2" t="str">
        <f ca="1">IFERROR(__xludf.DUMMYFUNCTION("""COMPUTED_VALUE"""),"")</f>
        <v/>
      </c>
      <c r="Q51" s="2" t="str">
        <f ca="1">IFERROR(__xludf.DUMMYFUNCTION("""COMPUTED_VALUE"""),"")</f>
        <v/>
      </c>
      <c r="R51" s="2" t="str">
        <f ca="1">IFERROR(__xludf.DUMMYFUNCTION("""COMPUTED_VALUE"""),"")</f>
        <v/>
      </c>
      <c r="S51" s="2" t="str">
        <f ca="1">IFERROR(__xludf.DUMMYFUNCTION("""COMPUTED_VALUE"""),"")</f>
        <v/>
      </c>
      <c r="T51" s="2" t="str">
        <f ca="1">IFERROR(__xludf.DUMMYFUNCTION("""COMPUTED_VALUE"""),"")</f>
        <v/>
      </c>
      <c r="U51" s="2" t="str">
        <f ca="1">IFERROR(__xludf.DUMMYFUNCTION("""COMPUTED_VALUE"""),"")</f>
        <v/>
      </c>
      <c r="V51" s="2" t="str">
        <f ca="1">IFERROR(__xludf.DUMMYFUNCTION("""COMPUTED_VALUE"""),"")</f>
        <v/>
      </c>
      <c r="W51" s="2" t="str">
        <f ca="1">IFERROR(__xludf.DUMMYFUNCTION("""COMPUTED_VALUE"""),"")</f>
        <v/>
      </c>
      <c r="X51" s="2" t="str">
        <f ca="1">IFERROR(__xludf.DUMMYFUNCTION("""COMPUTED_VALUE"""),"")</f>
        <v/>
      </c>
      <c r="Y51" s="2" t="str">
        <f ca="1">IFERROR(__xludf.DUMMYFUNCTION("""COMPUTED_VALUE"""),"")</f>
        <v/>
      </c>
      <c r="Z51" s="2" t="str">
        <f ca="1">IFERROR(__xludf.DUMMYFUNCTION("""COMPUTED_VALUE"""),"")</f>
        <v/>
      </c>
      <c r="AA51" s="2" t="str">
        <f ca="1">IFERROR(__xludf.DUMMYFUNCTION("""COMPUTED_VALUE"""),"")</f>
        <v/>
      </c>
      <c r="AB51" s="2" t="str">
        <f ca="1">IFERROR(__xludf.DUMMYFUNCTION("""COMPUTED_VALUE"""),"")</f>
        <v/>
      </c>
      <c r="AC51" s="2" t="str">
        <f ca="1">IFERROR(__xludf.DUMMYFUNCTION("""COMPUTED_VALUE"""),"")</f>
        <v/>
      </c>
      <c r="AD51" s="2" t="str">
        <f ca="1">IFERROR(__xludf.DUMMYFUNCTION("""COMPUTED_VALUE"""),"")</f>
        <v/>
      </c>
      <c r="AE51" s="2" t="str">
        <f ca="1">IFERROR(__xludf.DUMMYFUNCTION("""COMPUTED_VALUE"""),"")</f>
        <v/>
      </c>
      <c r="AF51" s="2" t="str">
        <f ca="1">IFERROR(__xludf.DUMMYFUNCTION("""COMPUTED_VALUE"""),"")</f>
        <v/>
      </c>
      <c r="AG51" s="2" t="str">
        <f ca="1">IFERROR(__xludf.DUMMYFUNCTION("""COMPUTED_VALUE"""),"")</f>
        <v/>
      </c>
      <c r="AH51" s="2" t="str">
        <f ca="1">IFERROR(__xludf.DUMMYFUNCTION("""COMPUTED_VALUE"""),"")</f>
        <v/>
      </c>
      <c r="AI51" s="2" t="str">
        <f ca="1">IFERROR(__xludf.DUMMYFUNCTION("""COMPUTED_VALUE"""),"")</f>
        <v/>
      </c>
      <c r="AJ51" s="2" t="str">
        <f ca="1">IFERROR(__xludf.DUMMYFUNCTION("""COMPUTED_VALUE"""),"")</f>
        <v/>
      </c>
      <c r="AK51" s="2" t="str">
        <f ca="1">IFERROR(__xludf.DUMMYFUNCTION("""COMPUTED_VALUE"""),"")</f>
        <v/>
      </c>
      <c r="AL51" s="2" t="str">
        <f ca="1">IFERROR(__xludf.DUMMYFUNCTION("""COMPUTED_VALUE"""),"")</f>
        <v/>
      </c>
      <c r="AM51" s="2" t="str">
        <f ca="1">IFERROR(__xludf.DUMMYFUNCTION("""COMPUTED_VALUE"""),"")</f>
        <v/>
      </c>
      <c r="AN51" s="2" t="str">
        <f ca="1">IFERROR(__xludf.DUMMYFUNCTION("""COMPUTED_VALUE"""),"")</f>
        <v/>
      </c>
      <c r="AO51" s="2" t="str">
        <f ca="1">IFERROR(__xludf.DUMMYFUNCTION("""COMPUTED_VALUE"""),"")</f>
        <v/>
      </c>
      <c r="AP51" s="2" t="str">
        <f ca="1">IFERROR(__xludf.DUMMYFUNCTION("""COMPUTED_VALUE"""),"")</f>
        <v/>
      </c>
      <c r="AQ51" s="2" t="str">
        <f ca="1">IFERROR(__xludf.DUMMYFUNCTION("""COMPUTED_VALUE"""),"")</f>
        <v/>
      </c>
      <c r="AR51" s="2" t="str">
        <f ca="1">IFERROR(__xludf.DUMMYFUNCTION("""COMPUTED_VALUE"""),"")</f>
        <v/>
      </c>
      <c r="AS51" s="2" t="str">
        <f ca="1">IFERROR(__xludf.DUMMYFUNCTION("""COMPUTED_VALUE"""),"")</f>
        <v/>
      </c>
      <c r="AT51" s="2" t="str">
        <f ca="1">IFERROR(__xludf.DUMMYFUNCTION("""COMPUTED_VALUE"""),"")</f>
        <v/>
      </c>
      <c r="AU51" s="2" t="str">
        <f ca="1">IFERROR(__xludf.DUMMYFUNCTION("""COMPUTED_VALUE"""),"")</f>
        <v/>
      </c>
      <c r="AV51" s="2" t="str">
        <f ca="1">IFERROR(__xludf.DUMMYFUNCTION("""COMPUTED_VALUE"""),"")</f>
        <v/>
      </c>
      <c r="AW51" s="2" t="str">
        <f ca="1">IFERROR(__xludf.DUMMYFUNCTION("""COMPUTED_VALUE"""),"")</f>
        <v/>
      </c>
      <c r="AX51" s="2" t="str">
        <f ca="1">IFERROR(__xludf.DUMMYFUNCTION("""COMPUTED_VALUE"""),"")</f>
        <v/>
      </c>
      <c r="AY51" s="2" t="str">
        <f ca="1">IFERROR(__xludf.DUMMYFUNCTION("""COMPUTED_VALUE"""),"")</f>
        <v/>
      </c>
      <c r="AZ51" s="2" t="str">
        <f ca="1">IFERROR(__xludf.DUMMYFUNCTION("""COMPUTED_VALUE"""),"")</f>
        <v/>
      </c>
      <c r="BA51" s="2" t="str">
        <f ca="1">IFERROR(__xludf.DUMMYFUNCTION("""COMPUTED_VALUE"""),"")</f>
        <v/>
      </c>
      <c r="BB51" s="2" t="str">
        <f ca="1">IFERROR(__xludf.DUMMYFUNCTION("""COMPUTED_VALUE"""),"")</f>
        <v/>
      </c>
      <c r="BC51" s="2" t="str">
        <f ca="1">IFERROR(__xludf.DUMMYFUNCTION("""COMPUTED_VALUE"""),"")</f>
        <v/>
      </c>
      <c r="BD51" s="2" t="str">
        <f ca="1">IFERROR(__xludf.DUMMYFUNCTION("""COMPUTED_VALUE"""),"Whangamarino and Dean Wetland")</f>
        <v>Whangamarino and Dean Wetland</v>
      </c>
      <c r="BE51" s="2" t="str">
        <f ca="1">IFERROR(__xludf.DUMMYFUNCTION("""COMPUTED_VALUE"""),"No")</f>
        <v>No</v>
      </c>
      <c r="BF51" t="str">
        <f ca="1">IFERROR(__xludf.DUMMYFUNCTION("""COMPUTED_VALUE"""),"")</f>
        <v/>
      </c>
      <c r="BG51" t="str">
        <f ca="1">IFERROR(__xludf.DUMMYFUNCTION("""COMPUTED_VALUE"""),"")</f>
        <v/>
      </c>
      <c r="BH51" s="2" t="str">
        <f ca="1">IFERROR(__xludf.DUMMYFUNCTION("""COMPUTED_VALUE"""),"")</f>
        <v/>
      </c>
      <c r="BI51" s="12" t="str">
        <f ca="1">IFERROR(__xludf.DUMMYFUNCTION("""COMPUTED_VALUE"""),"")</f>
        <v/>
      </c>
      <c r="BJ51" s="9" t="str">
        <f ca="1">IFERROR(__xludf.DUMMYFUNCTION("""COMPUTED_VALUE"""),"")</f>
        <v/>
      </c>
      <c r="BK51" s="4" t="str">
        <f ca="1">IFERROR(__xludf.DUMMYFUNCTION("""COMPUTED_VALUE"""),"")</f>
        <v/>
      </c>
    </row>
    <row r="52" spans="1:63" ht="12.5" x14ac:dyDescent="0.25">
      <c r="A52" s="7">
        <f ca="1">IFERROR(__xludf.DUMMYFUNCTION("""COMPUTED_VALUE"""),43573.4141847337)</f>
        <v>43573.414184733701</v>
      </c>
      <c r="B52" s="8" t="str">
        <f ca="1">IFERROR(__xludf.DUMMYFUNCTION("""COMPUTED_VALUE"""),"Waikato")</f>
        <v>Waikato</v>
      </c>
      <c r="C52" s="2" t="str">
        <f ca="1">IFERROR(__xludf.DUMMYFUNCTION("""COMPUTED_VALUE"""),"")</f>
        <v/>
      </c>
      <c r="D52" s="9">
        <f ca="1">IFERROR(__xludf.DUMMYFUNCTION("""COMPUTED_VALUE"""),43538)</f>
        <v>43538</v>
      </c>
      <c r="E52" s="4">
        <f ca="1">IFERROR(__xludf.DUMMYFUNCTION("""COMPUTED_VALUE"""),0.375)</f>
        <v>0.375</v>
      </c>
      <c r="F52" s="2" t="str">
        <f ca="1">IFERROR(__xludf.DUMMYFUNCTION("""COMPUTED_VALUE"""),"Not found")</f>
        <v>Not found</v>
      </c>
      <c r="G52" s="2" t="str">
        <f ca="1">IFERROR(__xludf.DUMMYFUNCTION("""COMPUTED_VALUE"""),"None: I listened for the bird but was unable to find it")</f>
        <v>None: I listened for the bird but was unable to find it</v>
      </c>
      <c r="H52" s="2" t="str">
        <f ca="1">IFERROR(__xludf.DUMMYFUNCTION("""COMPUTED_VALUE"""),"")</f>
        <v/>
      </c>
      <c r="I52" s="2" t="str">
        <f ca="1">IFERROR(__xludf.DUMMYFUNCTION("""COMPUTED_VALUE"""),"")</f>
        <v/>
      </c>
      <c r="J52" s="2" t="str">
        <f ca="1">IFERROR(__xludf.DUMMYFUNCTION("""COMPUTED_VALUE"""),"")</f>
        <v/>
      </c>
      <c r="K52" s="2" t="str">
        <f ca="1">IFERROR(__xludf.DUMMYFUNCTION("""COMPUTED_VALUE"""),"")</f>
        <v/>
      </c>
      <c r="L52" s="2" t="str">
        <f ca="1">IFERROR(__xludf.DUMMYFUNCTION("""COMPUTED_VALUE"""),"")</f>
        <v/>
      </c>
      <c r="M52" s="5" t="str">
        <f ca="1">IFERROR(__xludf.DUMMYFUNCTION("""COMPUTED_VALUE"""),"")</f>
        <v/>
      </c>
      <c r="N52" s="5" t="str">
        <f ca="1">IFERROR(__xludf.DUMMYFUNCTION("""COMPUTED_VALUE"""),"")</f>
        <v/>
      </c>
      <c r="O52" s="2" t="str">
        <f ca="1">IFERROR(__xludf.DUMMYFUNCTION("""COMPUTED_VALUE"""),"")</f>
        <v/>
      </c>
      <c r="P52" s="2" t="str">
        <f ca="1">IFERROR(__xludf.DUMMYFUNCTION("""COMPUTED_VALUE"""),"")</f>
        <v/>
      </c>
      <c r="Q52" s="2" t="str">
        <f ca="1">IFERROR(__xludf.DUMMYFUNCTION("""COMPUTED_VALUE"""),"")</f>
        <v/>
      </c>
      <c r="R52" s="2" t="str">
        <f ca="1">IFERROR(__xludf.DUMMYFUNCTION("""COMPUTED_VALUE"""),"")</f>
        <v/>
      </c>
      <c r="S52" s="2" t="str">
        <f ca="1">IFERROR(__xludf.DUMMYFUNCTION("""COMPUTED_VALUE"""),"")</f>
        <v/>
      </c>
      <c r="T52" s="2" t="str">
        <f ca="1">IFERROR(__xludf.DUMMYFUNCTION("""COMPUTED_VALUE"""),"")</f>
        <v/>
      </c>
      <c r="U52" s="2" t="str">
        <f ca="1">IFERROR(__xludf.DUMMYFUNCTION("""COMPUTED_VALUE"""),"")</f>
        <v/>
      </c>
      <c r="V52" s="2" t="str">
        <f ca="1">IFERROR(__xludf.DUMMYFUNCTION("""COMPUTED_VALUE"""),"")</f>
        <v/>
      </c>
      <c r="W52" s="2" t="str">
        <f ca="1">IFERROR(__xludf.DUMMYFUNCTION("""COMPUTED_VALUE"""),"")</f>
        <v/>
      </c>
      <c r="X52" s="2" t="str">
        <f ca="1">IFERROR(__xludf.DUMMYFUNCTION("""COMPUTED_VALUE"""),"")</f>
        <v/>
      </c>
      <c r="Y52" s="2" t="str">
        <f ca="1">IFERROR(__xludf.DUMMYFUNCTION("""COMPUTED_VALUE"""),"")</f>
        <v/>
      </c>
      <c r="Z52" s="2" t="str">
        <f ca="1">IFERROR(__xludf.DUMMYFUNCTION("""COMPUTED_VALUE"""),"")</f>
        <v/>
      </c>
      <c r="AA52" s="2" t="str">
        <f ca="1">IFERROR(__xludf.DUMMYFUNCTION("""COMPUTED_VALUE"""),"")</f>
        <v/>
      </c>
      <c r="AB52" s="2" t="str">
        <f ca="1">IFERROR(__xludf.DUMMYFUNCTION("""COMPUTED_VALUE"""),"")</f>
        <v/>
      </c>
      <c r="AC52" s="2" t="str">
        <f ca="1">IFERROR(__xludf.DUMMYFUNCTION("""COMPUTED_VALUE"""),"")</f>
        <v/>
      </c>
      <c r="AD52" s="2" t="str">
        <f ca="1">IFERROR(__xludf.DUMMYFUNCTION("""COMPUTED_VALUE"""),"")</f>
        <v/>
      </c>
      <c r="AE52" s="2" t="str">
        <f ca="1">IFERROR(__xludf.DUMMYFUNCTION("""COMPUTED_VALUE"""),"")</f>
        <v/>
      </c>
      <c r="AF52" s="2" t="str">
        <f ca="1">IFERROR(__xludf.DUMMYFUNCTION("""COMPUTED_VALUE"""),"")</f>
        <v/>
      </c>
      <c r="AG52" s="2" t="str">
        <f ca="1">IFERROR(__xludf.DUMMYFUNCTION("""COMPUTED_VALUE"""),"")</f>
        <v/>
      </c>
      <c r="AH52" s="2" t="str">
        <f ca="1">IFERROR(__xludf.DUMMYFUNCTION("""COMPUTED_VALUE"""),"")</f>
        <v/>
      </c>
      <c r="AI52" s="2" t="str">
        <f ca="1">IFERROR(__xludf.DUMMYFUNCTION("""COMPUTED_VALUE"""),"")</f>
        <v/>
      </c>
      <c r="AJ52" s="2" t="str">
        <f ca="1">IFERROR(__xludf.DUMMYFUNCTION("""COMPUTED_VALUE"""),"")</f>
        <v/>
      </c>
      <c r="AK52" s="2" t="str">
        <f ca="1">IFERROR(__xludf.DUMMYFUNCTION("""COMPUTED_VALUE"""),"")</f>
        <v/>
      </c>
      <c r="AL52" s="2" t="str">
        <f ca="1">IFERROR(__xludf.DUMMYFUNCTION("""COMPUTED_VALUE"""),"")</f>
        <v/>
      </c>
      <c r="AM52" s="2" t="str">
        <f ca="1">IFERROR(__xludf.DUMMYFUNCTION("""COMPUTED_VALUE"""),"")</f>
        <v/>
      </c>
      <c r="AN52" s="2" t="str">
        <f ca="1">IFERROR(__xludf.DUMMYFUNCTION("""COMPUTED_VALUE"""),"")</f>
        <v/>
      </c>
      <c r="AO52" s="2" t="str">
        <f ca="1">IFERROR(__xludf.DUMMYFUNCTION("""COMPUTED_VALUE"""),"")</f>
        <v/>
      </c>
      <c r="AP52" s="2" t="str">
        <f ca="1">IFERROR(__xludf.DUMMYFUNCTION("""COMPUTED_VALUE"""),"")</f>
        <v/>
      </c>
      <c r="AQ52" s="2" t="str">
        <f ca="1">IFERROR(__xludf.DUMMYFUNCTION("""COMPUTED_VALUE"""),"")</f>
        <v/>
      </c>
      <c r="AR52" s="2" t="str">
        <f ca="1">IFERROR(__xludf.DUMMYFUNCTION("""COMPUTED_VALUE"""),"")</f>
        <v/>
      </c>
      <c r="AS52" s="2" t="str">
        <f ca="1">IFERROR(__xludf.DUMMYFUNCTION("""COMPUTED_VALUE"""),"")</f>
        <v/>
      </c>
      <c r="AT52" s="2" t="str">
        <f ca="1">IFERROR(__xludf.DUMMYFUNCTION("""COMPUTED_VALUE"""),"")</f>
        <v/>
      </c>
      <c r="AU52" s="2" t="str">
        <f ca="1">IFERROR(__xludf.DUMMYFUNCTION("""COMPUTED_VALUE"""),"")</f>
        <v/>
      </c>
      <c r="AV52" s="2" t="str">
        <f ca="1">IFERROR(__xludf.DUMMYFUNCTION("""COMPUTED_VALUE"""),"")</f>
        <v/>
      </c>
      <c r="AW52" s="2" t="str">
        <f ca="1">IFERROR(__xludf.DUMMYFUNCTION("""COMPUTED_VALUE"""),"")</f>
        <v/>
      </c>
      <c r="AX52" s="2" t="str">
        <f ca="1">IFERROR(__xludf.DUMMYFUNCTION("""COMPUTED_VALUE"""),"")</f>
        <v/>
      </c>
      <c r="AY52" s="2" t="str">
        <f ca="1">IFERROR(__xludf.DUMMYFUNCTION("""COMPUTED_VALUE"""),"")</f>
        <v/>
      </c>
      <c r="AZ52" s="2" t="str">
        <f ca="1">IFERROR(__xludf.DUMMYFUNCTION("""COMPUTED_VALUE"""),"")</f>
        <v/>
      </c>
      <c r="BA52" s="2" t="str">
        <f ca="1">IFERROR(__xludf.DUMMYFUNCTION("""COMPUTED_VALUE"""),"")</f>
        <v/>
      </c>
      <c r="BB52" s="2" t="str">
        <f ca="1">IFERROR(__xludf.DUMMYFUNCTION("""COMPUTED_VALUE"""),"")</f>
        <v/>
      </c>
      <c r="BC52" s="2" t="str">
        <f ca="1">IFERROR(__xludf.DUMMYFUNCTION("""COMPUTED_VALUE"""),"")</f>
        <v/>
      </c>
      <c r="BD52" s="2" t="str">
        <f ca="1">IFERROR(__xludf.DUMMYFUNCTION("""COMPUTED_VALUE"""),"Whangamarino and Dean Wetland")</f>
        <v>Whangamarino and Dean Wetland</v>
      </c>
      <c r="BE52" s="2" t="str">
        <f ca="1">IFERROR(__xludf.DUMMYFUNCTION("""COMPUTED_VALUE"""),"No")</f>
        <v>No</v>
      </c>
      <c r="BF52" t="str">
        <f ca="1">IFERROR(__xludf.DUMMYFUNCTION("""COMPUTED_VALUE"""),"")</f>
        <v/>
      </c>
      <c r="BG52" t="str">
        <f ca="1">IFERROR(__xludf.DUMMYFUNCTION("""COMPUTED_VALUE"""),"")</f>
        <v/>
      </c>
      <c r="BH52" s="2" t="str">
        <f ca="1">IFERROR(__xludf.DUMMYFUNCTION("""COMPUTED_VALUE"""),"")</f>
        <v/>
      </c>
      <c r="BI52" s="13" t="str">
        <f ca="1">IFERROR(__xludf.DUMMYFUNCTION("""COMPUTED_VALUE"""),"")</f>
        <v/>
      </c>
      <c r="BJ52" s="9" t="str">
        <f ca="1">IFERROR(__xludf.DUMMYFUNCTION("""COMPUTED_VALUE"""),"")</f>
        <v/>
      </c>
      <c r="BK52" s="4" t="str">
        <f ca="1">IFERROR(__xludf.DUMMYFUNCTION("""COMPUTED_VALUE"""),"")</f>
        <v/>
      </c>
    </row>
    <row r="53" spans="1:63" ht="12.5" x14ac:dyDescent="0.25">
      <c r="A53" s="7">
        <f ca="1">IFERROR(__xludf.DUMMYFUNCTION("""COMPUTED_VALUE"""),43573.4148284722)</f>
        <v>43573.414828472203</v>
      </c>
      <c r="B53" s="8" t="str">
        <f ca="1">IFERROR(__xludf.DUMMYFUNCTION("""COMPUTED_VALUE"""),"Waikato")</f>
        <v>Waikato</v>
      </c>
      <c r="C53" s="2" t="str">
        <f ca="1">IFERROR(__xludf.DUMMYFUNCTION("""COMPUTED_VALUE"""),"")</f>
        <v/>
      </c>
      <c r="D53" s="9">
        <f ca="1">IFERROR(__xludf.DUMMYFUNCTION("""COMPUTED_VALUE"""),43538)</f>
        <v>43538</v>
      </c>
      <c r="E53" s="4">
        <f ca="1">IFERROR(__xludf.DUMMYFUNCTION("""COMPUTED_VALUE"""),0.375)</f>
        <v>0.375</v>
      </c>
      <c r="F53" s="2" t="str">
        <f ca="1">IFERROR(__xludf.DUMMYFUNCTION("""COMPUTED_VALUE"""),"Not found")</f>
        <v>Not found</v>
      </c>
      <c r="G53" s="2" t="str">
        <f ca="1">IFERROR(__xludf.DUMMYFUNCTION("""COMPUTED_VALUE"""),"None: I listened for the bird but was unable to find it")</f>
        <v>None: I listened for the bird but was unable to find it</v>
      </c>
      <c r="H53" s="2" t="str">
        <f ca="1">IFERROR(__xludf.DUMMYFUNCTION("""COMPUTED_VALUE"""),"")</f>
        <v/>
      </c>
      <c r="I53" s="2" t="str">
        <f ca="1">IFERROR(__xludf.DUMMYFUNCTION("""COMPUTED_VALUE"""),"")</f>
        <v/>
      </c>
      <c r="J53" s="2" t="str">
        <f ca="1">IFERROR(__xludf.DUMMYFUNCTION("""COMPUTED_VALUE"""),"")</f>
        <v/>
      </c>
      <c r="K53" s="2" t="str">
        <f ca="1">IFERROR(__xludf.DUMMYFUNCTION("""COMPUTED_VALUE"""),"")</f>
        <v/>
      </c>
      <c r="L53" s="2" t="str">
        <f ca="1">IFERROR(__xludf.DUMMYFUNCTION("""COMPUTED_VALUE"""),"")</f>
        <v/>
      </c>
      <c r="M53" s="5" t="str">
        <f ca="1">IFERROR(__xludf.DUMMYFUNCTION("""COMPUTED_VALUE"""),"")</f>
        <v/>
      </c>
      <c r="N53" s="5" t="str">
        <f ca="1">IFERROR(__xludf.DUMMYFUNCTION("""COMPUTED_VALUE"""),"")</f>
        <v/>
      </c>
      <c r="O53" s="2" t="str">
        <f ca="1">IFERROR(__xludf.DUMMYFUNCTION("""COMPUTED_VALUE"""),"")</f>
        <v/>
      </c>
      <c r="P53" s="2" t="str">
        <f ca="1">IFERROR(__xludf.DUMMYFUNCTION("""COMPUTED_VALUE"""),"")</f>
        <v/>
      </c>
      <c r="Q53" s="2" t="str">
        <f ca="1">IFERROR(__xludf.DUMMYFUNCTION("""COMPUTED_VALUE"""),"")</f>
        <v/>
      </c>
      <c r="R53" s="2" t="str">
        <f ca="1">IFERROR(__xludf.DUMMYFUNCTION("""COMPUTED_VALUE"""),"")</f>
        <v/>
      </c>
      <c r="S53" s="2" t="str">
        <f ca="1">IFERROR(__xludf.DUMMYFUNCTION("""COMPUTED_VALUE"""),"")</f>
        <v/>
      </c>
      <c r="T53" s="2" t="str">
        <f ca="1">IFERROR(__xludf.DUMMYFUNCTION("""COMPUTED_VALUE"""),"")</f>
        <v/>
      </c>
      <c r="U53" s="2" t="str">
        <f ca="1">IFERROR(__xludf.DUMMYFUNCTION("""COMPUTED_VALUE"""),"")</f>
        <v/>
      </c>
      <c r="V53" s="2" t="str">
        <f ca="1">IFERROR(__xludf.DUMMYFUNCTION("""COMPUTED_VALUE"""),"")</f>
        <v/>
      </c>
      <c r="W53" s="2" t="str">
        <f ca="1">IFERROR(__xludf.DUMMYFUNCTION("""COMPUTED_VALUE"""),"")</f>
        <v/>
      </c>
      <c r="X53" s="2" t="str">
        <f ca="1">IFERROR(__xludf.DUMMYFUNCTION("""COMPUTED_VALUE"""),"")</f>
        <v/>
      </c>
      <c r="Y53" s="2" t="str">
        <f ca="1">IFERROR(__xludf.DUMMYFUNCTION("""COMPUTED_VALUE"""),"")</f>
        <v/>
      </c>
      <c r="Z53" s="2" t="str">
        <f ca="1">IFERROR(__xludf.DUMMYFUNCTION("""COMPUTED_VALUE"""),"")</f>
        <v/>
      </c>
      <c r="AA53" s="2" t="str">
        <f ca="1">IFERROR(__xludf.DUMMYFUNCTION("""COMPUTED_VALUE"""),"")</f>
        <v/>
      </c>
      <c r="AB53" s="2" t="str">
        <f ca="1">IFERROR(__xludf.DUMMYFUNCTION("""COMPUTED_VALUE"""),"")</f>
        <v/>
      </c>
      <c r="AC53" s="2" t="str">
        <f ca="1">IFERROR(__xludf.DUMMYFUNCTION("""COMPUTED_VALUE"""),"")</f>
        <v/>
      </c>
      <c r="AD53" s="2" t="str">
        <f ca="1">IFERROR(__xludf.DUMMYFUNCTION("""COMPUTED_VALUE"""),"")</f>
        <v/>
      </c>
      <c r="AE53" s="2" t="str">
        <f ca="1">IFERROR(__xludf.DUMMYFUNCTION("""COMPUTED_VALUE"""),"")</f>
        <v/>
      </c>
      <c r="AF53" s="2" t="str">
        <f ca="1">IFERROR(__xludf.DUMMYFUNCTION("""COMPUTED_VALUE"""),"")</f>
        <v/>
      </c>
      <c r="AG53" s="2" t="str">
        <f ca="1">IFERROR(__xludf.DUMMYFUNCTION("""COMPUTED_VALUE"""),"")</f>
        <v/>
      </c>
      <c r="AH53" s="2" t="str">
        <f ca="1">IFERROR(__xludf.DUMMYFUNCTION("""COMPUTED_VALUE"""),"")</f>
        <v/>
      </c>
      <c r="AI53" s="2" t="str">
        <f ca="1">IFERROR(__xludf.DUMMYFUNCTION("""COMPUTED_VALUE"""),"")</f>
        <v/>
      </c>
      <c r="AJ53" s="2" t="str">
        <f ca="1">IFERROR(__xludf.DUMMYFUNCTION("""COMPUTED_VALUE"""),"")</f>
        <v/>
      </c>
      <c r="AK53" s="2" t="str">
        <f ca="1">IFERROR(__xludf.DUMMYFUNCTION("""COMPUTED_VALUE"""),"")</f>
        <v/>
      </c>
      <c r="AL53" s="2" t="str">
        <f ca="1">IFERROR(__xludf.DUMMYFUNCTION("""COMPUTED_VALUE"""),"")</f>
        <v/>
      </c>
      <c r="AM53" s="2" t="str">
        <f ca="1">IFERROR(__xludf.DUMMYFUNCTION("""COMPUTED_VALUE"""),"")</f>
        <v/>
      </c>
      <c r="AN53" s="2" t="str">
        <f ca="1">IFERROR(__xludf.DUMMYFUNCTION("""COMPUTED_VALUE"""),"")</f>
        <v/>
      </c>
      <c r="AO53" s="2" t="str">
        <f ca="1">IFERROR(__xludf.DUMMYFUNCTION("""COMPUTED_VALUE"""),"")</f>
        <v/>
      </c>
      <c r="AP53" s="2" t="str">
        <f ca="1">IFERROR(__xludf.DUMMYFUNCTION("""COMPUTED_VALUE"""),"")</f>
        <v/>
      </c>
      <c r="AQ53" s="2" t="str">
        <f ca="1">IFERROR(__xludf.DUMMYFUNCTION("""COMPUTED_VALUE"""),"")</f>
        <v/>
      </c>
      <c r="AR53" s="2" t="str">
        <f ca="1">IFERROR(__xludf.DUMMYFUNCTION("""COMPUTED_VALUE"""),"")</f>
        <v/>
      </c>
      <c r="AS53" s="2" t="str">
        <f ca="1">IFERROR(__xludf.DUMMYFUNCTION("""COMPUTED_VALUE"""),"")</f>
        <v/>
      </c>
      <c r="AT53" s="2" t="str">
        <f ca="1">IFERROR(__xludf.DUMMYFUNCTION("""COMPUTED_VALUE"""),"")</f>
        <v/>
      </c>
      <c r="AU53" s="2" t="str">
        <f ca="1">IFERROR(__xludf.DUMMYFUNCTION("""COMPUTED_VALUE"""),"")</f>
        <v/>
      </c>
      <c r="AV53" s="2" t="str">
        <f ca="1">IFERROR(__xludf.DUMMYFUNCTION("""COMPUTED_VALUE"""),"")</f>
        <v/>
      </c>
      <c r="AW53" s="2" t="str">
        <f ca="1">IFERROR(__xludf.DUMMYFUNCTION("""COMPUTED_VALUE"""),"")</f>
        <v/>
      </c>
      <c r="AX53" s="2" t="str">
        <f ca="1">IFERROR(__xludf.DUMMYFUNCTION("""COMPUTED_VALUE"""),"")</f>
        <v/>
      </c>
      <c r="AY53" s="2" t="str">
        <f ca="1">IFERROR(__xludf.DUMMYFUNCTION("""COMPUTED_VALUE"""),"")</f>
        <v/>
      </c>
      <c r="AZ53" s="2" t="str">
        <f ca="1">IFERROR(__xludf.DUMMYFUNCTION("""COMPUTED_VALUE"""),"")</f>
        <v/>
      </c>
      <c r="BA53" s="2" t="str">
        <f ca="1">IFERROR(__xludf.DUMMYFUNCTION("""COMPUTED_VALUE"""),"")</f>
        <v/>
      </c>
      <c r="BB53" s="2" t="str">
        <f ca="1">IFERROR(__xludf.DUMMYFUNCTION("""COMPUTED_VALUE"""),"")</f>
        <v/>
      </c>
      <c r="BC53" s="2" t="str">
        <f ca="1">IFERROR(__xludf.DUMMYFUNCTION("""COMPUTED_VALUE"""),"")</f>
        <v/>
      </c>
      <c r="BD53" s="2" t="str">
        <f ca="1">IFERROR(__xludf.DUMMYFUNCTION("""COMPUTED_VALUE"""),"Whangamarino and Dean Wetland")</f>
        <v>Whangamarino and Dean Wetland</v>
      </c>
      <c r="BE53" s="2" t="str">
        <f ca="1">IFERROR(__xludf.DUMMYFUNCTION("""COMPUTED_VALUE"""),"No")</f>
        <v>No</v>
      </c>
      <c r="BF53" t="str">
        <f ca="1">IFERROR(__xludf.DUMMYFUNCTION("""COMPUTED_VALUE"""),"")</f>
        <v/>
      </c>
      <c r="BG53" t="str">
        <f ca="1">IFERROR(__xludf.DUMMYFUNCTION("""COMPUTED_VALUE"""),"")</f>
        <v/>
      </c>
      <c r="BH53" s="2" t="str">
        <f ca="1">IFERROR(__xludf.DUMMYFUNCTION("""COMPUTED_VALUE"""),"")</f>
        <v/>
      </c>
      <c r="BI53" s="12" t="str">
        <f ca="1">IFERROR(__xludf.DUMMYFUNCTION("""COMPUTED_VALUE"""),"")</f>
        <v/>
      </c>
      <c r="BJ53" s="9" t="str">
        <f ca="1">IFERROR(__xludf.DUMMYFUNCTION("""COMPUTED_VALUE"""),"")</f>
        <v/>
      </c>
      <c r="BK53" s="4" t="str">
        <f ca="1">IFERROR(__xludf.DUMMYFUNCTION("""COMPUTED_VALUE"""),"")</f>
        <v/>
      </c>
    </row>
    <row r="54" spans="1:63" ht="12.5" x14ac:dyDescent="0.25">
      <c r="A54" s="7">
        <f ca="1">IFERROR(__xludf.DUMMYFUNCTION("""COMPUTED_VALUE"""),43573.4379480092)</f>
        <v>43573.437948009203</v>
      </c>
      <c r="B54" s="8" t="str">
        <f ca="1">IFERROR(__xludf.DUMMYFUNCTION("""COMPUTED_VALUE"""),"Waikato")</f>
        <v>Waikato</v>
      </c>
      <c r="C54" s="2" t="str">
        <f ca="1">IFERROR(__xludf.DUMMYFUNCTION("""COMPUTED_VALUE"""),"")</f>
        <v/>
      </c>
      <c r="D54" s="9">
        <f ca="1">IFERROR(__xludf.DUMMYFUNCTION("""COMPUTED_VALUE"""),43572)</f>
        <v>43572</v>
      </c>
      <c r="E54" s="4">
        <f ca="1">IFERROR(__xludf.DUMMYFUNCTION("""COMPUTED_VALUE"""),0.385416666667879)</f>
        <v>0.38541666666787899</v>
      </c>
      <c r="F54" s="2" t="str">
        <f ca="1">IFERROR(__xludf.DUMMYFUNCTION("""COMPUTED_VALUE"""),"Dean Wetland")</f>
        <v>Dean Wetland</v>
      </c>
      <c r="G54" s="2" t="str">
        <f ca="1">IFERROR(__xludf.DUMMYFUNCTION("""COMPUTED_VALUE"""),"VHF (triangulation): I triangulated the bird with at least three bearings")</f>
        <v>VHF (triangulation): I triangulated the bird with at least three bearings</v>
      </c>
      <c r="H54" s="2" t="str">
        <f ca="1">IFERROR(__xludf.DUMMYFUNCTION("""COMPUTED_VALUE"""),"")</f>
        <v/>
      </c>
      <c r="I54" s="2" t="str">
        <f ca="1">IFERROR(__xludf.DUMMYFUNCTION("""COMPUTED_VALUE"""),"")</f>
        <v/>
      </c>
      <c r="J54" s="2" t="str">
        <f ca="1">IFERROR(__xludf.DUMMYFUNCTION("""COMPUTED_VALUE"""),"")</f>
        <v/>
      </c>
      <c r="K54" s="2" t="str">
        <f ca="1">IFERROR(__xludf.DUMMYFUNCTION("""COMPUTED_VALUE"""),"")</f>
        <v/>
      </c>
      <c r="L54" s="2" t="str">
        <f ca="1">IFERROR(__xludf.DUMMYFUNCTION("""COMPUTED_VALUE"""),"")</f>
        <v/>
      </c>
      <c r="M54" s="5" t="str">
        <f ca="1">IFERROR(__xludf.DUMMYFUNCTION("""COMPUTED_VALUE"""),"")</f>
        <v/>
      </c>
      <c r="N54" s="5" t="str">
        <f ca="1">IFERROR(__xludf.DUMMYFUNCTION("""COMPUTED_VALUE"""),"")</f>
        <v/>
      </c>
      <c r="O54" s="2" t="str">
        <f ca="1">IFERROR(__xludf.DUMMYFUNCTION("""COMPUTED_VALUE"""),"")</f>
        <v/>
      </c>
      <c r="P54" s="2" t="str">
        <f ca="1">IFERROR(__xludf.DUMMYFUNCTION("""COMPUTED_VALUE"""),"")</f>
        <v/>
      </c>
      <c r="Q54" s="2" t="str">
        <f ca="1">IFERROR(__xludf.DUMMYFUNCTION("""COMPUTED_VALUE"""),"")</f>
        <v/>
      </c>
      <c r="R54" s="2" t="str">
        <f ca="1">IFERROR(__xludf.DUMMYFUNCTION("""COMPUTED_VALUE"""),"")</f>
        <v/>
      </c>
      <c r="S54" s="2" t="str">
        <f ca="1">IFERROR(__xludf.DUMMYFUNCTION("""COMPUTED_VALUE"""),"")</f>
        <v/>
      </c>
      <c r="T54" s="2" t="str">
        <f ca="1">IFERROR(__xludf.DUMMYFUNCTION("""COMPUTED_VALUE"""),"")</f>
        <v/>
      </c>
      <c r="U54" s="2" t="str">
        <f ca="1">IFERROR(__xludf.DUMMYFUNCTION("""COMPUTED_VALUE"""),"")</f>
        <v/>
      </c>
      <c r="V54" s="2" t="str">
        <f ca="1">IFERROR(__xludf.DUMMYFUNCTION("""COMPUTED_VALUE"""),"")</f>
        <v/>
      </c>
      <c r="W54" s="2" t="str">
        <f ca="1">IFERROR(__xludf.DUMMYFUNCTION("""COMPUTED_VALUE"""),"")</f>
        <v/>
      </c>
      <c r="X54" s="2" t="str">
        <f ca="1">IFERROR(__xludf.DUMMYFUNCTION("""COMPUTED_VALUE"""),"")</f>
        <v/>
      </c>
      <c r="Y54" s="2" t="str">
        <f ca="1">IFERROR(__xludf.DUMMYFUNCTION("""COMPUTED_VALUE"""),"")</f>
        <v/>
      </c>
      <c r="Z54" s="2" t="str">
        <f ca="1">IFERROR(__xludf.DUMMYFUNCTION("""COMPUTED_VALUE"""),"")</f>
        <v/>
      </c>
      <c r="AA54" s="2">
        <f ca="1">IFERROR(__xludf.DUMMYFUNCTION("""COMPUTED_VALUE"""),1781124)</f>
        <v>1781124</v>
      </c>
      <c r="AB54" s="2">
        <f ca="1">IFERROR(__xludf.DUMMYFUNCTION("""COMPUTED_VALUE"""),5874272)</f>
        <v>5874272</v>
      </c>
      <c r="AC54" s="2">
        <f ca="1">IFERROR(__xludf.DUMMYFUNCTION("""COMPUTED_VALUE"""),0)</f>
        <v>0</v>
      </c>
      <c r="AD54" s="2" t="str">
        <f ca="1">IFERROR(__xludf.DUMMYFUNCTION("""COMPUTED_VALUE"""),"Strong - I got a lovely, clear, strong signal.")</f>
        <v>Strong - I got a lovely, clear, strong signal.</v>
      </c>
      <c r="AE54" s="2">
        <f ca="1">IFERROR(__xludf.DUMMYFUNCTION("""COMPUTED_VALUE"""),1781630)</f>
        <v>1781630</v>
      </c>
      <c r="AF54" s="2">
        <f ca="1">IFERROR(__xludf.DUMMYFUNCTION("""COMPUTED_VALUE"""),5874186)</f>
        <v>5874186</v>
      </c>
      <c r="AG54" s="2">
        <f ca="1">IFERROR(__xludf.DUMMYFUNCTION("""COMPUTED_VALUE"""),300)</f>
        <v>300</v>
      </c>
      <c r="AH54" s="2" t="str">
        <f ca="1">IFERROR(__xludf.DUMMYFUNCTION("""COMPUTED_VALUE"""),"Strong - I got a lovely, clear, strong signal.")</f>
        <v>Strong - I got a lovely, clear, strong signal.</v>
      </c>
      <c r="AI54" s="2">
        <f ca="1">IFERROR(__xludf.DUMMYFUNCTION("""COMPUTED_VALUE"""),1780898)</f>
        <v>1780898</v>
      </c>
      <c r="AJ54" s="2">
        <f ca="1">IFERROR(__xludf.DUMMYFUNCTION("""COMPUTED_VALUE"""),5874521)</f>
        <v>5874521</v>
      </c>
      <c r="AK54" s="2">
        <f ca="1">IFERROR(__xludf.DUMMYFUNCTION("""COMPUTED_VALUE"""),49)</f>
        <v>49</v>
      </c>
      <c r="AL54" s="2" t="str">
        <f ca="1">IFERROR(__xludf.DUMMYFUNCTION("""COMPUTED_VALUE"""),"Strong - I got a lovely, clear, strong signal.")</f>
        <v>Strong - I got a lovely, clear, strong signal.</v>
      </c>
      <c r="AM54" s="2" t="str">
        <f ca="1">IFERROR(__xludf.DUMMYFUNCTION("""COMPUTED_VALUE"""),"")</f>
        <v/>
      </c>
      <c r="AN54" s="2" t="str">
        <f ca="1">IFERROR(__xludf.DUMMYFUNCTION("""COMPUTED_VALUE"""),"")</f>
        <v/>
      </c>
      <c r="AO54" s="2" t="str">
        <f ca="1">IFERROR(__xludf.DUMMYFUNCTION("""COMPUTED_VALUE"""),"")</f>
        <v/>
      </c>
      <c r="AP54" s="2" t="str">
        <f ca="1">IFERROR(__xludf.DUMMYFUNCTION("""COMPUTED_VALUE"""),"")</f>
        <v/>
      </c>
      <c r="AQ54" s="2" t="str">
        <f ca="1">IFERROR(__xludf.DUMMYFUNCTION("""COMPUTED_VALUE"""),"")</f>
        <v/>
      </c>
      <c r="AR54" s="2" t="str">
        <f ca="1">IFERROR(__xludf.DUMMYFUNCTION("""COMPUTED_VALUE"""),"")</f>
        <v/>
      </c>
      <c r="AS54" s="2" t="str">
        <f ca="1">IFERROR(__xludf.DUMMYFUNCTION("""COMPUTED_VALUE"""),"")</f>
        <v/>
      </c>
      <c r="AT54" s="2" t="str">
        <f ca="1">IFERROR(__xludf.DUMMYFUNCTION("""COMPUTED_VALUE"""),"")</f>
        <v/>
      </c>
      <c r="AU54" s="2" t="str">
        <f ca="1">IFERROR(__xludf.DUMMYFUNCTION("""COMPUTED_VALUE"""),"No")</f>
        <v>No</v>
      </c>
      <c r="AV54" s="2" t="str">
        <f ca="1">IFERROR(__xludf.DUMMYFUNCTION("""COMPUTED_VALUE"""),"")</f>
        <v/>
      </c>
      <c r="AW54" s="2" t="str">
        <f ca="1">IFERROR(__xludf.DUMMYFUNCTION("""COMPUTED_VALUE"""),"")</f>
        <v/>
      </c>
      <c r="AX54" s="2" t="str">
        <f ca="1">IFERROR(__xludf.DUMMYFUNCTION("""COMPUTED_VALUE"""),"")</f>
        <v/>
      </c>
      <c r="AY54" s="2" t="str">
        <f ca="1">IFERROR(__xludf.DUMMYFUNCTION("""COMPUTED_VALUE"""),"")</f>
        <v/>
      </c>
      <c r="AZ54" s="2" t="str">
        <f ca="1">IFERROR(__xludf.DUMMYFUNCTION("""COMPUTED_VALUE"""),"")</f>
        <v/>
      </c>
      <c r="BA54" s="2" t="str">
        <f ca="1">IFERROR(__xludf.DUMMYFUNCTION("""COMPUTED_VALUE"""),"")</f>
        <v/>
      </c>
      <c r="BB54" s="2" t="str">
        <f ca="1">IFERROR(__xludf.DUMMYFUNCTION("""COMPUTED_VALUE"""),"")</f>
        <v/>
      </c>
      <c r="BC54" s="2" t="str">
        <f ca="1">IFERROR(__xludf.DUMMYFUNCTION("""COMPUTED_VALUE"""),"")</f>
        <v/>
      </c>
      <c r="BD54" s="2" t="str">
        <f ca="1">IFERROR(__xludf.DUMMYFUNCTION("""COMPUTED_VALUE"""),"")</f>
        <v/>
      </c>
      <c r="BE54" s="2" t="str">
        <f ca="1">IFERROR(__xludf.DUMMYFUNCTION("""COMPUTED_VALUE"""),"")</f>
        <v/>
      </c>
      <c r="BF54" t="str">
        <f ca="1">IFERROR(__xludf.DUMMYFUNCTION("""COMPUTED_VALUE"""),"")</f>
        <v/>
      </c>
      <c r="BG54" t="str">
        <f ca="1">IFERROR(__xludf.DUMMYFUNCTION("""COMPUTED_VALUE"""),"")</f>
        <v/>
      </c>
      <c r="BH54" s="2" t="str">
        <f ca="1">IFERROR(__xludf.DUMMYFUNCTION("""COMPUTED_VALUE"""),"")</f>
        <v/>
      </c>
      <c r="BI54" s="13" t="str">
        <f ca="1">IFERROR(__xludf.DUMMYFUNCTION("""COMPUTED_VALUE"""),"")</f>
        <v/>
      </c>
      <c r="BJ54" s="9" t="str">
        <f ca="1">IFERROR(__xludf.DUMMYFUNCTION("""COMPUTED_VALUE"""),"")</f>
        <v/>
      </c>
      <c r="BK54" s="4" t="str">
        <f ca="1">IFERROR(__xludf.DUMMYFUNCTION("""COMPUTED_VALUE"""),"")</f>
        <v/>
      </c>
    </row>
    <row r="55" spans="1:63" ht="12.5" x14ac:dyDescent="0.25">
      <c r="A55" s="7">
        <f ca="1">IFERROR(__xludf.DUMMYFUNCTION("""COMPUTED_VALUE"""),43573.4392444097)</f>
        <v>43573.439244409703</v>
      </c>
      <c r="B55" s="8" t="str">
        <f ca="1">IFERROR(__xludf.DUMMYFUNCTION("""COMPUTED_VALUE"""),"Waikato")</f>
        <v>Waikato</v>
      </c>
      <c r="C55" s="2" t="str">
        <f ca="1">IFERROR(__xludf.DUMMYFUNCTION("""COMPUTED_VALUE"""),"")</f>
        <v/>
      </c>
      <c r="D55" s="9">
        <f ca="1">IFERROR(__xludf.DUMMYFUNCTION("""COMPUTED_VALUE"""),43572)</f>
        <v>43572</v>
      </c>
      <c r="E55" s="4">
        <f ca="1">IFERROR(__xludf.DUMMYFUNCTION("""COMPUTED_VALUE"""),0.375)</f>
        <v>0.375</v>
      </c>
      <c r="F55" s="2" t="str">
        <f ca="1">IFERROR(__xludf.DUMMYFUNCTION("""COMPUTED_VALUE"""),"Not found")</f>
        <v>Not found</v>
      </c>
      <c r="G55" s="2" t="str">
        <f ca="1">IFERROR(__xludf.DUMMYFUNCTION("""COMPUTED_VALUE"""),"None: I listened for the bird but was unable to find it")</f>
        <v>None: I listened for the bird but was unable to find it</v>
      </c>
      <c r="H55" s="2" t="str">
        <f ca="1">IFERROR(__xludf.DUMMYFUNCTION("""COMPUTED_VALUE"""),"")</f>
        <v/>
      </c>
      <c r="I55" s="2" t="str">
        <f ca="1">IFERROR(__xludf.DUMMYFUNCTION("""COMPUTED_VALUE"""),"")</f>
        <v/>
      </c>
      <c r="J55" s="2" t="str">
        <f ca="1">IFERROR(__xludf.DUMMYFUNCTION("""COMPUTED_VALUE"""),"")</f>
        <v/>
      </c>
      <c r="K55" s="2" t="str">
        <f ca="1">IFERROR(__xludf.DUMMYFUNCTION("""COMPUTED_VALUE"""),"")</f>
        <v/>
      </c>
      <c r="L55" s="2" t="str">
        <f ca="1">IFERROR(__xludf.DUMMYFUNCTION("""COMPUTED_VALUE"""),"")</f>
        <v/>
      </c>
      <c r="M55" s="5" t="str">
        <f ca="1">IFERROR(__xludf.DUMMYFUNCTION("""COMPUTED_VALUE"""),"")</f>
        <v/>
      </c>
      <c r="N55" s="5" t="str">
        <f ca="1">IFERROR(__xludf.DUMMYFUNCTION("""COMPUTED_VALUE"""),"")</f>
        <v/>
      </c>
      <c r="O55" s="2" t="str">
        <f ca="1">IFERROR(__xludf.DUMMYFUNCTION("""COMPUTED_VALUE"""),"")</f>
        <v/>
      </c>
      <c r="P55" s="2" t="str">
        <f ca="1">IFERROR(__xludf.DUMMYFUNCTION("""COMPUTED_VALUE"""),"")</f>
        <v/>
      </c>
      <c r="Q55" s="2" t="str">
        <f ca="1">IFERROR(__xludf.DUMMYFUNCTION("""COMPUTED_VALUE"""),"")</f>
        <v/>
      </c>
      <c r="R55" s="2" t="str">
        <f ca="1">IFERROR(__xludf.DUMMYFUNCTION("""COMPUTED_VALUE"""),"")</f>
        <v/>
      </c>
      <c r="S55" s="2" t="str">
        <f ca="1">IFERROR(__xludf.DUMMYFUNCTION("""COMPUTED_VALUE"""),"")</f>
        <v/>
      </c>
      <c r="T55" s="2" t="str">
        <f ca="1">IFERROR(__xludf.DUMMYFUNCTION("""COMPUTED_VALUE"""),"")</f>
        <v/>
      </c>
      <c r="U55" s="2" t="str">
        <f ca="1">IFERROR(__xludf.DUMMYFUNCTION("""COMPUTED_VALUE"""),"")</f>
        <v/>
      </c>
      <c r="V55" s="2" t="str">
        <f ca="1">IFERROR(__xludf.DUMMYFUNCTION("""COMPUTED_VALUE"""),"")</f>
        <v/>
      </c>
      <c r="W55" s="2" t="str">
        <f ca="1">IFERROR(__xludf.DUMMYFUNCTION("""COMPUTED_VALUE"""),"")</f>
        <v/>
      </c>
      <c r="X55" s="2" t="str">
        <f ca="1">IFERROR(__xludf.DUMMYFUNCTION("""COMPUTED_VALUE"""),"")</f>
        <v/>
      </c>
      <c r="Y55" s="2" t="str">
        <f ca="1">IFERROR(__xludf.DUMMYFUNCTION("""COMPUTED_VALUE"""),"")</f>
        <v/>
      </c>
      <c r="Z55" s="2" t="str">
        <f ca="1">IFERROR(__xludf.DUMMYFUNCTION("""COMPUTED_VALUE"""),"")</f>
        <v/>
      </c>
      <c r="AA55" s="2" t="str">
        <f ca="1">IFERROR(__xludf.DUMMYFUNCTION("""COMPUTED_VALUE"""),"")</f>
        <v/>
      </c>
      <c r="AB55" s="2" t="str">
        <f ca="1">IFERROR(__xludf.DUMMYFUNCTION("""COMPUTED_VALUE"""),"")</f>
        <v/>
      </c>
      <c r="AC55" s="2" t="str">
        <f ca="1">IFERROR(__xludf.DUMMYFUNCTION("""COMPUTED_VALUE"""),"")</f>
        <v/>
      </c>
      <c r="AD55" s="2" t="str">
        <f ca="1">IFERROR(__xludf.DUMMYFUNCTION("""COMPUTED_VALUE"""),"")</f>
        <v/>
      </c>
      <c r="AE55" s="2" t="str">
        <f ca="1">IFERROR(__xludf.DUMMYFUNCTION("""COMPUTED_VALUE"""),"")</f>
        <v/>
      </c>
      <c r="AF55" s="2" t="str">
        <f ca="1">IFERROR(__xludf.DUMMYFUNCTION("""COMPUTED_VALUE"""),"")</f>
        <v/>
      </c>
      <c r="AG55" s="2" t="str">
        <f ca="1">IFERROR(__xludf.DUMMYFUNCTION("""COMPUTED_VALUE"""),"")</f>
        <v/>
      </c>
      <c r="AH55" s="2" t="str">
        <f ca="1">IFERROR(__xludf.DUMMYFUNCTION("""COMPUTED_VALUE"""),"")</f>
        <v/>
      </c>
      <c r="AI55" s="2" t="str">
        <f ca="1">IFERROR(__xludf.DUMMYFUNCTION("""COMPUTED_VALUE"""),"")</f>
        <v/>
      </c>
      <c r="AJ55" s="2" t="str">
        <f ca="1">IFERROR(__xludf.DUMMYFUNCTION("""COMPUTED_VALUE"""),"")</f>
        <v/>
      </c>
      <c r="AK55" s="2" t="str">
        <f ca="1">IFERROR(__xludf.DUMMYFUNCTION("""COMPUTED_VALUE"""),"")</f>
        <v/>
      </c>
      <c r="AL55" s="2" t="str">
        <f ca="1">IFERROR(__xludf.DUMMYFUNCTION("""COMPUTED_VALUE"""),"")</f>
        <v/>
      </c>
      <c r="AM55" s="2" t="str">
        <f ca="1">IFERROR(__xludf.DUMMYFUNCTION("""COMPUTED_VALUE"""),"")</f>
        <v/>
      </c>
      <c r="AN55" s="2" t="str">
        <f ca="1">IFERROR(__xludf.DUMMYFUNCTION("""COMPUTED_VALUE"""),"")</f>
        <v/>
      </c>
      <c r="AO55" s="2" t="str">
        <f ca="1">IFERROR(__xludf.DUMMYFUNCTION("""COMPUTED_VALUE"""),"")</f>
        <v/>
      </c>
      <c r="AP55" s="2" t="str">
        <f ca="1">IFERROR(__xludf.DUMMYFUNCTION("""COMPUTED_VALUE"""),"")</f>
        <v/>
      </c>
      <c r="AQ55" s="2" t="str">
        <f ca="1">IFERROR(__xludf.DUMMYFUNCTION("""COMPUTED_VALUE"""),"")</f>
        <v/>
      </c>
      <c r="AR55" s="2" t="str">
        <f ca="1">IFERROR(__xludf.DUMMYFUNCTION("""COMPUTED_VALUE"""),"")</f>
        <v/>
      </c>
      <c r="AS55" s="2" t="str">
        <f ca="1">IFERROR(__xludf.DUMMYFUNCTION("""COMPUTED_VALUE"""),"")</f>
        <v/>
      </c>
      <c r="AT55" s="2" t="str">
        <f ca="1">IFERROR(__xludf.DUMMYFUNCTION("""COMPUTED_VALUE"""),"")</f>
        <v/>
      </c>
      <c r="AU55" s="2" t="str">
        <f ca="1">IFERROR(__xludf.DUMMYFUNCTION("""COMPUTED_VALUE"""),"")</f>
        <v/>
      </c>
      <c r="AV55" s="2" t="str">
        <f ca="1">IFERROR(__xludf.DUMMYFUNCTION("""COMPUTED_VALUE"""),"")</f>
        <v/>
      </c>
      <c r="AW55" s="2" t="str">
        <f ca="1">IFERROR(__xludf.DUMMYFUNCTION("""COMPUTED_VALUE"""),"")</f>
        <v/>
      </c>
      <c r="AX55" s="2" t="str">
        <f ca="1">IFERROR(__xludf.DUMMYFUNCTION("""COMPUTED_VALUE"""),"")</f>
        <v/>
      </c>
      <c r="AY55" s="2" t="str">
        <f ca="1">IFERROR(__xludf.DUMMYFUNCTION("""COMPUTED_VALUE"""),"")</f>
        <v/>
      </c>
      <c r="AZ55" s="2" t="str">
        <f ca="1">IFERROR(__xludf.DUMMYFUNCTION("""COMPUTED_VALUE"""),"")</f>
        <v/>
      </c>
      <c r="BA55" s="2" t="str">
        <f ca="1">IFERROR(__xludf.DUMMYFUNCTION("""COMPUTED_VALUE"""),"")</f>
        <v/>
      </c>
      <c r="BB55" s="2" t="str">
        <f ca="1">IFERROR(__xludf.DUMMYFUNCTION("""COMPUTED_VALUE"""),"")</f>
        <v/>
      </c>
      <c r="BC55" s="2" t="str">
        <f ca="1">IFERROR(__xludf.DUMMYFUNCTION("""COMPUTED_VALUE"""),"")</f>
        <v/>
      </c>
      <c r="BD55" s="2" t="str">
        <f ca="1">IFERROR(__xludf.DUMMYFUNCTION("""COMPUTED_VALUE"""),"Whangamarino and Dean Wetland")</f>
        <v>Whangamarino and Dean Wetland</v>
      </c>
      <c r="BE55" s="2" t="str">
        <f ca="1">IFERROR(__xludf.DUMMYFUNCTION("""COMPUTED_VALUE"""),"No")</f>
        <v>No</v>
      </c>
      <c r="BF55" t="str">
        <f ca="1">IFERROR(__xludf.DUMMYFUNCTION("""COMPUTED_VALUE"""),"")</f>
        <v/>
      </c>
      <c r="BG55" t="str">
        <f ca="1">IFERROR(__xludf.DUMMYFUNCTION("""COMPUTED_VALUE"""),"")</f>
        <v/>
      </c>
      <c r="BH55" s="2" t="str">
        <f ca="1">IFERROR(__xludf.DUMMYFUNCTION("""COMPUTED_VALUE"""),"")</f>
        <v/>
      </c>
      <c r="BI55" s="12" t="str">
        <f ca="1">IFERROR(__xludf.DUMMYFUNCTION("""COMPUTED_VALUE"""),"")</f>
        <v/>
      </c>
      <c r="BJ55" s="9" t="str">
        <f ca="1">IFERROR(__xludf.DUMMYFUNCTION("""COMPUTED_VALUE"""),"")</f>
        <v/>
      </c>
      <c r="BK55" s="4" t="str">
        <f ca="1">IFERROR(__xludf.DUMMYFUNCTION("""COMPUTED_VALUE"""),"")</f>
        <v/>
      </c>
    </row>
    <row r="56" spans="1:63" ht="12.5" x14ac:dyDescent="0.25">
      <c r="A56" s="7">
        <f ca="1">IFERROR(__xludf.DUMMYFUNCTION("""COMPUTED_VALUE"""),43573.4398446527)</f>
        <v>43573.439844652698</v>
      </c>
      <c r="B56" s="8" t="str">
        <f ca="1">IFERROR(__xludf.DUMMYFUNCTION("""COMPUTED_VALUE"""),"Waikato")</f>
        <v>Waikato</v>
      </c>
      <c r="C56" s="2" t="str">
        <f ca="1">IFERROR(__xludf.DUMMYFUNCTION("""COMPUTED_VALUE"""),"")</f>
        <v/>
      </c>
      <c r="D56" s="9">
        <f ca="1">IFERROR(__xludf.DUMMYFUNCTION("""COMPUTED_VALUE"""),43572)</f>
        <v>43572</v>
      </c>
      <c r="E56" s="4">
        <f ca="1">IFERROR(__xludf.DUMMYFUNCTION("""COMPUTED_VALUE"""),0.375)</f>
        <v>0.375</v>
      </c>
      <c r="F56" s="2" t="str">
        <f ca="1">IFERROR(__xludf.DUMMYFUNCTION("""COMPUTED_VALUE"""),"Not found")</f>
        <v>Not found</v>
      </c>
      <c r="G56" s="2" t="str">
        <f ca="1">IFERROR(__xludf.DUMMYFUNCTION("""COMPUTED_VALUE"""),"None: I listened for the bird but was unable to find it")</f>
        <v>None: I listened for the bird but was unable to find it</v>
      </c>
      <c r="H56" s="2" t="str">
        <f ca="1">IFERROR(__xludf.DUMMYFUNCTION("""COMPUTED_VALUE"""),"")</f>
        <v/>
      </c>
      <c r="I56" s="2" t="str">
        <f ca="1">IFERROR(__xludf.DUMMYFUNCTION("""COMPUTED_VALUE"""),"")</f>
        <v/>
      </c>
      <c r="J56" s="2" t="str">
        <f ca="1">IFERROR(__xludf.DUMMYFUNCTION("""COMPUTED_VALUE"""),"")</f>
        <v/>
      </c>
      <c r="K56" s="2" t="str">
        <f ca="1">IFERROR(__xludf.DUMMYFUNCTION("""COMPUTED_VALUE"""),"")</f>
        <v/>
      </c>
      <c r="L56" s="2" t="str">
        <f ca="1">IFERROR(__xludf.DUMMYFUNCTION("""COMPUTED_VALUE"""),"")</f>
        <v/>
      </c>
      <c r="M56" s="5" t="str">
        <f ca="1">IFERROR(__xludf.DUMMYFUNCTION("""COMPUTED_VALUE"""),"")</f>
        <v/>
      </c>
      <c r="N56" s="5" t="str">
        <f ca="1">IFERROR(__xludf.DUMMYFUNCTION("""COMPUTED_VALUE"""),"")</f>
        <v/>
      </c>
      <c r="O56" s="2" t="str">
        <f ca="1">IFERROR(__xludf.DUMMYFUNCTION("""COMPUTED_VALUE"""),"")</f>
        <v/>
      </c>
      <c r="P56" s="2" t="str">
        <f ca="1">IFERROR(__xludf.DUMMYFUNCTION("""COMPUTED_VALUE"""),"")</f>
        <v/>
      </c>
      <c r="Q56" s="2" t="str">
        <f ca="1">IFERROR(__xludf.DUMMYFUNCTION("""COMPUTED_VALUE"""),"")</f>
        <v/>
      </c>
      <c r="R56" s="2" t="str">
        <f ca="1">IFERROR(__xludf.DUMMYFUNCTION("""COMPUTED_VALUE"""),"")</f>
        <v/>
      </c>
      <c r="S56" s="2" t="str">
        <f ca="1">IFERROR(__xludf.DUMMYFUNCTION("""COMPUTED_VALUE"""),"")</f>
        <v/>
      </c>
      <c r="T56" s="2" t="str">
        <f ca="1">IFERROR(__xludf.DUMMYFUNCTION("""COMPUTED_VALUE"""),"")</f>
        <v/>
      </c>
      <c r="U56" s="2" t="str">
        <f ca="1">IFERROR(__xludf.DUMMYFUNCTION("""COMPUTED_VALUE"""),"")</f>
        <v/>
      </c>
      <c r="V56" s="2" t="str">
        <f ca="1">IFERROR(__xludf.DUMMYFUNCTION("""COMPUTED_VALUE"""),"")</f>
        <v/>
      </c>
      <c r="W56" s="2" t="str">
        <f ca="1">IFERROR(__xludf.DUMMYFUNCTION("""COMPUTED_VALUE"""),"")</f>
        <v/>
      </c>
      <c r="X56" s="2" t="str">
        <f ca="1">IFERROR(__xludf.DUMMYFUNCTION("""COMPUTED_VALUE"""),"")</f>
        <v/>
      </c>
      <c r="Y56" s="2" t="str">
        <f ca="1">IFERROR(__xludf.DUMMYFUNCTION("""COMPUTED_VALUE"""),"")</f>
        <v/>
      </c>
      <c r="Z56" s="2" t="str">
        <f ca="1">IFERROR(__xludf.DUMMYFUNCTION("""COMPUTED_VALUE"""),"")</f>
        <v/>
      </c>
      <c r="AA56" s="2" t="str">
        <f ca="1">IFERROR(__xludf.DUMMYFUNCTION("""COMPUTED_VALUE"""),"")</f>
        <v/>
      </c>
      <c r="AB56" s="2" t="str">
        <f ca="1">IFERROR(__xludf.DUMMYFUNCTION("""COMPUTED_VALUE"""),"")</f>
        <v/>
      </c>
      <c r="AC56" s="2" t="str">
        <f ca="1">IFERROR(__xludf.DUMMYFUNCTION("""COMPUTED_VALUE"""),"")</f>
        <v/>
      </c>
      <c r="AD56" s="2" t="str">
        <f ca="1">IFERROR(__xludf.DUMMYFUNCTION("""COMPUTED_VALUE"""),"")</f>
        <v/>
      </c>
      <c r="AE56" s="2" t="str">
        <f ca="1">IFERROR(__xludf.DUMMYFUNCTION("""COMPUTED_VALUE"""),"")</f>
        <v/>
      </c>
      <c r="AF56" s="2" t="str">
        <f ca="1">IFERROR(__xludf.DUMMYFUNCTION("""COMPUTED_VALUE"""),"")</f>
        <v/>
      </c>
      <c r="AG56" s="2" t="str">
        <f ca="1">IFERROR(__xludf.DUMMYFUNCTION("""COMPUTED_VALUE"""),"")</f>
        <v/>
      </c>
      <c r="AH56" s="2" t="str">
        <f ca="1">IFERROR(__xludf.DUMMYFUNCTION("""COMPUTED_VALUE"""),"")</f>
        <v/>
      </c>
      <c r="AI56" s="2" t="str">
        <f ca="1">IFERROR(__xludf.DUMMYFUNCTION("""COMPUTED_VALUE"""),"")</f>
        <v/>
      </c>
      <c r="AJ56" s="2" t="str">
        <f ca="1">IFERROR(__xludf.DUMMYFUNCTION("""COMPUTED_VALUE"""),"")</f>
        <v/>
      </c>
      <c r="AK56" s="2" t="str">
        <f ca="1">IFERROR(__xludf.DUMMYFUNCTION("""COMPUTED_VALUE"""),"")</f>
        <v/>
      </c>
      <c r="AL56" s="2" t="str">
        <f ca="1">IFERROR(__xludf.DUMMYFUNCTION("""COMPUTED_VALUE"""),"")</f>
        <v/>
      </c>
      <c r="AM56" s="2" t="str">
        <f ca="1">IFERROR(__xludf.DUMMYFUNCTION("""COMPUTED_VALUE"""),"")</f>
        <v/>
      </c>
      <c r="AN56" s="2" t="str">
        <f ca="1">IFERROR(__xludf.DUMMYFUNCTION("""COMPUTED_VALUE"""),"")</f>
        <v/>
      </c>
      <c r="AO56" s="2" t="str">
        <f ca="1">IFERROR(__xludf.DUMMYFUNCTION("""COMPUTED_VALUE"""),"")</f>
        <v/>
      </c>
      <c r="AP56" s="2" t="str">
        <f ca="1">IFERROR(__xludf.DUMMYFUNCTION("""COMPUTED_VALUE"""),"")</f>
        <v/>
      </c>
      <c r="AQ56" s="2" t="str">
        <f ca="1">IFERROR(__xludf.DUMMYFUNCTION("""COMPUTED_VALUE"""),"")</f>
        <v/>
      </c>
      <c r="AR56" s="2" t="str">
        <f ca="1">IFERROR(__xludf.DUMMYFUNCTION("""COMPUTED_VALUE"""),"")</f>
        <v/>
      </c>
      <c r="AS56" s="2" t="str">
        <f ca="1">IFERROR(__xludf.DUMMYFUNCTION("""COMPUTED_VALUE"""),"")</f>
        <v/>
      </c>
      <c r="AT56" s="2" t="str">
        <f ca="1">IFERROR(__xludf.DUMMYFUNCTION("""COMPUTED_VALUE"""),"")</f>
        <v/>
      </c>
      <c r="AU56" s="2" t="str">
        <f ca="1">IFERROR(__xludf.DUMMYFUNCTION("""COMPUTED_VALUE"""),"")</f>
        <v/>
      </c>
      <c r="AV56" s="2" t="str">
        <f ca="1">IFERROR(__xludf.DUMMYFUNCTION("""COMPUTED_VALUE"""),"")</f>
        <v/>
      </c>
      <c r="AW56" s="2" t="str">
        <f ca="1">IFERROR(__xludf.DUMMYFUNCTION("""COMPUTED_VALUE"""),"")</f>
        <v/>
      </c>
      <c r="AX56" s="2" t="str">
        <f ca="1">IFERROR(__xludf.DUMMYFUNCTION("""COMPUTED_VALUE"""),"")</f>
        <v/>
      </c>
      <c r="AY56" s="2" t="str">
        <f ca="1">IFERROR(__xludf.DUMMYFUNCTION("""COMPUTED_VALUE"""),"")</f>
        <v/>
      </c>
      <c r="AZ56" s="2" t="str">
        <f ca="1">IFERROR(__xludf.DUMMYFUNCTION("""COMPUTED_VALUE"""),"")</f>
        <v/>
      </c>
      <c r="BA56" s="2" t="str">
        <f ca="1">IFERROR(__xludf.DUMMYFUNCTION("""COMPUTED_VALUE"""),"")</f>
        <v/>
      </c>
      <c r="BB56" s="2" t="str">
        <f ca="1">IFERROR(__xludf.DUMMYFUNCTION("""COMPUTED_VALUE"""),"")</f>
        <v/>
      </c>
      <c r="BC56" s="2" t="str">
        <f ca="1">IFERROR(__xludf.DUMMYFUNCTION("""COMPUTED_VALUE"""),"")</f>
        <v/>
      </c>
      <c r="BD56" s="2" t="str">
        <f ca="1">IFERROR(__xludf.DUMMYFUNCTION("""COMPUTED_VALUE"""),"Whangamarino and Dean Wetland")</f>
        <v>Whangamarino and Dean Wetland</v>
      </c>
      <c r="BE56" s="2" t="str">
        <f ca="1">IFERROR(__xludf.DUMMYFUNCTION("""COMPUTED_VALUE"""),"No")</f>
        <v>No</v>
      </c>
      <c r="BF56" t="str">
        <f ca="1">IFERROR(__xludf.DUMMYFUNCTION("""COMPUTED_VALUE"""),"")</f>
        <v/>
      </c>
      <c r="BG56" t="str">
        <f ca="1">IFERROR(__xludf.DUMMYFUNCTION("""COMPUTED_VALUE"""),"")</f>
        <v/>
      </c>
      <c r="BH56" s="2" t="str">
        <f ca="1">IFERROR(__xludf.DUMMYFUNCTION("""COMPUTED_VALUE"""),"")</f>
        <v/>
      </c>
      <c r="BI56" s="13" t="str">
        <f ca="1">IFERROR(__xludf.DUMMYFUNCTION("""COMPUTED_VALUE"""),"")</f>
        <v/>
      </c>
      <c r="BJ56" s="9" t="str">
        <f ca="1">IFERROR(__xludf.DUMMYFUNCTION("""COMPUTED_VALUE"""),"")</f>
        <v/>
      </c>
      <c r="BK56" s="4" t="str">
        <f ca="1">IFERROR(__xludf.DUMMYFUNCTION("""COMPUTED_VALUE"""),"")</f>
        <v/>
      </c>
    </row>
    <row r="57" spans="1:63" ht="12.5" x14ac:dyDescent="0.25">
      <c r="A57" s="7">
        <f ca="1">IFERROR(__xludf.DUMMYFUNCTION("""COMPUTED_VALUE"""),43731.4635331944)</f>
        <v>43731.463533194401</v>
      </c>
      <c r="B57" s="8" t="str">
        <f ca="1">IFERROR(__xludf.DUMMYFUNCTION("""COMPUTED_VALUE"""),"Waikato")</f>
        <v>Waikato</v>
      </c>
      <c r="C57" s="2" t="str">
        <f ca="1">IFERROR(__xludf.DUMMYFUNCTION("""COMPUTED_VALUE"""),"")</f>
        <v/>
      </c>
      <c r="D57" s="9">
        <f ca="1">IFERROR(__xludf.DUMMYFUNCTION("""COMPUTED_VALUE"""),43811)</f>
        <v>43811</v>
      </c>
      <c r="E57" s="4">
        <f ca="1">IFERROR(__xludf.DUMMYFUNCTION("""COMPUTED_VALUE"""),0.0833333333321206)</f>
        <v>8.3333333332120604E-2</v>
      </c>
      <c r="F57" s="2" t="str">
        <f ca="1">IFERROR(__xludf.DUMMYFUNCTION("""COMPUTED_VALUE"""),"Lake Taupo")</f>
        <v>Lake Taupo</v>
      </c>
      <c r="G57" s="2" t="str">
        <f ca="1">IFERROR(__xludf.DUMMYFUNCTION("""COMPUTED_VALUE"""),"VHF (close approach): I followed the signal until I got within 50 m of the bird")</f>
        <v>VHF (close approach): I followed the signal until I got within 50 m of the bird</v>
      </c>
      <c r="H57" s="2" t="str">
        <f ca="1">IFERROR(__xludf.DUMMYFUNCTION("""COMPUTED_VALUE"""),"")</f>
        <v/>
      </c>
      <c r="I57" s="2" t="str">
        <f ca="1">IFERROR(__xludf.DUMMYFUNCTION("""COMPUTED_VALUE"""),"")</f>
        <v/>
      </c>
      <c r="J57" s="2" t="str">
        <f ca="1">IFERROR(__xludf.DUMMYFUNCTION("""COMPUTED_VALUE"""),"")</f>
        <v/>
      </c>
      <c r="K57" s="2" t="str">
        <f ca="1">IFERROR(__xludf.DUMMYFUNCTION("""COMPUTED_VALUE"""),"")</f>
        <v/>
      </c>
      <c r="L57" s="2" t="str">
        <f ca="1">IFERROR(__xludf.DUMMYFUNCTION("""COMPUTED_VALUE"""),"No - I got very close to the bird but it was well hidden in the vegetation")</f>
        <v>No - I got very close to the bird but it was well hidden in the vegetation</v>
      </c>
      <c r="M57" s="5">
        <f ca="1">IFERROR(__xludf.DUMMYFUNCTION("""COMPUTED_VALUE"""),900000)</f>
        <v>900000</v>
      </c>
      <c r="N57" s="5" t="str">
        <f ca="1">IFERROR(__xludf.DUMMYFUNCTION("""COMPUTED_VALUE"""),"")</f>
        <v/>
      </c>
      <c r="O57" s="2" t="str">
        <f ca="1">IFERROR(__xludf.DUMMYFUNCTION("""COMPUTED_VALUE"""),"")</f>
        <v/>
      </c>
      <c r="P57" s="2" t="str">
        <f ca="1">IFERROR(__xludf.DUMMYFUNCTION("""COMPUTED_VALUE"""),"N/A - not grazed")</f>
        <v>N/A - not grazed</v>
      </c>
      <c r="Q57" s="2" t="str">
        <f ca="1">IFERROR(__xludf.DUMMYFUNCTION("""COMPUTED_VALUE"""),"Wet")</f>
        <v>Wet</v>
      </c>
      <c r="R57" s="2" t="str">
        <f ca="1">IFERROR(__xludf.DUMMYFUNCTION("""COMPUTED_VALUE"""),"Don't know")</f>
        <v>Don't know</v>
      </c>
      <c r="S57" s="2" t="str">
        <f ca="1">IFERROR(__xludf.DUMMYFUNCTION("""COMPUTED_VALUE"""),"0")</f>
        <v>0</v>
      </c>
      <c r="T57" s="2" t="str">
        <f ca="1">IFERROR(__xludf.DUMMYFUNCTION("""COMPUTED_VALUE"""),"Raupo")</f>
        <v>Raupo</v>
      </c>
      <c r="U57" s="2" t="str">
        <f ca="1">IFERROR(__xludf.DUMMYFUNCTION("""COMPUTED_VALUE"""),"No")</f>
        <v>No</v>
      </c>
      <c r="V57" s="2" t="str">
        <f ca="1">IFERROR(__xludf.DUMMYFUNCTION("""COMPUTED_VALUE"""),"")</f>
        <v/>
      </c>
      <c r="W57" s="2" t="str">
        <f ca="1">IFERROR(__xludf.DUMMYFUNCTION("""COMPUTED_VALUE"""),"")</f>
        <v/>
      </c>
      <c r="X57" s="2" t="str">
        <f ca="1">IFERROR(__xludf.DUMMYFUNCTION("""COMPUTED_VALUE"""),"")</f>
        <v/>
      </c>
      <c r="Y57" s="2" t="str">
        <f ca="1">IFERROR(__xludf.DUMMYFUNCTION("""COMPUTED_VALUE"""),"")</f>
        <v/>
      </c>
      <c r="Z57" s="2" t="str">
        <f ca="1">IFERROR(__xludf.DUMMYFUNCTION("""COMPUTED_VALUE"""),"")</f>
        <v/>
      </c>
      <c r="AA57" s="2" t="str">
        <f ca="1">IFERROR(__xludf.DUMMYFUNCTION("""COMPUTED_VALUE"""),"")</f>
        <v/>
      </c>
      <c r="AB57" s="2" t="str">
        <f ca="1">IFERROR(__xludf.DUMMYFUNCTION("""COMPUTED_VALUE"""),"")</f>
        <v/>
      </c>
      <c r="AC57" s="2" t="str">
        <f ca="1">IFERROR(__xludf.DUMMYFUNCTION("""COMPUTED_VALUE"""),"")</f>
        <v/>
      </c>
      <c r="AD57" s="2" t="str">
        <f ca="1">IFERROR(__xludf.DUMMYFUNCTION("""COMPUTED_VALUE"""),"")</f>
        <v/>
      </c>
      <c r="AE57" s="2" t="str">
        <f ca="1">IFERROR(__xludf.DUMMYFUNCTION("""COMPUTED_VALUE"""),"")</f>
        <v/>
      </c>
      <c r="AF57" s="2" t="str">
        <f ca="1">IFERROR(__xludf.DUMMYFUNCTION("""COMPUTED_VALUE"""),"")</f>
        <v/>
      </c>
      <c r="AG57" s="2" t="str">
        <f ca="1">IFERROR(__xludf.DUMMYFUNCTION("""COMPUTED_VALUE"""),"")</f>
        <v/>
      </c>
      <c r="AH57" s="2" t="str">
        <f ca="1">IFERROR(__xludf.DUMMYFUNCTION("""COMPUTED_VALUE"""),"")</f>
        <v/>
      </c>
      <c r="AI57" s="2" t="str">
        <f ca="1">IFERROR(__xludf.DUMMYFUNCTION("""COMPUTED_VALUE"""),"")</f>
        <v/>
      </c>
      <c r="AJ57" s="2" t="str">
        <f ca="1">IFERROR(__xludf.DUMMYFUNCTION("""COMPUTED_VALUE"""),"")</f>
        <v/>
      </c>
      <c r="AK57" s="2" t="str">
        <f ca="1">IFERROR(__xludf.DUMMYFUNCTION("""COMPUTED_VALUE"""),"")</f>
        <v/>
      </c>
      <c r="AL57" s="2" t="str">
        <f ca="1">IFERROR(__xludf.DUMMYFUNCTION("""COMPUTED_VALUE"""),"")</f>
        <v/>
      </c>
      <c r="AM57" s="2" t="str">
        <f ca="1">IFERROR(__xludf.DUMMYFUNCTION("""COMPUTED_VALUE"""),"")</f>
        <v/>
      </c>
      <c r="AN57" s="2" t="str">
        <f ca="1">IFERROR(__xludf.DUMMYFUNCTION("""COMPUTED_VALUE"""),"")</f>
        <v/>
      </c>
      <c r="AO57" s="2" t="str">
        <f ca="1">IFERROR(__xludf.DUMMYFUNCTION("""COMPUTED_VALUE"""),"")</f>
        <v/>
      </c>
      <c r="AP57" s="2" t="str">
        <f ca="1">IFERROR(__xludf.DUMMYFUNCTION("""COMPUTED_VALUE"""),"")</f>
        <v/>
      </c>
      <c r="AQ57" s="2" t="str">
        <f ca="1">IFERROR(__xludf.DUMMYFUNCTION("""COMPUTED_VALUE"""),"")</f>
        <v/>
      </c>
      <c r="AR57" s="2" t="str">
        <f ca="1">IFERROR(__xludf.DUMMYFUNCTION("""COMPUTED_VALUE"""),"")</f>
        <v/>
      </c>
      <c r="AS57" s="2" t="str">
        <f ca="1">IFERROR(__xludf.DUMMYFUNCTION("""COMPUTED_VALUE"""),"")</f>
        <v/>
      </c>
      <c r="AT57" s="2" t="str">
        <f ca="1">IFERROR(__xludf.DUMMYFUNCTION("""COMPUTED_VALUE"""),"")</f>
        <v/>
      </c>
      <c r="AU57" s="2" t="str">
        <f ca="1">IFERROR(__xludf.DUMMYFUNCTION("""COMPUTED_VALUE"""),"")</f>
        <v/>
      </c>
      <c r="AV57" s="2" t="str">
        <f ca="1">IFERROR(__xludf.DUMMYFUNCTION("""COMPUTED_VALUE"""),"")</f>
        <v/>
      </c>
      <c r="AW57" s="2" t="str">
        <f ca="1">IFERROR(__xludf.DUMMYFUNCTION("""COMPUTED_VALUE"""),"")</f>
        <v/>
      </c>
      <c r="AX57" s="2" t="str">
        <f ca="1">IFERROR(__xludf.DUMMYFUNCTION("""COMPUTED_VALUE"""),"")</f>
        <v/>
      </c>
      <c r="AY57" s="2" t="str">
        <f ca="1">IFERROR(__xludf.DUMMYFUNCTION("""COMPUTED_VALUE"""),"")</f>
        <v/>
      </c>
      <c r="AZ57" s="2" t="str">
        <f ca="1">IFERROR(__xludf.DUMMYFUNCTION("""COMPUTED_VALUE"""),"")</f>
        <v/>
      </c>
      <c r="BA57" s="2" t="str">
        <f ca="1">IFERROR(__xludf.DUMMYFUNCTION("""COMPUTED_VALUE"""),"")</f>
        <v/>
      </c>
      <c r="BB57" s="2" t="str">
        <f ca="1">IFERROR(__xludf.DUMMYFUNCTION("""COMPUTED_VALUE"""),"")</f>
        <v/>
      </c>
      <c r="BC57" s="2" t="str">
        <f ca="1">IFERROR(__xludf.DUMMYFUNCTION("""COMPUTED_VALUE"""),"")</f>
        <v/>
      </c>
      <c r="BD57" s="2" t="str">
        <f ca="1">IFERROR(__xludf.DUMMYFUNCTION("""COMPUTED_VALUE"""),"")</f>
        <v/>
      </c>
      <c r="BE57" s="2" t="str">
        <f ca="1">IFERROR(__xludf.DUMMYFUNCTION("""COMPUTED_VALUE"""),"")</f>
        <v/>
      </c>
      <c r="BF57" t="str">
        <f ca="1">IFERROR(__xludf.DUMMYFUNCTION("""COMPUTED_VALUE"""),"")</f>
        <v/>
      </c>
      <c r="BG57" t="str">
        <f ca="1">IFERROR(__xludf.DUMMYFUNCTION("""COMPUTED_VALUE"""),"")</f>
        <v/>
      </c>
      <c r="BH57" s="2" t="str">
        <f ca="1">IFERROR(__xludf.DUMMYFUNCTION("""COMPUTED_VALUE"""),"")</f>
        <v/>
      </c>
      <c r="BI57" s="12" t="str">
        <f ca="1">IFERROR(__xludf.DUMMYFUNCTION("""COMPUTED_VALUE"""),"")</f>
        <v/>
      </c>
      <c r="BJ57" s="9" t="str">
        <f ca="1">IFERROR(__xludf.DUMMYFUNCTION("""COMPUTED_VALUE"""),"")</f>
        <v/>
      </c>
      <c r="BK57" s="4" t="str">
        <f ca="1">IFERROR(__xludf.DUMMYFUNCTION("""COMPUTED_VALUE"""),"")</f>
        <v/>
      </c>
    </row>
    <row r="58" spans="1:63" ht="12.5" x14ac:dyDescent="0.25">
      <c r="A58" s="7">
        <f ca="1">IFERROR(__xludf.DUMMYFUNCTION("""COMPUTED_VALUE"""),43297.8819444444)</f>
        <v>43297.881944444402</v>
      </c>
      <c r="B58" s="8" t="str">
        <f ca="1">IFERROR(__xludf.DUMMYFUNCTION("""COMPUTED_VALUE"""),"Waikato")</f>
        <v>Waikato</v>
      </c>
      <c r="C58" s="2" t="str">
        <f ca="1">IFERROR(__xludf.DUMMYFUNCTION("""COMPUTED_VALUE"""),"")</f>
        <v/>
      </c>
      <c r="D58" s="9">
        <f ca="1">IFERROR(__xludf.DUMMYFUNCTION("""COMPUTED_VALUE"""),43126)</f>
        <v>43126</v>
      </c>
      <c r="E58" s="4">
        <f ca="1">IFERROR(__xludf.DUMMYFUNCTION("""COMPUTED_VALUE"""),0.415277777778101)</f>
        <v>0.41527777777810099</v>
      </c>
      <c r="F58" s="2" t="str">
        <f ca="1">IFERROR(__xludf.DUMMYFUNCTION("""COMPUTED_VALUE"""),"Deans wetland")</f>
        <v>Deans wetland</v>
      </c>
      <c r="G58" s="2" t="str">
        <f ca="1">IFERROR(__xludf.DUMMYFUNCTION("""COMPUTED_VALUE"""),"GPS: I converted data downloaded from ARGOS using Pinpoint software")</f>
        <v>GPS: I converted data downloaded from ARGOS using Pinpoint software</v>
      </c>
      <c r="H58" s="2" t="str">
        <f ca="1">IFERROR(__xludf.DUMMYFUNCTION("""COMPUTED_VALUE"""),"")</f>
        <v/>
      </c>
      <c r="I58" s="2" t="str">
        <f ca="1">IFERROR(__xludf.DUMMYFUNCTION("""COMPUTED_VALUE"""),"")</f>
        <v/>
      </c>
      <c r="J58" s="2" t="str">
        <f ca="1">IFERROR(__xludf.DUMMYFUNCTION("""COMPUTED_VALUE"""),"")</f>
        <v/>
      </c>
      <c r="K58" s="2" t="str">
        <f ca="1">IFERROR(__xludf.DUMMYFUNCTION("""COMPUTED_VALUE"""),"")</f>
        <v/>
      </c>
      <c r="L58" s="2" t="str">
        <f ca="1">IFERROR(__xludf.DUMMYFUNCTION("""COMPUTED_VALUE"""),"")</f>
        <v/>
      </c>
      <c r="M58" s="5" t="str">
        <f ca="1">IFERROR(__xludf.DUMMYFUNCTION("""COMPUTED_VALUE"""),"")</f>
        <v/>
      </c>
      <c r="N58" s="5" t="str">
        <f ca="1">IFERROR(__xludf.DUMMYFUNCTION("""COMPUTED_VALUE"""),"")</f>
        <v/>
      </c>
      <c r="O58" s="2" t="str">
        <f ca="1">IFERROR(__xludf.DUMMYFUNCTION("""COMPUTED_VALUE"""),"")</f>
        <v/>
      </c>
      <c r="P58" s="2" t="str">
        <f ca="1">IFERROR(__xludf.DUMMYFUNCTION("""COMPUTED_VALUE"""),"")</f>
        <v/>
      </c>
      <c r="Q58" s="2" t="str">
        <f ca="1">IFERROR(__xludf.DUMMYFUNCTION("""COMPUTED_VALUE"""),"")</f>
        <v/>
      </c>
      <c r="R58" s="2" t="str">
        <f ca="1">IFERROR(__xludf.DUMMYFUNCTION("""COMPUTED_VALUE"""),"")</f>
        <v/>
      </c>
      <c r="S58" s="2" t="str">
        <f ca="1">IFERROR(__xludf.DUMMYFUNCTION("""COMPUTED_VALUE"""),"")</f>
        <v/>
      </c>
      <c r="T58" s="2" t="str">
        <f ca="1">IFERROR(__xludf.DUMMYFUNCTION("""COMPUTED_VALUE"""),"")</f>
        <v/>
      </c>
      <c r="U58" s="2" t="str">
        <f ca="1">IFERROR(__xludf.DUMMYFUNCTION("""COMPUTED_VALUE"""),"")</f>
        <v/>
      </c>
      <c r="V58" s="2" t="str">
        <f ca="1">IFERROR(__xludf.DUMMYFUNCTION("""COMPUTED_VALUE"""),"")</f>
        <v/>
      </c>
      <c r="W58" s="2" t="str">
        <f ca="1">IFERROR(__xludf.DUMMYFUNCTION("""COMPUTED_VALUE"""),"")</f>
        <v/>
      </c>
      <c r="X58" s="2" t="str">
        <f ca="1">IFERROR(__xludf.DUMMYFUNCTION("""COMPUTED_VALUE"""),"")</f>
        <v/>
      </c>
      <c r="Y58" s="2" t="str">
        <f ca="1">IFERROR(__xludf.DUMMYFUNCTION("""COMPUTED_VALUE"""),"")</f>
        <v/>
      </c>
      <c r="Z58" s="2" t="str">
        <f ca="1">IFERROR(__xludf.DUMMYFUNCTION("""COMPUTED_VALUE"""),"")</f>
        <v/>
      </c>
      <c r="AA58" s="2" t="str">
        <f ca="1">IFERROR(__xludf.DUMMYFUNCTION("""COMPUTED_VALUE"""),"")</f>
        <v/>
      </c>
      <c r="AB58" s="2" t="str">
        <f ca="1">IFERROR(__xludf.DUMMYFUNCTION("""COMPUTED_VALUE"""),"")</f>
        <v/>
      </c>
      <c r="AC58" s="2" t="str">
        <f ca="1">IFERROR(__xludf.DUMMYFUNCTION("""COMPUTED_VALUE"""),"")</f>
        <v/>
      </c>
      <c r="AD58" s="2" t="str">
        <f ca="1">IFERROR(__xludf.DUMMYFUNCTION("""COMPUTED_VALUE"""),"")</f>
        <v/>
      </c>
      <c r="AE58" s="2" t="str">
        <f ca="1">IFERROR(__xludf.DUMMYFUNCTION("""COMPUTED_VALUE"""),"")</f>
        <v/>
      </c>
      <c r="AF58" s="2" t="str">
        <f ca="1">IFERROR(__xludf.DUMMYFUNCTION("""COMPUTED_VALUE"""),"")</f>
        <v/>
      </c>
      <c r="AG58" s="2" t="str">
        <f ca="1">IFERROR(__xludf.DUMMYFUNCTION("""COMPUTED_VALUE"""),"")</f>
        <v/>
      </c>
      <c r="AH58" s="2" t="str">
        <f ca="1">IFERROR(__xludf.DUMMYFUNCTION("""COMPUTED_VALUE"""),"")</f>
        <v/>
      </c>
      <c r="AI58" s="2" t="str">
        <f ca="1">IFERROR(__xludf.DUMMYFUNCTION("""COMPUTED_VALUE"""),"")</f>
        <v/>
      </c>
      <c r="AJ58" s="2" t="str">
        <f ca="1">IFERROR(__xludf.DUMMYFUNCTION("""COMPUTED_VALUE"""),"")</f>
        <v/>
      </c>
      <c r="AK58" s="2" t="str">
        <f ca="1">IFERROR(__xludf.DUMMYFUNCTION("""COMPUTED_VALUE"""),"")</f>
        <v/>
      </c>
      <c r="AL58" s="2" t="str">
        <f ca="1">IFERROR(__xludf.DUMMYFUNCTION("""COMPUTED_VALUE"""),"")</f>
        <v/>
      </c>
      <c r="AM58" s="2" t="str">
        <f ca="1">IFERROR(__xludf.DUMMYFUNCTION("""COMPUTED_VALUE"""),"")</f>
        <v/>
      </c>
      <c r="AN58" s="2" t="str">
        <f ca="1">IFERROR(__xludf.DUMMYFUNCTION("""COMPUTED_VALUE"""),"")</f>
        <v/>
      </c>
      <c r="AO58" s="2" t="str">
        <f ca="1">IFERROR(__xludf.DUMMYFUNCTION("""COMPUTED_VALUE"""),"")</f>
        <v/>
      </c>
      <c r="AP58" s="2" t="str">
        <f ca="1">IFERROR(__xludf.DUMMYFUNCTION("""COMPUTED_VALUE"""),"")</f>
        <v/>
      </c>
      <c r="AQ58" s="2" t="str">
        <f ca="1">IFERROR(__xludf.DUMMYFUNCTION("""COMPUTED_VALUE"""),"")</f>
        <v/>
      </c>
      <c r="AR58" s="2" t="str">
        <f ca="1">IFERROR(__xludf.DUMMYFUNCTION("""COMPUTED_VALUE"""),"")</f>
        <v/>
      </c>
      <c r="AS58" s="2" t="str">
        <f ca="1">IFERROR(__xludf.DUMMYFUNCTION("""COMPUTED_VALUE"""),"")</f>
        <v/>
      </c>
      <c r="AT58" s="2" t="str">
        <f ca="1">IFERROR(__xludf.DUMMYFUNCTION("""COMPUTED_VALUE"""),"")</f>
        <v/>
      </c>
      <c r="AU58" s="2" t="str">
        <f ca="1">IFERROR(__xludf.DUMMYFUNCTION("""COMPUTED_VALUE"""),"")</f>
        <v/>
      </c>
      <c r="AV58" s="2" t="str">
        <f ca="1">IFERROR(__xludf.DUMMYFUNCTION("""COMPUTED_VALUE"""),"")</f>
        <v/>
      </c>
      <c r="AW58" s="2" t="str">
        <f ca="1">IFERROR(__xludf.DUMMYFUNCTION("""COMPUTED_VALUE"""),"")</f>
        <v/>
      </c>
      <c r="AX58" s="2" t="str">
        <f ca="1">IFERROR(__xludf.DUMMYFUNCTION("""COMPUTED_VALUE"""),"")</f>
        <v/>
      </c>
      <c r="AY58" s="2" t="str">
        <f ca="1">IFERROR(__xludf.DUMMYFUNCTION("""COMPUTED_VALUE"""),"")</f>
        <v/>
      </c>
      <c r="AZ58" s="2" t="str">
        <f ca="1">IFERROR(__xludf.DUMMYFUNCTION("""COMPUTED_VALUE"""),"3D")</f>
        <v>3D</v>
      </c>
      <c r="BA58" s="2">
        <f ca="1">IFERROR(__xludf.DUMMYFUNCTION("""COMPUTED_VALUE"""),1781664)</f>
        <v>1781664</v>
      </c>
      <c r="BB58" s="2">
        <f ca="1">IFERROR(__xludf.DUMMYFUNCTION("""COMPUTED_VALUE"""),5874571)</f>
        <v>5874571</v>
      </c>
      <c r="BC58" s="2" t="str">
        <f ca="1">IFERROR(__xludf.DUMMYFUNCTION("""COMPUTED_VALUE"""),"Lat/Long: -37.2577133;175.0485382;Fix accuracy = OK")</f>
        <v>Lat/Long: -37.2577133;175.0485382;Fix accuracy = OK</v>
      </c>
      <c r="BD58" s="2" t="str">
        <f ca="1">IFERROR(__xludf.DUMMYFUNCTION("""COMPUTED_VALUE"""),"")</f>
        <v/>
      </c>
      <c r="BE58" s="2" t="str">
        <f ca="1">IFERROR(__xludf.DUMMYFUNCTION("""COMPUTED_VALUE"""),"")</f>
        <v/>
      </c>
      <c r="BF58" t="str">
        <f ca="1">IFERROR(__xludf.DUMMYFUNCTION("""COMPUTED_VALUE"""),"")</f>
        <v/>
      </c>
      <c r="BG58" t="str">
        <f ca="1">IFERROR(__xludf.DUMMYFUNCTION("""COMPUTED_VALUE"""),"")</f>
        <v/>
      </c>
      <c r="BH58" s="2" t="str">
        <f ca="1">IFERROR(__xludf.DUMMYFUNCTION("""COMPUTED_VALUE"""),"")</f>
        <v/>
      </c>
      <c r="BI58" s="13" t="str">
        <f ca="1">IFERROR(__xludf.DUMMYFUNCTION("""COMPUTED_VALUE"""),"")</f>
        <v/>
      </c>
      <c r="BJ58" s="9" t="str">
        <f ca="1">IFERROR(__xludf.DUMMYFUNCTION("""COMPUTED_VALUE"""),"")</f>
        <v/>
      </c>
      <c r="BK58" s="4" t="str">
        <f ca="1">IFERROR(__xludf.DUMMYFUNCTION("""COMPUTED_VALUE"""),"")</f>
        <v/>
      </c>
    </row>
    <row r="59" spans="1:63" ht="12.5" x14ac:dyDescent="0.25">
      <c r="A59" s="7">
        <f ca="1">IFERROR(__xludf.DUMMYFUNCTION("""COMPUTED_VALUE"""),43297.8819444444)</f>
        <v>43297.881944444402</v>
      </c>
      <c r="B59" s="8" t="str">
        <f ca="1">IFERROR(__xludf.DUMMYFUNCTION("""COMPUTED_VALUE"""),"Waikato")</f>
        <v>Waikato</v>
      </c>
      <c r="C59" s="2" t="str">
        <f ca="1">IFERROR(__xludf.DUMMYFUNCTION("""COMPUTED_VALUE"""),"")</f>
        <v/>
      </c>
      <c r="D59" s="9">
        <f ca="1">IFERROR(__xludf.DUMMYFUNCTION("""COMPUTED_VALUE"""),43140)</f>
        <v>43140</v>
      </c>
      <c r="E59" s="4">
        <f ca="1">IFERROR(__xludf.DUMMYFUNCTION("""COMPUTED_VALUE"""),0.415277777778101)</f>
        <v>0.41527777777810099</v>
      </c>
      <c r="F59" s="2" t="str">
        <f ca="1">IFERROR(__xludf.DUMMYFUNCTION("""COMPUTED_VALUE"""),"Deans wetland")</f>
        <v>Deans wetland</v>
      </c>
      <c r="G59" s="2" t="str">
        <f ca="1">IFERROR(__xludf.DUMMYFUNCTION("""COMPUTED_VALUE"""),"GPS: I converted data downloaded from ARGOS using Pinpoint software")</f>
        <v>GPS: I converted data downloaded from ARGOS using Pinpoint software</v>
      </c>
      <c r="H59" s="2" t="str">
        <f ca="1">IFERROR(__xludf.DUMMYFUNCTION("""COMPUTED_VALUE"""),"")</f>
        <v/>
      </c>
      <c r="I59" s="2" t="str">
        <f ca="1">IFERROR(__xludf.DUMMYFUNCTION("""COMPUTED_VALUE"""),"")</f>
        <v/>
      </c>
      <c r="J59" s="2" t="str">
        <f ca="1">IFERROR(__xludf.DUMMYFUNCTION("""COMPUTED_VALUE"""),"")</f>
        <v/>
      </c>
      <c r="K59" s="2" t="str">
        <f ca="1">IFERROR(__xludf.DUMMYFUNCTION("""COMPUTED_VALUE"""),"")</f>
        <v/>
      </c>
      <c r="L59" s="2" t="str">
        <f ca="1">IFERROR(__xludf.DUMMYFUNCTION("""COMPUTED_VALUE"""),"")</f>
        <v/>
      </c>
      <c r="M59" s="5" t="str">
        <f ca="1">IFERROR(__xludf.DUMMYFUNCTION("""COMPUTED_VALUE"""),"")</f>
        <v/>
      </c>
      <c r="N59" s="5" t="str">
        <f ca="1">IFERROR(__xludf.DUMMYFUNCTION("""COMPUTED_VALUE"""),"")</f>
        <v/>
      </c>
      <c r="O59" s="2" t="str">
        <f ca="1">IFERROR(__xludf.DUMMYFUNCTION("""COMPUTED_VALUE"""),"")</f>
        <v/>
      </c>
      <c r="P59" s="2" t="str">
        <f ca="1">IFERROR(__xludf.DUMMYFUNCTION("""COMPUTED_VALUE"""),"")</f>
        <v/>
      </c>
      <c r="Q59" s="2" t="str">
        <f ca="1">IFERROR(__xludf.DUMMYFUNCTION("""COMPUTED_VALUE"""),"")</f>
        <v/>
      </c>
      <c r="R59" s="2" t="str">
        <f ca="1">IFERROR(__xludf.DUMMYFUNCTION("""COMPUTED_VALUE"""),"")</f>
        <v/>
      </c>
      <c r="S59" s="2" t="str">
        <f ca="1">IFERROR(__xludf.DUMMYFUNCTION("""COMPUTED_VALUE"""),"")</f>
        <v/>
      </c>
      <c r="T59" s="2" t="str">
        <f ca="1">IFERROR(__xludf.DUMMYFUNCTION("""COMPUTED_VALUE"""),"")</f>
        <v/>
      </c>
      <c r="U59" s="2" t="str">
        <f ca="1">IFERROR(__xludf.DUMMYFUNCTION("""COMPUTED_VALUE"""),"")</f>
        <v/>
      </c>
      <c r="V59" s="2" t="str">
        <f ca="1">IFERROR(__xludf.DUMMYFUNCTION("""COMPUTED_VALUE"""),"")</f>
        <v/>
      </c>
      <c r="W59" s="2" t="str">
        <f ca="1">IFERROR(__xludf.DUMMYFUNCTION("""COMPUTED_VALUE"""),"")</f>
        <v/>
      </c>
      <c r="X59" s="2" t="str">
        <f ca="1">IFERROR(__xludf.DUMMYFUNCTION("""COMPUTED_VALUE"""),"")</f>
        <v/>
      </c>
      <c r="Y59" s="2" t="str">
        <f ca="1">IFERROR(__xludf.DUMMYFUNCTION("""COMPUTED_VALUE"""),"")</f>
        <v/>
      </c>
      <c r="Z59" s="2" t="str">
        <f ca="1">IFERROR(__xludf.DUMMYFUNCTION("""COMPUTED_VALUE"""),"")</f>
        <v/>
      </c>
      <c r="AA59" s="2" t="str">
        <f ca="1">IFERROR(__xludf.DUMMYFUNCTION("""COMPUTED_VALUE"""),"")</f>
        <v/>
      </c>
      <c r="AB59" s="2" t="str">
        <f ca="1">IFERROR(__xludf.DUMMYFUNCTION("""COMPUTED_VALUE"""),"")</f>
        <v/>
      </c>
      <c r="AC59" s="2" t="str">
        <f ca="1">IFERROR(__xludf.DUMMYFUNCTION("""COMPUTED_VALUE"""),"")</f>
        <v/>
      </c>
      <c r="AD59" s="2" t="str">
        <f ca="1">IFERROR(__xludf.DUMMYFUNCTION("""COMPUTED_VALUE"""),"")</f>
        <v/>
      </c>
      <c r="AE59" s="2" t="str">
        <f ca="1">IFERROR(__xludf.DUMMYFUNCTION("""COMPUTED_VALUE"""),"")</f>
        <v/>
      </c>
      <c r="AF59" s="2" t="str">
        <f ca="1">IFERROR(__xludf.DUMMYFUNCTION("""COMPUTED_VALUE"""),"")</f>
        <v/>
      </c>
      <c r="AG59" s="2" t="str">
        <f ca="1">IFERROR(__xludf.DUMMYFUNCTION("""COMPUTED_VALUE"""),"")</f>
        <v/>
      </c>
      <c r="AH59" s="2" t="str">
        <f ca="1">IFERROR(__xludf.DUMMYFUNCTION("""COMPUTED_VALUE"""),"")</f>
        <v/>
      </c>
      <c r="AI59" s="2" t="str">
        <f ca="1">IFERROR(__xludf.DUMMYFUNCTION("""COMPUTED_VALUE"""),"")</f>
        <v/>
      </c>
      <c r="AJ59" s="2" t="str">
        <f ca="1">IFERROR(__xludf.DUMMYFUNCTION("""COMPUTED_VALUE"""),"")</f>
        <v/>
      </c>
      <c r="AK59" s="2" t="str">
        <f ca="1">IFERROR(__xludf.DUMMYFUNCTION("""COMPUTED_VALUE"""),"")</f>
        <v/>
      </c>
      <c r="AL59" s="2" t="str">
        <f ca="1">IFERROR(__xludf.DUMMYFUNCTION("""COMPUTED_VALUE"""),"")</f>
        <v/>
      </c>
      <c r="AM59" s="2" t="str">
        <f ca="1">IFERROR(__xludf.DUMMYFUNCTION("""COMPUTED_VALUE"""),"")</f>
        <v/>
      </c>
      <c r="AN59" s="2" t="str">
        <f ca="1">IFERROR(__xludf.DUMMYFUNCTION("""COMPUTED_VALUE"""),"")</f>
        <v/>
      </c>
      <c r="AO59" s="2" t="str">
        <f ca="1">IFERROR(__xludf.DUMMYFUNCTION("""COMPUTED_VALUE"""),"")</f>
        <v/>
      </c>
      <c r="AP59" s="2" t="str">
        <f ca="1">IFERROR(__xludf.DUMMYFUNCTION("""COMPUTED_VALUE"""),"")</f>
        <v/>
      </c>
      <c r="AQ59" s="2" t="str">
        <f ca="1">IFERROR(__xludf.DUMMYFUNCTION("""COMPUTED_VALUE"""),"")</f>
        <v/>
      </c>
      <c r="AR59" s="2" t="str">
        <f ca="1">IFERROR(__xludf.DUMMYFUNCTION("""COMPUTED_VALUE"""),"")</f>
        <v/>
      </c>
      <c r="AS59" s="2" t="str">
        <f ca="1">IFERROR(__xludf.DUMMYFUNCTION("""COMPUTED_VALUE"""),"")</f>
        <v/>
      </c>
      <c r="AT59" s="2" t="str">
        <f ca="1">IFERROR(__xludf.DUMMYFUNCTION("""COMPUTED_VALUE"""),"")</f>
        <v/>
      </c>
      <c r="AU59" s="2" t="str">
        <f ca="1">IFERROR(__xludf.DUMMYFUNCTION("""COMPUTED_VALUE"""),"")</f>
        <v/>
      </c>
      <c r="AV59" s="2" t="str">
        <f ca="1">IFERROR(__xludf.DUMMYFUNCTION("""COMPUTED_VALUE"""),"")</f>
        <v/>
      </c>
      <c r="AW59" s="2" t="str">
        <f ca="1">IFERROR(__xludf.DUMMYFUNCTION("""COMPUTED_VALUE"""),"")</f>
        <v/>
      </c>
      <c r="AX59" s="2" t="str">
        <f ca="1">IFERROR(__xludf.DUMMYFUNCTION("""COMPUTED_VALUE"""),"")</f>
        <v/>
      </c>
      <c r="AY59" s="2" t="str">
        <f ca="1">IFERROR(__xludf.DUMMYFUNCTION("""COMPUTED_VALUE"""),"")</f>
        <v/>
      </c>
      <c r="AZ59" s="2" t="str">
        <f ca="1">IFERROR(__xludf.DUMMYFUNCTION("""COMPUTED_VALUE"""),"3D")</f>
        <v>3D</v>
      </c>
      <c r="BA59" s="2">
        <f ca="1">IFERROR(__xludf.DUMMYFUNCTION("""COMPUTED_VALUE"""),1781690)</f>
        <v>1781690</v>
      </c>
      <c r="BB59" s="2">
        <f ca="1">IFERROR(__xludf.DUMMYFUNCTION("""COMPUTED_VALUE"""),5874510)</f>
        <v>5874510</v>
      </c>
      <c r="BC59" s="2" t="str">
        <f ca="1">IFERROR(__xludf.DUMMYFUNCTION("""COMPUTED_VALUE"""),"Lat/Long: -37.2582512;175.0488434;Fix accuracy = OK")</f>
        <v>Lat/Long: -37.2582512;175.0488434;Fix accuracy = OK</v>
      </c>
      <c r="BD59" s="2" t="str">
        <f ca="1">IFERROR(__xludf.DUMMYFUNCTION("""COMPUTED_VALUE"""),"")</f>
        <v/>
      </c>
      <c r="BE59" s="2" t="str">
        <f ca="1">IFERROR(__xludf.DUMMYFUNCTION("""COMPUTED_VALUE"""),"")</f>
        <v/>
      </c>
      <c r="BF59" t="str">
        <f ca="1">IFERROR(__xludf.DUMMYFUNCTION("""COMPUTED_VALUE"""),"")</f>
        <v/>
      </c>
      <c r="BG59" t="str">
        <f ca="1">IFERROR(__xludf.DUMMYFUNCTION("""COMPUTED_VALUE"""),"")</f>
        <v/>
      </c>
      <c r="BH59" s="2" t="str">
        <f ca="1">IFERROR(__xludf.DUMMYFUNCTION("""COMPUTED_VALUE"""),"")</f>
        <v/>
      </c>
      <c r="BI59" s="12" t="str">
        <f ca="1">IFERROR(__xludf.DUMMYFUNCTION("""COMPUTED_VALUE"""),"")</f>
        <v/>
      </c>
      <c r="BJ59" s="9" t="str">
        <f ca="1">IFERROR(__xludf.DUMMYFUNCTION("""COMPUTED_VALUE"""),"")</f>
        <v/>
      </c>
      <c r="BK59" s="4" t="str">
        <f ca="1">IFERROR(__xludf.DUMMYFUNCTION("""COMPUTED_VALUE"""),"")</f>
        <v/>
      </c>
    </row>
    <row r="60" spans="1:63" ht="12.5" x14ac:dyDescent="0.25">
      <c r="A60" s="7">
        <f ca="1">IFERROR(__xludf.DUMMYFUNCTION("""COMPUTED_VALUE"""),43297.8819444444)</f>
        <v>43297.881944444402</v>
      </c>
      <c r="B60" s="8" t="str">
        <f ca="1">IFERROR(__xludf.DUMMYFUNCTION("""COMPUTED_VALUE"""),"Waikato")</f>
        <v>Waikato</v>
      </c>
      <c r="C60" s="2" t="str">
        <f ca="1">IFERROR(__xludf.DUMMYFUNCTION("""COMPUTED_VALUE"""),"")</f>
        <v/>
      </c>
      <c r="D60" s="9">
        <f ca="1">IFERROR(__xludf.DUMMYFUNCTION("""COMPUTED_VALUE"""),43154)</f>
        <v>43154</v>
      </c>
      <c r="E60" s="4">
        <f ca="1">IFERROR(__xludf.DUMMYFUNCTION("""COMPUTED_VALUE"""),0.415277777778101)</f>
        <v>0.41527777777810099</v>
      </c>
      <c r="F60" s="2" t="str">
        <f ca="1">IFERROR(__xludf.DUMMYFUNCTION("""COMPUTED_VALUE"""),"Deans wetland")</f>
        <v>Deans wetland</v>
      </c>
      <c r="G60" s="2" t="str">
        <f ca="1">IFERROR(__xludf.DUMMYFUNCTION("""COMPUTED_VALUE"""),"GPS: I converted data downloaded from ARGOS using Pinpoint software")</f>
        <v>GPS: I converted data downloaded from ARGOS using Pinpoint software</v>
      </c>
      <c r="H60" s="2" t="str">
        <f ca="1">IFERROR(__xludf.DUMMYFUNCTION("""COMPUTED_VALUE"""),"")</f>
        <v/>
      </c>
      <c r="I60" s="2" t="str">
        <f ca="1">IFERROR(__xludf.DUMMYFUNCTION("""COMPUTED_VALUE"""),"")</f>
        <v/>
      </c>
      <c r="J60" s="2" t="str">
        <f ca="1">IFERROR(__xludf.DUMMYFUNCTION("""COMPUTED_VALUE"""),"")</f>
        <v/>
      </c>
      <c r="K60" s="2" t="str">
        <f ca="1">IFERROR(__xludf.DUMMYFUNCTION("""COMPUTED_VALUE"""),"")</f>
        <v/>
      </c>
      <c r="L60" s="2" t="str">
        <f ca="1">IFERROR(__xludf.DUMMYFUNCTION("""COMPUTED_VALUE"""),"")</f>
        <v/>
      </c>
      <c r="M60" s="5" t="str">
        <f ca="1">IFERROR(__xludf.DUMMYFUNCTION("""COMPUTED_VALUE"""),"")</f>
        <v/>
      </c>
      <c r="N60" s="5" t="str">
        <f ca="1">IFERROR(__xludf.DUMMYFUNCTION("""COMPUTED_VALUE"""),"")</f>
        <v/>
      </c>
      <c r="O60" s="2" t="str">
        <f ca="1">IFERROR(__xludf.DUMMYFUNCTION("""COMPUTED_VALUE"""),"")</f>
        <v/>
      </c>
      <c r="P60" s="2" t="str">
        <f ca="1">IFERROR(__xludf.DUMMYFUNCTION("""COMPUTED_VALUE"""),"")</f>
        <v/>
      </c>
      <c r="Q60" s="2" t="str">
        <f ca="1">IFERROR(__xludf.DUMMYFUNCTION("""COMPUTED_VALUE"""),"")</f>
        <v/>
      </c>
      <c r="R60" s="2" t="str">
        <f ca="1">IFERROR(__xludf.DUMMYFUNCTION("""COMPUTED_VALUE"""),"")</f>
        <v/>
      </c>
      <c r="S60" s="2" t="str">
        <f ca="1">IFERROR(__xludf.DUMMYFUNCTION("""COMPUTED_VALUE"""),"")</f>
        <v/>
      </c>
      <c r="T60" s="2" t="str">
        <f ca="1">IFERROR(__xludf.DUMMYFUNCTION("""COMPUTED_VALUE"""),"")</f>
        <v/>
      </c>
      <c r="U60" s="2" t="str">
        <f ca="1">IFERROR(__xludf.DUMMYFUNCTION("""COMPUTED_VALUE"""),"")</f>
        <v/>
      </c>
      <c r="V60" s="2" t="str">
        <f ca="1">IFERROR(__xludf.DUMMYFUNCTION("""COMPUTED_VALUE"""),"")</f>
        <v/>
      </c>
      <c r="W60" s="2" t="str">
        <f ca="1">IFERROR(__xludf.DUMMYFUNCTION("""COMPUTED_VALUE"""),"")</f>
        <v/>
      </c>
      <c r="X60" s="2" t="str">
        <f ca="1">IFERROR(__xludf.DUMMYFUNCTION("""COMPUTED_VALUE"""),"")</f>
        <v/>
      </c>
      <c r="Y60" s="2" t="str">
        <f ca="1">IFERROR(__xludf.DUMMYFUNCTION("""COMPUTED_VALUE"""),"")</f>
        <v/>
      </c>
      <c r="Z60" s="2" t="str">
        <f ca="1">IFERROR(__xludf.DUMMYFUNCTION("""COMPUTED_VALUE"""),"")</f>
        <v/>
      </c>
      <c r="AA60" s="2" t="str">
        <f ca="1">IFERROR(__xludf.DUMMYFUNCTION("""COMPUTED_VALUE"""),"")</f>
        <v/>
      </c>
      <c r="AB60" s="2" t="str">
        <f ca="1">IFERROR(__xludf.DUMMYFUNCTION("""COMPUTED_VALUE"""),"")</f>
        <v/>
      </c>
      <c r="AC60" s="2" t="str">
        <f ca="1">IFERROR(__xludf.DUMMYFUNCTION("""COMPUTED_VALUE"""),"")</f>
        <v/>
      </c>
      <c r="AD60" s="2" t="str">
        <f ca="1">IFERROR(__xludf.DUMMYFUNCTION("""COMPUTED_VALUE"""),"")</f>
        <v/>
      </c>
      <c r="AE60" s="2" t="str">
        <f ca="1">IFERROR(__xludf.DUMMYFUNCTION("""COMPUTED_VALUE"""),"")</f>
        <v/>
      </c>
      <c r="AF60" s="2" t="str">
        <f ca="1">IFERROR(__xludf.DUMMYFUNCTION("""COMPUTED_VALUE"""),"")</f>
        <v/>
      </c>
      <c r="AG60" s="2" t="str">
        <f ca="1">IFERROR(__xludf.DUMMYFUNCTION("""COMPUTED_VALUE"""),"")</f>
        <v/>
      </c>
      <c r="AH60" s="2" t="str">
        <f ca="1">IFERROR(__xludf.DUMMYFUNCTION("""COMPUTED_VALUE"""),"")</f>
        <v/>
      </c>
      <c r="AI60" s="2" t="str">
        <f ca="1">IFERROR(__xludf.DUMMYFUNCTION("""COMPUTED_VALUE"""),"")</f>
        <v/>
      </c>
      <c r="AJ60" s="2" t="str">
        <f ca="1">IFERROR(__xludf.DUMMYFUNCTION("""COMPUTED_VALUE"""),"")</f>
        <v/>
      </c>
      <c r="AK60" s="2" t="str">
        <f ca="1">IFERROR(__xludf.DUMMYFUNCTION("""COMPUTED_VALUE"""),"")</f>
        <v/>
      </c>
      <c r="AL60" s="2" t="str">
        <f ca="1">IFERROR(__xludf.DUMMYFUNCTION("""COMPUTED_VALUE"""),"")</f>
        <v/>
      </c>
      <c r="AM60" s="2" t="str">
        <f ca="1">IFERROR(__xludf.DUMMYFUNCTION("""COMPUTED_VALUE"""),"")</f>
        <v/>
      </c>
      <c r="AN60" s="2" t="str">
        <f ca="1">IFERROR(__xludf.DUMMYFUNCTION("""COMPUTED_VALUE"""),"")</f>
        <v/>
      </c>
      <c r="AO60" s="2" t="str">
        <f ca="1">IFERROR(__xludf.DUMMYFUNCTION("""COMPUTED_VALUE"""),"")</f>
        <v/>
      </c>
      <c r="AP60" s="2" t="str">
        <f ca="1">IFERROR(__xludf.DUMMYFUNCTION("""COMPUTED_VALUE"""),"")</f>
        <v/>
      </c>
      <c r="AQ60" s="2" t="str">
        <f ca="1">IFERROR(__xludf.DUMMYFUNCTION("""COMPUTED_VALUE"""),"")</f>
        <v/>
      </c>
      <c r="AR60" s="2" t="str">
        <f ca="1">IFERROR(__xludf.DUMMYFUNCTION("""COMPUTED_VALUE"""),"")</f>
        <v/>
      </c>
      <c r="AS60" s="2" t="str">
        <f ca="1">IFERROR(__xludf.DUMMYFUNCTION("""COMPUTED_VALUE"""),"")</f>
        <v/>
      </c>
      <c r="AT60" s="2" t="str">
        <f ca="1">IFERROR(__xludf.DUMMYFUNCTION("""COMPUTED_VALUE"""),"")</f>
        <v/>
      </c>
      <c r="AU60" s="2" t="str">
        <f ca="1">IFERROR(__xludf.DUMMYFUNCTION("""COMPUTED_VALUE"""),"")</f>
        <v/>
      </c>
      <c r="AV60" s="2" t="str">
        <f ca="1">IFERROR(__xludf.DUMMYFUNCTION("""COMPUTED_VALUE"""),"")</f>
        <v/>
      </c>
      <c r="AW60" s="2" t="str">
        <f ca="1">IFERROR(__xludf.DUMMYFUNCTION("""COMPUTED_VALUE"""),"")</f>
        <v/>
      </c>
      <c r="AX60" s="2" t="str">
        <f ca="1">IFERROR(__xludf.DUMMYFUNCTION("""COMPUTED_VALUE"""),"")</f>
        <v/>
      </c>
      <c r="AY60" s="2" t="str">
        <f ca="1">IFERROR(__xludf.DUMMYFUNCTION("""COMPUTED_VALUE"""),"")</f>
        <v/>
      </c>
      <c r="AZ60" s="2" t="str">
        <f ca="1">IFERROR(__xludf.DUMMYFUNCTION("""COMPUTED_VALUE"""),"3D")</f>
        <v>3D</v>
      </c>
      <c r="BA60" s="2">
        <f ca="1">IFERROR(__xludf.DUMMYFUNCTION("""COMPUTED_VALUE"""),1781712)</f>
        <v>1781712</v>
      </c>
      <c r="BB60" s="2">
        <f ca="1">IFERROR(__xludf.DUMMYFUNCTION("""COMPUTED_VALUE"""),5874484)</f>
        <v>5874484</v>
      </c>
      <c r="BC60" s="2" t="str">
        <f ca="1">IFERROR(__xludf.DUMMYFUNCTION("""COMPUTED_VALUE"""),"Lat/Long: -37.2584839;175.0491028;Fix accuracy = OK")</f>
        <v>Lat/Long: -37.2584839;175.0491028;Fix accuracy = OK</v>
      </c>
      <c r="BD60" s="2" t="str">
        <f ca="1">IFERROR(__xludf.DUMMYFUNCTION("""COMPUTED_VALUE"""),"")</f>
        <v/>
      </c>
      <c r="BE60" s="2" t="str">
        <f ca="1">IFERROR(__xludf.DUMMYFUNCTION("""COMPUTED_VALUE"""),"")</f>
        <v/>
      </c>
      <c r="BF60" t="str">
        <f ca="1">IFERROR(__xludf.DUMMYFUNCTION("""COMPUTED_VALUE"""),"")</f>
        <v/>
      </c>
      <c r="BG60" t="str">
        <f ca="1">IFERROR(__xludf.DUMMYFUNCTION("""COMPUTED_VALUE"""),"")</f>
        <v/>
      </c>
      <c r="BH60" s="2" t="str">
        <f ca="1">IFERROR(__xludf.DUMMYFUNCTION("""COMPUTED_VALUE"""),"")</f>
        <v/>
      </c>
      <c r="BI60" s="13" t="str">
        <f ca="1">IFERROR(__xludf.DUMMYFUNCTION("""COMPUTED_VALUE"""),"")</f>
        <v/>
      </c>
      <c r="BJ60" s="9" t="str">
        <f ca="1">IFERROR(__xludf.DUMMYFUNCTION("""COMPUTED_VALUE"""),"")</f>
        <v/>
      </c>
      <c r="BK60" s="4" t="str">
        <f ca="1">IFERROR(__xludf.DUMMYFUNCTION("""COMPUTED_VALUE"""),"")</f>
        <v/>
      </c>
    </row>
    <row r="61" spans="1:63" ht="12.5" x14ac:dyDescent="0.25">
      <c r="A61" s="7">
        <f ca="1">IFERROR(__xludf.DUMMYFUNCTION("""COMPUTED_VALUE"""),43297.8819444444)</f>
        <v>43297.881944444402</v>
      </c>
      <c r="B61" s="8" t="str">
        <f ca="1">IFERROR(__xludf.DUMMYFUNCTION("""COMPUTED_VALUE"""),"Waikato")</f>
        <v>Waikato</v>
      </c>
      <c r="C61" s="2" t="str">
        <f ca="1">IFERROR(__xludf.DUMMYFUNCTION("""COMPUTED_VALUE"""),"")</f>
        <v/>
      </c>
      <c r="D61" s="9">
        <f ca="1">IFERROR(__xludf.DUMMYFUNCTION("""COMPUTED_VALUE"""),43168)</f>
        <v>43168</v>
      </c>
      <c r="E61" s="4">
        <f ca="1">IFERROR(__xludf.DUMMYFUNCTION("""COMPUTED_VALUE"""),0.418055555554019)</f>
        <v>0.41805555555401902</v>
      </c>
      <c r="F61" s="2" t="str">
        <f ca="1">IFERROR(__xludf.DUMMYFUNCTION("""COMPUTED_VALUE"""),"Deans wetland")</f>
        <v>Deans wetland</v>
      </c>
      <c r="G61" s="2" t="str">
        <f ca="1">IFERROR(__xludf.DUMMYFUNCTION("""COMPUTED_VALUE"""),"GPS: I converted data downloaded from ARGOS using Pinpoint software")</f>
        <v>GPS: I converted data downloaded from ARGOS using Pinpoint software</v>
      </c>
      <c r="H61" s="2" t="str">
        <f ca="1">IFERROR(__xludf.DUMMYFUNCTION("""COMPUTED_VALUE"""),"")</f>
        <v/>
      </c>
      <c r="I61" s="2" t="str">
        <f ca="1">IFERROR(__xludf.DUMMYFUNCTION("""COMPUTED_VALUE"""),"")</f>
        <v/>
      </c>
      <c r="J61" s="2" t="str">
        <f ca="1">IFERROR(__xludf.DUMMYFUNCTION("""COMPUTED_VALUE"""),"")</f>
        <v/>
      </c>
      <c r="K61" s="2" t="str">
        <f ca="1">IFERROR(__xludf.DUMMYFUNCTION("""COMPUTED_VALUE"""),"")</f>
        <v/>
      </c>
      <c r="L61" s="2" t="str">
        <f ca="1">IFERROR(__xludf.DUMMYFUNCTION("""COMPUTED_VALUE"""),"")</f>
        <v/>
      </c>
      <c r="M61" s="5" t="str">
        <f ca="1">IFERROR(__xludf.DUMMYFUNCTION("""COMPUTED_VALUE"""),"")</f>
        <v/>
      </c>
      <c r="N61" s="5" t="str">
        <f ca="1">IFERROR(__xludf.DUMMYFUNCTION("""COMPUTED_VALUE"""),"")</f>
        <v/>
      </c>
      <c r="O61" s="2" t="str">
        <f ca="1">IFERROR(__xludf.DUMMYFUNCTION("""COMPUTED_VALUE"""),"")</f>
        <v/>
      </c>
      <c r="P61" s="2" t="str">
        <f ca="1">IFERROR(__xludf.DUMMYFUNCTION("""COMPUTED_VALUE"""),"")</f>
        <v/>
      </c>
      <c r="Q61" s="2" t="str">
        <f ca="1">IFERROR(__xludf.DUMMYFUNCTION("""COMPUTED_VALUE"""),"")</f>
        <v/>
      </c>
      <c r="R61" s="2" t="str">
        <f ca="1">IFERROR(__xludf.DUMMYFUNCTION("""COMPUTED_VALUE"""),"")</f>
        <v/>
      </c>
      <c r="S61" s="2" t="str">
        <f ca="1">IFERROR(__xludf.DUMMYFUNCTION("""COMPUTED_VALUE"""),"")</f>
        <v/>
      </c>
      <c r="T61" s="2" t="str">
        <f ca="1">IFERROR(__xludf.DUMMYFUNCTION("""COMPUTED_VALUE"""),"")</f>
        <v/>
      </c>
      <c r="U61" s="2" t="str">
        <f ca="1">IFERROR(__xludf.DUMMYFUNCTION("""COMPUTED_VALUE"""),"")</f>
        <v/>
      </c>
      <c r="V61" s="2" t="str">
        <f ca="1">IFERROR(__xludf.DUMMYFUNCTION("""COMPUTED_VALUE"""),"")</f>
        <v/>
      </c>
      <c r="W61" s="2" t="str">
        <f ca="1">IFERROR(__xludf.DUMMYFUNCTION("""COMPUTED_VALUE"""),"")</f>
        <v/>
      </c>
      <c r="X61" s="2" t="str">
        <f ca="1">IFERROR(__xludf.DUMMYFUNCTION("""COMPUTED_VALUE"""),"")</f>
        <v/>
      </c>
      <c r="Y61" s="2" t="str">
        <f ca="1">IFERROR(__xludf.DUMMYFUNCTION("""COMPUTED_VALUE"""),"")</f>
        <v/>
      </c>
      <c r="Z61" s="2" t="str">
        <f ca="1">IFERROR(__xludf.DUMMYFUNCTION("""COMPUTED_VALUE"""),"")</f>
        <v/>
      </c>
      <c r="AA61" s="2" t="str">
        <f ca="1">IFERROR(__xludf.DUMMYFUNCTION("""COMPUTED_VALUE"""),"")</f>
        <v/>
      </c>
      <c r="AB61" s="2" t="str">
        <f ca="1">IFERROR(__xludf.DUMMYFUNCTION("""COMPUTED_VALUE"""),"")</f>
        <v/>
      </c>
      <c r="AC61" s="2" t="str">
        <f ca="1">IFERROR(__xludf.DUMMYFUNCTION("""COMPUTED_VALUE"""),"")</f>
        <v/>
      </c>
      <c r="AD61" s="2" t="str">
        <f ca="1">IFERROR(__xludf.DUMMYFUNCTION("""COMPUTED_VALUE"""),"")</f>
        <v/>
      </c>
      <c r="AE61" s="2" t="str">
        <f ca="1">IFERROR(__xludf.DUMMYFUNCTION("""COMPUTED_VALUE"""),"")</f>
        <v/>
      </c>
      <c r="AF61" s="2" t="str">
        <f ca="1">IFERROR(__xludf.DUMMYFUNCTION("""COMPUTED_VALUE"""),"")</f>
        <v/>
      </c>
      <c r="AG61" s="2" t="str">
        <f ca="1">IFERROR(__xludf.DUMMYFUNCTION("""COMPUTED_VALUE"""),"")</f>
        <v/>
      </c>
      <c r="AH61" s="2" t="str">
        <f ca="1">IFERROR(__xludf.DUMMYFUNCTION("""COMPUTED_VALUE"""),"")</f>
        <v/>
      </c>
      <c r="AI61" s="2" t="str">
        <f ca="1">IFERROR(__xludf.DUMMYFUNCTION("""COMPUTED_VALUE"""),"")</f>
        <v/>
      </c>
      <c r="AJ61" s="2" t="str">
        <f ca="1">IFERROR(__xludf.DUMMYFUNCTION("""COMPUTED_VALUE"""),"")</f>
        <v/>
      </c>
      <c r="AK61" s="2" t="str">
        <f ca="1">IFERROR(__xludf.DUMMYFUNCTION("""COMPUTED_VALUE"""),"")</f>
        <v/>
      </c>
      <c r="AL61" s="2" t="str">
        <f ca="1">IFERROR(__xludf.DUMMYFUNCTION("""COMPUTED_VALUE"""),"")</f>
        <v/>
      </c>
      <c r="AM61" s="2" t="str">
        <f ca="1">IFERROR(__xludf.DUMMYFUNCTION("""COMPUTED_VALUE"""),"")</f>
        <v/>
      </c>
      <c r="AN61" s="2" t="str">
        <f ca="1">IFERROR(__xludf.DUMMYFUNCTION("""COMPUTED_VALUE"""),"")</f>
        <v/>
      </c>
      <c r="AO61" s="2" t="str">
        <f ca="1">IFERROR(__xludf.DUMMYFUNCTION("""COMPUTED_VALUE"""),"")</f>
        <v/>
      </c>
      <c r="AP61" s="2" t="str">
        <f ca="1">IFERROR(__xludf.DUMMYFUNCTION("""COMPUTED_VALUE"""),"")</f>
        <v/>
      </c>
      <c r="AQ61" s="2" t="str">
        <f ca="1">IFERROR(__xludf.DUMMYFUNCTION("""COMPUTED_VALUE"""),"")</f>
        <v/>
      </c>
      <c r="AR61" s="2" t="str">
        <f ca="1">IFERROR(__xludf.DUMMYFUNCTION("""COMPUTED_VALUE"""),"")</f>
        <v/>
      </c>
      <c r="AS61" s="2" t="str">
        <f ca="1">IFERROR(__xludf.DUMMYFUNCTION("""COMPUTED_VALUE"""),"")</f>
        <v/>
      </c>
      <c r="AT61" s="2" t="str">
        <f ca="1">IFERROR(__xludf.DUMMYFUNCTION("""COMPUTED_VALUE"""),"")</f>
        <v/>
      </c>
      <c r="AU61" s="2" t="str">
        <f ca="1">IFERROR(__xludf.DUMMYFUNCTION("""COMPUTED_VALUE"""),"")</f>
        <v/>
      </c>
      <c r="AV61" s="2" t="str">
        <f ca="1">IFERROR(__xludf.DUMMYFUNCTION("""COMPUTED_VALUE"""),"")</f>
        <v/>
      </c>
      <c r="AW61" s="2" t="str">
        <f ca="1">IFERROR(__xludf.DUMMYFUNCTION("""COMPUTED_VALUE"""),"")</f>
        <v/>
      </c>
      <c r="AX61" s="2" t="str">
        <f ca="1">IFERROR(__xludf.DUMMYFUNCTION("""COMPUTED_VALUE"""),"")</f>
        <v/>
      </c>
      <c r="AY61" s="2" t="str">
        <f ca="1">IFERROR(__xludf.DUMMYFUNCTION("""COMPUTED_VALUE"""),"")</f>
        <v/>
      </c>
      <c r="AZ61" s="2" t="str">
        <f ca="1">IFERROR(__xludf.DUMMYFUNCTION("""COMPUTED_VALUE"""),"3D")</f>
        <v>3D</v>
      </c>
      <c r="BA61" s="2">
        <f ca="1">IFERROR(__xludf.DUMMYFUNCTION("""COMPUTED_VALUE"""),1781708)</f>
        <v>1781708</v>
      </c>
      <c r="BB61" s="2">
        <f ca="1">IFERROR(__xludf.DUMMYFUNCTION("""COMPUTED_VALUE"""),5874456)</f>
        <v>5874456</v>
      </c>
      <c r="BC61" s="2" t="str">
        <f ca="1">IFERROR(__xludf.DUMMYFUNCTION("""COMPUTED_VALUE"""),"Lat/Long: -37.2587395;175.049057;Fix accuracy = OK")</f>
        <v>Lat/Long: -37.2587395;175.049057;Fix accuracy = OK</v>
      </c>
      <c r="BD61" s="2" t="str">
        <f ca="1">IFERROR(__xludf.DUMMYFUNCTION("""COMPUTED_VALUE"""),"")</f>
        <v/>
      </c>
      <c r="BE61" s="2" t="str">
        <f ca="1">IFERROR(__xludf.DUMMYFUNCTION("""COMPUTED_VALUE"""),"")</f>
        <v/>
      </c>
      <c r="BF61" t="str">
        <f ca="1">IFERROR(__xludf.DUMMYFUNCTION("""COMPUTED_VALUE"""),"")</f>
        <v/>
      </c>
      <c r="BG61" t="str">
        <f ca="1">IFERROR(__xludf.DUMMYFUNCTION("""COMPUTED_VALUE"""),"")</f>
        <v/>
      </c>
      <c r="BH61" s="2" t="str">
        <f ca="1">IFERROR(__xludf.DUMMYFUNCTION("""COMPUTED_VALUE"""),"")</f>
        <v/>
      </c>
      <c r="BI61" s="12" t="str">
        <f ca="1">IFERROR(__xludf.DUMMYFUNCTION("""COMPUTED_VALUE"""),"")</f>
        <v/>
      </c>
      <c r="BJ61" s="9" t="str">
        <f ca="1">IFERROR(__xludf.DUMMYFUNCTION("""COMPUTED_VALUE"""),"")</f>
        <v/>
      </c>
      <c r="BK61" s="4" t="str">
        <f ca="1">IFERROR(__xludf.DUMMYFUNCTION("""COMPUTED_VALUE"""),"")</f>
        <v/>
      </c>
    </row>
    <row r="62" spans="1:63" ht="12.5" x14ac:dyDescent="0.25">
      <c r="A62" s="7">
        <f ca="1">IFERROR(__xludf.DUMMYFUNCTION("""COMPUTED_VALUE"""),43297.8819444444)</f>
        <v>43297.881944444402</v>
      </c>
      <c r="B62" s="8" t="str">
        <f ca="1">IFERROR(__xludf.DUMMYFUNCTION("""COMPUTED_VALUE"""),"Waikato")</f>
        <v>Waikato</v>
      </c>
      <c r="C62" s="2" t="str">
        <f ca="1">IFERROR(__xludf.DUMMYFUNCTION("""COMPUTED_VALUE"""),"")</f>
        <v/>
      </c>
      <c r="D62" s="9">
        <f ca="1">IFERROR(__xludf.DUMMYFUNCTION("""COMPUTED_VALUE"""),43182)</f>
        <v>43182</v>
      </c>
      <c r="E62" s="4">
        <f ca="1">IFERROR(__xludf.DUMMYFUNCTION("""COMPUTED_VALUE"""),0.415277777778101)</f>
        <v>0.41527777777810099</v>
      </c>
      <c r="F62" s="2" t="str">
        <f ca="1">IFERROR(__xludf.DUMMYFUNCTION("""COMPUTED_VALUE"""),"Deans wetland")</f>
        <v>Deans wetland</v>
      </c>
      <c r="G62" s="2" t="str">
        <f ca="1">IFERROR(__xludf.DUMMYFUNCTION("""COMPUTED_VALUE"""),"GPS: I converted data downloaded from ARGOS using Pinpoint software")</f>
        <v>GPS: I converted data downloaded from ARGOS using Pinpoint software</v>
      </c>
      <c r="H62" s="2" t="str">
        <f ca="1">IFERROR(__xludf.DUMMYFUNCTION("""COMPUTED_VALUE"""),"")</f>
        <v/>
      </c>
      <c r="I62" s="2" t="str">
        <f ca="1">IFERROR(__xludf.DUMMYFUNCTION("""COMPUTED_VALUE"""),"")</f>
        <v/>
      </c>
      <c r="J62" s="2" t="str">
        <f ca="1">IFERROR(__xludf.DUMMYFUNCTION("""COMPUTED_VALUE"""),"")</f>
        <v/>
      </c>
      <c r="K62" s="2" t="str">
        <f ca="1">IFERROR(__xludf.DUMMYFUNCTION("""COMPUTED_VALUE"""),"")</f>
        <v/>
      </c>
      <c r="L62" s="2" t="str">
        <f ca="1">IFERROR(__xludf.DUMMYFUNCTION("""COMPUTED_VALUE"""),"")</f>
        <v/>
      </c>
      <c r="M62" s="5" t="str">
        <f ca="1">IFERROR(__xludf.DUMMYFUNCTION("""COMPUTED_VALUE"""),"")</f>
        <v/>
      </c>
      <c r="N62" s="5" t="str">
        <f ca="1">IFERROR(__xludf.DUMMYFUNCTION("""COMPUTED_VALUE"""),"")</f>
        <v/>
      </c>
      <c r="O62" s="2" t="str">
        <f ca="1">IFERROR(__xludf.DUMMYFUNCTION("""COMPUTED_VALUE"""),"")</f>
        <v/>
      </c>
      <c r="P62" s="2" t="str">
        <f ca="1">IFERROR(__xludf.DUMMYFUNCTION("""COMPUTED_VALUE"""),"")</f>
        <v/>
      </c>
      <c r="Q62" s="2" t="str">
        <f ca="1">IFERROR(__xludf.DUMMYFUNCTION("""COMPUTED_VALUE"""),"")</f>
        <v/>
      </c>
      <c r="R62" s="2" t="str">
        <f ca="1">IFERROR(__xludf.DUMMYFUNCTION("""COMPUTED_VALUE"""),"")</f>
        <v/>
      </c>
      <c r="S62" s="2" t="str">
        <f ca="1">IFERROR(__xludf.DUMMYFUNCTION("""COMPUTED_VALUE"""),"")</f>
        <v/>
      </c>
      <c r="T62" s="2" t="str">
        <f ca="1">IFERROR(__xludf.DUMMYFUNCTION("""COMPUTED_VALUE"""),"")</f>
        <v/>
      </c>
      <c r="U62" s="2" t="str">
        <f ca="1">IFERROR(__xludf.DUMMYFUNCTION("""COMPUTED_VALUE"""),"")</f>
        <v/>
      </c>
      <c r="V62" s="2" t="str">
        <f ca="1">IFERROR(__xludf.DUMMYFUNCTION("""COMPUTED_VALUE"""),"")</f>
        <v/>
      </c>
      <c r="W62" s="2" t="str">
        <f ca="1">IFERROR(__xludf.DUMMYFUNCTION("""COMPUTED_VALUE"""),"")</f>
        <v/>
      </c>
      <c r="X62" s="2" t="str">
        <f ca="1">IFERROR(__xludf.DUMMYFUNCTION("""COMPUTED_VALUE"""),"")</f>
        <v/>
      </c>
      <c r="Y62" s="2" t="str">
        <f ca="1">IFERROR(__xludf.DUMMYFUNCTION("""COMPUTED_VALUE"""),"")</f>
        <v/>
      </c>
      <c r="Z62" s="2" t="str">
        <f ca="1">IFERROR(__xludf.DUMMYFUNCTION("""COMPUTED_VALUE"""),"")</f>
        <v/>
      </c>
      <c r="AA62" s="2" t="str">
        <f ca="1">IFERROR(__xludf.DUMMYFUNCTION("""COMPUTED_VALUE"""),"")</f>
        <v/>
      </c>
      <c r="AB62" s="2" t="str">
        <f ca="1">IFERROR(__xludf.DUMMYFUNCTION("""COMPUTED_VALUE"""),"")</f>
        <v/>
      </c>
      <c r="AC62" s="2" t="str">
        <f ca="1">IFERROR(__xludf.DUMMYFUNCTION("""COMPUTED_VALUE"""),"")</f>
        <v/>
      </c>
      <c r="AD62" s="2" t="str">
        <f ca="1">IFERROR(__xludf.DUMMYFUNCTION("""COMPUTED_VALUE"""),"")</f>
        <v/>
      </c>
      <c r="AE62" s="2" t="str">
        <f ca="1">IFERROR(__xludf.DUMMYFUNCTION("""COMPUTED_VALUE"""),"")</f>
        <v/>
      </c>
      <c r="AF62" s="2" t="str">
        <f ca="1">IFERROR(__xludf.DUMMYFUNCTION("""COMPUTED_VALUE"""),"")</f>
        <v/>
      </c>
      <c r="AG62" s="2" t="str">
        <f ca="1">IFERROR(__xludf.DUMMYFUNCTION("""COMPUTED_VALUE"""),"")</f>
        <v/>
      </c>
      <c r="AH62" s="2" t="str">
        <f ca="1">IFERROR(__xludf.DUMMYFUNCTION("""COMPUTED_VALUE"""),"")</f>
        <v/>
      </c>
      <c r="AI62" s="2" t="str">
        <f ca="1">IFERROR(__xludf.DUMMYFUNCTION("""COMPUTED_VALUE"""),"")</f>
        <v/>
      </c>
      <c r="AJ62" s="2" t="str">
        <f ca="1">IFERROR(__xludf.DUMMYFUNCTION("""COMPUTED_VALUE"""),"")</f>
        <v/>
      </c>
      <c r="AK62" s="2" t="str">
        <f ca="1">IFERROR(__xludf.DUMMYFUNCTION("""COMPUTED_VALUE"""),"")</f>
        <v/>
      </c>
      <c r="AL62" s="2" t="str">
        <f ca="1">IFERROR(__xludf.DUMMYFUNCTION("""COMPUTED_VALUE"""),"")</f>
        <v/>
      </c>
      <c r="AM62" s="2" t="str">
        <f ca="1">IFERROR(__xludf.DUMMYFUNCTION("""COMPUTED_VALUE"""),"")</f>
        <v/>
      </c>
      <c r="AN62" s="2" t="str">
        <f ca="1">IFERROR(__xludf.DUMMYFUNCTION("""COMPUTED_VALUE"""),"")</f>
        <v/>
      </c>
      <c r="AO62" s="2" t="str">
        <f ca="1">IFERROR(__xludf.DUMMYFUNCTION("""COMPUTED_VALUE"""),"")</f>
        <v/>
      </c>
      <c r="AP62" s="2" t="str">
        <f ca="1">IFERROR(__xludf.DUMMYFUNCTION("""COMPUTED_VALUE"""),"")</f>
        <v/>
      </c>
      <c r="AQ62" s="2" t="str">
        <f ca="1">IFERROR(__xludf.DUMMYFUNCTION("""COMPUTED_VALUE"""),"")</f>
        <v/>
      </c>
      <c r="AR62" s="2" t="str">
        <f ca="1">IFERROR(__xludf.DUMMYFUNCTION("""COMPUTED_VALUE"""),"")</f>
        <v/>
      </c>
      <c r="AS62" s="2" t="str">
        <f ca="1">IFERROR(__xludf.DUMMYFUNCTION("""COMPUTED_VALUE"""),"")</f>
        <v/>
      </c>
      <c r="AT62" s="2" t="str">
        <f ca="1">IFERROR(__xludf.DUMMYFUNCTION("""COMPUTED_VALUE"""),"")</f>
        <v/>
      </c>
      <c r="AU62" s="2" t="str">
        <f ca="1">IFERROR(__xludf.DUMMYFUNCTION("""COMPUTED_VALUE"""),"")</f>
        <v/>
      </c>
      <c r="AV62" s="2" t="str">
        <f ca="1">IFERROR(__xludf.DUMMYFUNCTION("""COMPUTED_VALUE"""),"")</f>
        <v/>
      </c>
      <c r="AW62" s="2" t="str">
        <f ca="1">IFERROR(__xludf.DUMMYFUNCTION("""COMPUTED_VALUE"""),"")</f>
        <v/>
      </c>
      <c r="AX62" s="2" t="str">
        <f ca="1">IFERROR(__xludf.DUMMYFUNCTION("""COMPUTED_VALUE"""),"")</f>
        <v/>
      </c>
      <c r="AY62" s="2" t="str">
        <f ca="1">IFERROR(__xludf.DUMMYFUNCTION("""COMPUTED_VALUE"""),"")</f>
        <v/>
      </c>
      <c r="AZ62" s="2" t="str">
        <f ca="1">IFERROR(__xludf.DUMMYFUNCTION("""COMPUTED_VALUE"""),"3D")</f>
        <v>3D</v>
      </c>
      <c r="BA62" s="2">
        <f ca="1">IFERROR(__xludf.DUMMYFUNCTION("""COMPUTED_VALUE"""),1781717)</f>
        <v>1781717</v>
      </c>
      <c r="BB62" s="2">
        <f ca="1">IFERROR(__xludf.DUMMYFUNCTION("""COMPUTED_VALUE"""),5874512)</f>
        <v>5874512</v>
      </c>
      <c r="BC62" s="2" t="str">
        <f ca="1">IFERROR(__xludf.DUMMYFUNCTION("""COMPUTED_VALUE"""),"Lat/Long: -37.2582283;175.0491486;Fix accuracy = OK")</f>
        <v>Lat/Long: -37.2582283;175.0491486;Fix accuracy = OK</v>
      </c>
      <c r="BD62" s="2" t="str">
        <f ca="1">IFERROR(__xludf.DUMMYFUNCTION("""COMPUTED_VALUE"""),"")</f>
        <v/>
      </c>
      <c r="BE62" s="2" t="str">
        <f ca="1">IFERROR(__xludf.DUMMYFUNCTION("""COMPUTED_VALUE"""),"")</f>
        <v/>
      </c>
      <c r="BF62" t="str">
        <f ca="1">IFERROR(__xludf.DUMMYFUNCTION("""COMPUTED_VALUE"""),"")</f>
        <v/>
      </c>
      <c r="BG62" t="str">
        <f ca="1">IFERROR(__xludf.DUMMYFUNCTION("""COMPUTED_VALUE"""),"")</f>
        <v/>
      </c>
      <c r="BH62" s="2" t="str">
        <f ca="1">IFERROR(__xludf.DUMMYFUNCTION("""COMPUTED_VALUE"""),"")</f>
        <v/>
      </c>
      <c r="BI62" s="13" t="str">
        <f ca="1">IFERROR(__xludf.DUMMYFUNCTION("""COMPUTED_VALUE"""),"")</f>
        <v/>
      </c>
      <c r="BJ62" s="9" t="str">
        <f ca="1">IFERROR(__xludf.DUMMYFUNCTION("""COMPUTED_VALUE"""),"")</f>
        <v/>
      </c>
      <c r="BK62" s="4" t="str">
        <f ca="1">IFERROR(__xludf.DUMMYFUNCTION("""COMPUTED_VALUE"""),"")</f>
        <v/>
      </c>
    </row>
    <row r="63" spans="1:63" ht="12.5" x14ac:dyDescent="0.25">
      <c r="A63" s="7">
        <f ca="1">IFERROR(__xludf.DUMMYFUNCTION("""COMPUTED_VALUE"""),43297.8819444444)</f>
        <v>43297.881944444402</v>
      </c>
      <c r="B63" s="8" t="str">
        <f ca="1">IFERROR(__xludf.DUMMYFUNCTION("""COMPUTED_VALUE"""),"Waikato")</f>
        <v>Waikato</v>
      </c>
      <c r="C63" s="2" t="str">
        <f ca="1">IFERROR(__xludf.DUMMYFUNCTION("""COMPUTED_VALUE"""),"")</f>
        <v/>
      </c>
      <c r="D63" s="9">
        <f ca="1">IFERROR(__xludf.DUMMYFUNCTION("""COMPUTED_VALUE"""),43196)</f>
        <v>43196</v>
      </c>
      <c r="E63" s="4">
        <f ca="1">IFERROR(__xludf.DUMMYFUNCTION("""COMPUTED_VALUE"""),0.33194444444598)</f>
        <v>0.33194444444597998</v>
      </c>
      <c r="F63" s="2" t="str">
        <f ca="1">IFERROR(__xludf.DUMMYFUNCTION("""COMPUTED_VALUE"""),"Deans wetland")</f>
        <v>Deans wetland</v>
      </c>
      <c r="G63" s="2" t="str">
        <f ca="1">IFERROR(__xludf.DUMMYFUNCTION("""COMPUTED_VALUE"""),"GPS: I converted data downloaded from ARGOS using Pinpoint software")</f>
        <v>GPS: I converted data downloaded from ARGOS using Pinpoint software</v>
      </c>
      <c r="H63" s="2" t="str">
        <f ca="1">IFERROR(__xludf.DUMMYFUNCTION("""COMPUTED_VALUE"""),"")</f>
        <v/>
      </c>
      <c r="I63" s="2" t="str">
        <f ca="1">IFERROR(__xludf.DUMMYFUNCTION("""COMPUTED_VALUE"""),"")</f>
        <v/>
      </c>
      <c r="J63" s="2" t="str">
        <f ca="1">IFERROR(__xludf.DUMMYFUNCTION("""COMPUTED_VALUE"""),"")</f>
        <v/>
      </c>
      <c r="K63" s="2" t="str">
        <f ca="1">IFERROR(__xludf.DUMMYFUNCTION("""COMPUTED_VALUE"""),"")</f>
        <v/>
      </c>
      <c r="L63" s="2" t="str">
        <f ca="1">IFERROR(__xludf.DUMMYFUNCTION("""COMPUTED_VALUE"""),"")</f>
        <v/>
      </c>
      <c r="M63" s="5" t="str">
        <f ca="1">IFERROR(__xludf.DUMMYFUNCTION("""COMPUTED_VALUE"""),"")</f>
        <v/>
      </c>
      <c r="N63" s="5" t="str">
        <f ca="1">IFERROR(__xludf.DUMMYFUNCTION("""COMPUTED_VALUE"""),"")</f>
        <v/>
      </c>
      <c r="O63" s="2" t="str">
        <f ca="1">IFERROR(__xludf.DUMMYFUNCTION("""COMPUTED_VALUE"""),"")</f>
        <v/>
      </c>
      <c r="P63" s="2" t="str">
        <f ca="1">IFERROR(__xludf.DUMMYFUNCTION("""COMPUTED_VALUE"""),"")</f>
        <v/>
      </c>
      <c r="Q63" s="2" t="str">
        <f ca="1">IFERROR(__xludf.DUMMYFUNCTION("""COMPUTED_VALUE"""),"")</f>
        <v/>
      </c>
      <c r="R63" s="2" t="str">
        <f ca="1">IFERROR(__xludf.DUMMYFUNCTION("""COMPUTED_VALUE"""),"")</f>
        <v/>
      </c>
      <c r="S63" s="2" t="str">
        <f ca="1">IFERROR(__xludf.DUMMYFUNCTION("""COMPUTED_VALUE"""),"")</f>
        <v/>
      </c>
      <c r="T63" s="2" t="str">
        <f ca="1">IFERROR(__xludf.DUMMYFUNCTION("""COMPUTED_VALUE"""),"")</f>
        <v/>
      </c>
      <c r="U63" s="2" t="str">
        <f ca="1">IFERROR(__xludf.DUMMYFUNCTION("""COMPUTED_VALUE"""),"")</f>
        <v/>
      </c>
      <c r="V63" s="2" t="str">
        <f ca="1">IFERROR(__xludf.DUMMYFUNCTION("""COMPUTED_VALUE"""),"")</f>
        <v/>
      </c>
      <c r="W63" s="2" t="str">
        <f ca="1">IFERROR(__xludf.DUMMYFUNCTION("""COMPUTED_VALUE"""),"")</f>
        <v/>
      </c>
      <c r="X63" s="2" t="str">
        <f ca="1">IFERROR(__xludf.DUMMYFUNCTION("""COMPUTED_VALUE"""),"")</f>
        <v/>
      </c>
      <c r="Y63" s="2" t="str">
        <f ca="1">IFERROR(__xludf.DUMMYFUNCTION("""COMPUTED_VALUE"""),"")</f>
        <v/>
      </c>
      <c r="Z63" s="2" t="str">
        <f ca="1">IFERROR(__xludf.DUMMYFUNCTION("""COMPUTED_VALUE"""),"")</f>
        <v/>
      </c>
      <c r="AA63" s="2" t="str">
        <f ca="1">IFERROR(__xludf.DUMMYFUNCTION("""COMPUTED_VALUE"""),"")</f>
        <v/>
      </c>
      <c r="AB63" s="2" t="str">
        <f ca="1">IFERROR(__xludf.DUMMYFUNCTION("""COMPUTED_VALUE"""),"")</f>
        <v/>
      </c>
      <c r="AC63" s="2" t="str">
        <f ca="1">IFERROR(__xludf.DUMMYFUNCTION("""COMPUTED_VALUE"""),"")</f>
        <v/>
      </c>
      <c r="AD63" s="2" t="str">
        <f ca="1">IFERROR(__xludf.DUMMYFUNCTION("""COMPUTED_VALUE"""),"")</f>
        <v/>
      </c>
      <c r="AE63" s="2" t="str">
        <f ca="1">IFERROR(__xludf.DUMMYFUNCTION("""COMPUTED_VALUE"""),"")</f>
        <v/>
      </c>
      <c r="AF63" s="2" t="str">
        <f ca="1">IFERROR(__xludf.DUMMYFUNCTION("""COMPUTED_VALUE"""),"")</f>
        <v/>
      </c>
      <c r="AG63" s="2" t="str">
        <f ca="1">IFERROR(__xludf.DUMMYFUNCTION("""COMPUTED_VALUE"""),"")</f>
        <v/>
      </c>
      <c r="AH63" s="2" t="str">
        <f ca="1">IFERROR(__xludf.DUMMYFUNCTION("""COMPUTED_VALUE"""),"")</f>
        <v/>
      </c>
      <c r="AI63" s="2" t="str">
        <f ca="1">IFERROR(__xludf.DUMMYFUNCTION("""COMPUTED_VALUE"""),"")</f>
        <v/>
      </c>
      <c r="AJ63" s="2" t="str">
        <f ca="1">IFERROR(__xludf.DUMMYFUNCTION("""COMPUTED_VALUE"""),"")</f>
        <v/>
      </c>
      <c r="AK63" s="2" t="str">
        <f ca="1">IFERROR(__xludf.DUMMYFUNCTION("""COMPUTED_VALUE"""),"")</f>
        <v/>
      </c>
      <c r="AL63" s="2" t="str">
        <f ca="1">IFERROR(__xludf.DUMMYFUNCTION("""COMPUTED_VALUE"""),"")</f>
        <v/>
      </c>
      <c r="AM63" s="2" t="str">
        <f ca="1">IFERROR(__xludf.DUMMYFUNCTION("""COMPUTED_VALUE"""),"")</f>
        <v/>
      </c>
      <c r="AN63" s="2" t="str">
        <f ca="1">IFERROR(__xludf.DUMMYFUNCTION("""COMPUTED_VALUE"""),"")</f>
        <v/>
      </c>
      <c r="AO63" s="2" t="str">
        <f ca="1">IFERROR(__xludf.DUMMYFUNCTION("""COMPUTED_VALUE"""),"")</f>
        <v/>
      </c>
      <c r="AP63" s="2" t="str">
        <f ca="1">IFERROR(__xludf.DUMMYFUNCTION("""COMPUTED_VALUE"""),"")</f>
        <v/>
      </c>
      <c r="AQ63" s="2" t="str">
        <f ca="1">IFERROR(__xludf.DUMMYFUNCTION("""COMPUTED_VALUE"""),"")</f>
        <v/>
      </c>
      <c r="AR63" s="2" t="str">
        <f ca="1">IFERROR(__xludf.DUMMYFUNCTION("""COMPUTED_VALUE"""),"")</f>
        <v/>
      </c>
      <c r="AS63" s="2" t="str">
        <f ca="1">IFERROR(__xludf.DUMMYFUNCTION("""COMPUTED_VALUE"""),"")</f>
        <v/>
      </c>
      <c r="AT63" s="2" t="str">
        <f ca="1">IFERROR(__xludf.DUMMYFUNCTION("""COMPUTED_VALUE"""),"")</f>
        <v/>
      </c>
      <c r="AU63" s="2" t="str">
        <f ca="1">IFERROR(__xludf.DUMMYFUNCTION("""COMPUTED_VALUE"""),"")</f>
        <v/>
      </c>
      <c r="AV63" s="2" t="str">
        <f ca="1">IFERROR(__xludf.DUMMYFUNCTION("""COMPUTED_VALUE"""),"")</f>
        <v/>
      </c>
      <c r="AW63" s="2" t="str">
        <f ca="1">IFERROR(__xludf.DUMMYFUNCTION("""COMPUTED_VALUE"""),"")</f>
        <v/>
      </c>
      <c r="AX63" s="2" t="str">
        <f ca="1">IFERROR(__xludf.DUMMYFUNCTION("""COMPUTED_VALUE"""),"")</f>
        <v/>
      </c>
      <c r="AY63" s="2" t="str">
        <f ca="1">IFERROR(__xludf.DUMMYFUNCTION("""COMPUTED_VALUE"""),"")</f>
        <v/>
      </c>
      <c r="AZ63" s="2" t="str">
        <f ca="1">IFERROR(__xludf.DUMMYFUNCTION("""COMPUTED_VALUE"""),"3D")</f>
        <v>3D</v>
      </c>
      <c r="BA63" s="2">
        <f ca="1">IFERROR(__xludf.DUMMYFUNCTION("""COMPUTED_VALUE"""),1781585)</f>
        <v>1781585</v>
      </c>
      <c r="BB63" s="2">
        <f ca="1">IFERROR(__xludf.DUMMYFUNCTION("""COMPUTED_VALUE"""),5874686)</f>
        <v>5874686</v>
      </c>
      <c r="BC63" s="2" t="str">
        <f ca="1">IFERROR(__xludf.DUMMYFUNCTION("""COMPUTED_VALUE"""),"Lat/Long: -37.256691;175.0476227;Fix accuracy = OK")</f>
        <v>Lat/Long: -37.256691;175.0476227;Fix accuracy = OK</v>
      </c>
      <c r="BD63" s="2" t="str">
        <f ca="1">IFERROR(__xludf.DUMMYFUNCTION("""COMPUTED_VALUE"""),"")</f>
        <v/>
      </c>
      <c r="BE63" s="2" t="str">
        <f ca="1">IFERROR(__xludf.DUMMYFUNCTION("""COMPUTED_VALUE"""),"")</f>
        <v/>
      </c>
      <c r="BF63" t="str">
        <f ca="1">IFERROR(__xludf.DUMMYFUNCTION("""COMPUTED_VALUE"""),"")</f>
        <v/>
      </c>
      <c r="BG63" t="str">
        <f ca="1">IFERROR(__xludf.DUMMYFUNCTION("""COMPUTED_VALUE"""),"")</f>
        <v/>
      </c>
      <c r="BH63" s="2" t="str">
        <f ca="1">IFERROR(__xludf.DUMMYFUNCTION("""COMPUTED_VALUE"""),"")</f>
        <v/>
      </c>
      <c r="BI63" s="12" t="str">
        <f ca="1">IFERROR(__xludf.DUMMYFUNCTION("""COMPUTED_VALUE"""),"")</f>
        <v/>
      </c>
      <c r="BJ63" s="9" t="str">
        <f ca="1">IFERROR(__xludf.DUMMYFUNCTION("""COMPUTED_VALUE"""),"")</f>
        <v/>
      </c>
      <c r="BK63" s="4" t="str">
        <f ca="1">IFERROR(__xludf.DUMMYFUNCTION("""COMPUTED_VALUE"""),"")</f>
        <v/>
      </c>
    </row>
    <row r="64" spans="1:63" ht="12.5" x14ac:dyDescent="0.25">
      <c r="A64" s="7">
        <f ca="1">IFERROR(__xludf.DUMMYFUNCTION("""COMPUTED_VALUE"""),43297.8819444444)</f>
        <v>43297.881944444402</v>
      </c>
      <c r="B64" s="8" t="str">
        <f ca="1">IFERROR(__xludf.DUMMYFUNCTION("""COMPUTED_VALUE"""),"Waikato")</f>
        <v>Waikato</v>
      </c>
      <c r="C64" s="2" t="str">
        <f ca="1">IFERROR(__xludf.DUMMYFUNCTION("""COMPUTED_VALUE"""),"")</f>
        <v/>
      </c>
      <c r="D64" s="9">
        <f ca="1">IFERROR(__xludf.DUMMYFUNCTION("""COMPUTED_VALUE"""),43210)</f>
        <v>43210</v>
      </c>
      <c r="E64" s="4">
        <f ca="1">IFERROR(__xludf.DUMMYFUNCTION("""COMPUTED_VALUE"""),0.33194444444598)</f>
        <v>0.33194444444597998</v>
      </c>
      <c r="F64" s="2" t="str">
        <f ca="1">IFERROR(__xludf.DUMMYFUNCTION("""COMPUTED_VALUE"""),"Whangamarino - Peat bog North Peter Buckleys")</f>
        <v>Whangamarino - Peat bog North Peter Buckleys</v>
      </c>
      <c r="G64" s="2" t="str">
        <f ca="1">IFERROR(__xludf.DUMMYFUNCTION("""COMPUTED_VALUE"""),"GPS: I converted data downloaded from ARGOS using Pinpoint software")</f>
        <v>GPS: I converted data downloaded from ARGOS using Pinpoint software</v>
      </c>
      <c r="H64" s="2" t="str">
        <f ca="1">IFERROR(__xludf.DUMMYFUNCTION("""COMPUTED_VALUE"""),"")</f>
        <v/>
      </c>
      <c r="I64" s="2" t="str">
        <f ca="1">IFERROR(__xludf.DUMMYFUNCTION("""COMPUTED_VALUE"""),"")</f>
        <v/>
      </c>
      <c r="J64" s="2" t="str">
        <f ca="1">IFERROR(__xludf.DUMMYFUNCTION("""COMPUTED_VALUE"""),"")</f>
        <v/>
      </c>
      <c r="K64" s="2" t="str">
        <f ca="1">IFERROR(__xludf.DUMMYFUNCTION("""COMPUTED_VALUE"""),"")</f>
        <v/>
      </c>
      <c r="L64" s="2" t="str">
        <f ca="1">IFERROR(__xludf.DUMMYFUNCTION("""COMPUTED_VALUE"""),"")</f>
        <v/>
      </c>
      <c r="M64" s="5" t="str">
        <f ca="1">IFERROR(__xludf.DUMMYFUNCTION("""COMPUTED_VALUE"""),"")</f>
        <v/>
      </c>
      <c r="N64" s="5" t="str">
        <f ca="1">IFERROR(__xludf.DUMMYFUNCTION("""COMPUTED_VALUE"""),"")</f>
        <v/>
      </c>
      <c r="O64" s="2" t="str">
        <f ca="1">IFERROR(__xludf.DUMMYFUNCTION("""COMPUTED_VALUE"""),"")</f>
        <v/>
      </c>
      <c r="P64" s="2" t="str">
        <f ca="1">IFERROR(__xludf.DUMMYFUNCTION("""COMPUTED_VALUE"""),"")</f>
        <v/>
      </c>
      <c r="Q64" s="2" t="str">
        <f ca="1">IFERROR(__xludf.DUMMYFUNCTION("""COMPUTED_VALUE"""),"")</f>
        <v/>
      </c>
      <c r="R64" s="2" t="str">
        <f ca="1">IFERROR(__xludf.DUMMYFUNCTION("""COMPUTED_VALUE"""),"")</f>
        <v/>
      </c>
      <c r="S64" s="2" t="str">
        <f ca="1">IFERROR(__xludf.DUMMYFUNCTION("""COMPUTED_VALUE"""),"")</f>
        <v/>
      </c>
      <c r="T64" s="2" t="str">
        <f ca="1">IFERROR(__xludf.DUMMYFUNCTION("""COMPUTED_VALUE"""),"")</f>
        <v/>
      </c>
      <c r="U64" s="2" t="str">
        <f ca="1">IFERROR(__xludf.DUMMYFUNCTION("""COMPUTED_VALUE"""),"")</f>
        <v/>
      </c>
      <c r="V64" s="2" t="str">
        <f ca="1">IFERROR(__xludf.DUMMYFUNCTION("""COMPUTED_VALUE"""),"")</f>
        <v/>
      </c>
      <c r="W64" s="2" t="str">
        <f ca="1">IFERROR(__xludf.DUMMYFUNCTION("""COMPUTED_VALUE"""),"")</f>
        <v/>
      </c>
      <c r="X64" s="2" t="str">
        <f ca="1">IFERROR(__xludf.DUMMYFUNCTION("""COMPUTED_VALUE"""),"")</f>
        <v/>
      </c>
      <c r="Y64" s="2" t="str">
        <f ca="1">IFERROR(__xludf.DUMMYFUNCTION("""COMPUTED_VALUE"""),"")</f>
        <v/>
      </c>
      <c r="Z64" s="2" t="str">
        <f ca="1">IFERROR(__xludf.DUMMYFUNCTION("""COMPUTED_VALUE"""),"")</f>
        <v/>
      </c>
      <c r="AA64" s="2" t="str">
        <f ca="1">IFERROR(__xludf.DUMMYFUNCTION("""COMPUTED_VALUE"""),"")</f>
        <v/>
      </c>
      <c r="AB64" s="2" t="str">
        <f ca="1">IFERROR(__xludf.DUMMYFUNCTION("""COMPUTED_VALUE"""),"")</f>
        <v/>
      </c>
      <c r="AC64" s="2" t="str">
        <f ca="1">IFERROR(__xludf.DUMMYFUNCTION("""COMPUTED_VALUE"""),"")</f>
        <v/>
      </c>
      <c r="AD64" s="2" t="str">
        <f ca="1">IFERROR(__xludf.DUMMYFUNCTION("""COMPUTED_VALUE"""),"")</f>
        <v/>
      </c>
      <c r="AE64" s="2" t="str">
        <f ca="1">IFERROR(__xludf.DUMMYFUNCTION("""COMPUTED_VALUE"""),"")</f>
        <v/>
      </c>
      <c r="AF64" s="2" t="str">
        <f ca="1">IFERROR(__xludf.DUMMYFUNCTION("""COMPUTED_VALUE"""),"")</f>
        <v/>
      </c>
      <c r="AG64" s="2" t="str">
        <f ca="1">IFERROR(__xludf.DUMMYFUNCTION("""COMPUTED_VALUE"""),"")</f>
        <v/>
      </c>
      <c r="AH64" s="2" t="str">
        <f ca="1">IFERROR(__xludf.DUMMYFUNCTION("""COMPUTED_VALUE"""),"")</f>
        <v/>
      </c>
      <c r="AI64" s="2" t="str">
        <f ca="1">IFERROR(__xludf.DUMMYFUNCTION("""COMPUTED_VALUE"""),"")</f>
        <v/>
      </c>
      <c r="AJ64" s="2" t="str">
        <f ca="1">IFERROR(__xludf.DUMMYFUNCTION("""COMPUTED_VALUE"""),"")</f>
        <v/>
      </c>
      <c r="AK64" s="2" t="str">
        <f ca="1">IFERROR(__xludf.DUMMYFUNCTION("""COMPUTED_VALUE"""),"")</f>
        <v/>
      </c>
      <c r="AL64" s="2" t="str">
        <f ca="1">IFERROR(__xludf.DUMMYFUNCTION("""COMPUTED_VALUE"""),"")</f>
        <v/>
      </c>
      <c r="AM64" s="2" t="str">
        <f ca="1">IFERROR(__xludf.DUMMYFUNCTION("""COMPUTED_VALUE"""),"")</f>
        <v/>
      </c>
      <c r="AN64" s="2" t="str">
        <f ca="1">IFERROR(__xludf.DUMMYFUNCTION("""COMPUTED_VALUE"""),"")</f>
        <v/>
      </c>
      <c r="AO64" s="2" t="str">
        <f ca="1">IFERROR(__xludf.DUMMYFUNCTION("""COMPUTED_VALUE"""),"")</f>
        <v/>
      </c>
      <c r="AP64" s="2" t="str">
        <f ca="1">IFERROR(__xludf.DUMMYFUNCTION("""COMPUTED_VALUE"""),"")</f>
        <v/>
      </c>
      <c r="AQ64" s="2" t="str">
        <f ca="1">IFERROR(__xludf.DUMMYFUNCTION("""COMPUTED_VALUE"""),"")</f>
        <v/>
      </c>
      <c r="AR64" s="2" t="str">
        <f ca="1">IFERROR(__xludf.DUMMYFUNCTION("""COMPUTED_VALUE"""),"")</f>
        <v/>
      </c>
      <c r="AS64" s="2" t="str">
        <f ca="1">IFERROR(__xludf.DUMMYFUNCTION("""COMPUTED_VALUE"""),"")</f>
        <v/>
      </c>
      <c r="AT64" s="2" t="str">
        <f ca="1">IFERROR(__xludf.DUMMYFUNCTION("""COMPUTED_VALUE"""),"")</f>
        <v/>
      </c>
      <c r="AU64" s="2" t="str">
        <f ca="1">IFERROR(__xludf.DUMMYFUNCTION("""COMPUTED_VALUE"""),"")</f>
        <v/>
      </c>
      <c r="AV64" s="2" t="str">
        <f ca="1">IFERROR(__xludf.DUMMYFUNCTION("""COMPUTED_VALUE"""),"")</f>
        <v/>
      </c>
      <c r="AW64" s="2" t="str">
        <f ca="1">IFERROR(__xludf.DUMMYFUNCTION("""COMPUTED_VALUE"""),"")</f>
        <v/>
      </c>
      <c r="AX64" s="2" t="str">
        <f ca="1">IFERROR(__xludf.DUMMYFUNCTION("""COMPUTED_VALUE"""),"")</f>
        <v/>
      </c>
      <c r="AY64" s="2" t="str">
        <f ca="1">IFERROR(__xludf.DUMMYFUNCTION("""COMPUTED_VALUE"""),"")</f>
        <v/>
      </c>
      <c r="AZ64" s="2" t="str">
        <f ca="1">IFERROR(__xludf.DUMMYFUNCTION("""COMPUTED_VALUE"""),"3D")</f>
        <v>3D</v>
      </c>
      <c r="BA64" s="2">
        <f ca="1">IFERROR(__xludf.DUMMYFUNCTION("""COMPUTED_VALUE"""),1790951)</f>
        <v>1790951</v>
      </c>
      <c r="BB64" s="2">
        <f ca="1">IFERROR(__xludf.DUMMYFUNCTION("""COMPUTED_VALUE"""),5869391)</f>
        <v>5869391</v>
      </c>
      <c r="BC64" s="2" t="str">
        <f ca="1">IFERROR(__xludf.DUMMYFUNCTION("""COMPUTED_VALUE"""),"Lat/Long: -37.3025169;175.1545258;Fix accuracy = OK")</f>
        <v>Lat/Long: -37.3025169;175.1545258;Fix accuracy = OK</v>
      </c>
      <c r="BD64" s="2" t="str">
        <f ca="1">IFERROR(__xludf.DUMMYFUNCTION("""COMPUTED_VALUE"""),"")</f>
        <v/>
      </c>
      <c r="BE64" s="2" t="str">
        <f ca="1">IFERROR(__xludf.DUMMYFUNCTION("""COMPUTED_VALUE"""),"")</f>
        <v/>
      </c>
      <c r="BF64" t="str">
        <f ca="1">IFERROR(__xludf.DUMMYFUNCTION("""COMPUTED_VALUE"""),"")</f>
        <v/>
      </c>
      <c r="BG64" t="str">
        <f ca="1">IFERROR(__xludf.DUMMYFUNCTION("""COMPUTED_VALUE"""),"")</f>
        <v/>
      </c>
      <c r="BH64" s="2" t="str">
        <f ca="1">IFERROR(__xludf.DUMMYFUNCTION("""COMPUTED_VALUE"""),"")</f>
        <v/>
      </c>
      <c r="BI64" s="13" t="str">
        <f ca="1">IFERROR(__xludf.DUMMYFUNCTION("""COMPUTED_VALUE"""),"")</f>
        <v/>
      </c>
      <c r="BJ64" s="9" t="str">
        <f ca="1">IFERROR(__xludf.DUMMYFUNCTION("""COMPUTED_VALUE"""),"")</f>
        <v/>
      </c>
      <c r="BK64" s="4" t="str">
        <f ca="1">IFERROR(__xludf.DUMMYFUNCTION("""COMPUTED_VALUE"""),"")</f>
        <v/>
      </c>
    </row>
    <row r="65" spans="1:63" ht="12.5" x14ac:dyDescent="0.25">
      <c r="A65" s="7">
        <f ca="1">IFERROR(__xludf.DUMMYFUNCTION("""COMPUTED_VALUE"""),43297.8819444444)</f>
        <v>43297.881944444402</v>
      </c>
      <c r="B65" s="8" t="str">
        <f ca="1">IFERROR(__xludf.DUMMYFUNCTION("""COMPUTED_VALUE"""),"Waikato")</f>
        <v>Waikato</v>
      </c>
      <c r="C65" s="2" t="str">
        <f ca="1">IFERROR(__xludf.DUMMYFUNCTION("""COMPUTED_VALUE"""),"")</f>
        <v/>
      </c>
      <c r="D65" s="9">
        <f ca="1">IFERROR(__xludf.DUMMYFUNCTION("""COMPUTED_VALUE"""),43224)</f>
        <v>43224</v>
      </c>
      <c r="E65" s="4">
        <f ca="1">IFERROR(__xludf.DUMMYFUNCTION("""COMPUTED_VALUE"""),0.33194444444598)</f>
        <v>0.33194444444597998</v>
      </c>
      <c r="F65" s="2" t="str">
        <f ca="1">IFERROR(__xludf.DUMMYFUNCTION("""COMPUTED_VALUE"""),"Whangamarino - Lower Whangamarino river")</f>
        <v>Whangamarino - Lower Whangamarino river</v>
      </c>
      <c r="G65" s="2" t="str">
        <f ca="1">IFERROR(__xludf.DUMMYFUNCTION("""COMPUTED_VALUE"""),"GPS: I converted data downloaded from ARGOS using Pinpoint software")</f>
        <v>GPS: I converted data downloaded from ARGOS using Pinpoint software</v>
      </c>
      <c r="H65" s="2" t="str">
        <f ca="1">IFERROR(__xludf.DUMMYFUNCTION("""COMPUTED_VALUE"""),"")</f>
        <v/>
      </c>
      <c r="I65" s="2" t="str">
        <f ca="1">IFERROR(__xludf.DUMMYFUNCTION("""COMPUTED_VALUE"""),"")</f>
        <v/>
      </c>
      <c r="J65" s="2" t="str">
        <f ca="1">IFERROR(__xludf.DUMMYFUNCTION("""COMPUTED_VALUE"""),"")</f>
        <v/>
      </c>
      <c r="K65" s="2" t="str">
        <f ca="1">IFERROR(__xludf.DUMMYFUNCTION("""COMPUTED_VALUE"""),"")</f>
        <v/>
      </c>
      <c r="L65" s="2" t="str">
        <f ca="1">IFERROR(__xludf.DUMMYFUNCTION("""COMPUTED_VALUE"""),"")</f>
        <v/>
      </c>
      <c r="M65" s="5" t="str">
        <f ca="1">IFERROR(__xludf.DUMMYFUNCTION("""COMPUTED_VALUE"""),"")</f>
        <v/>
      </c>
      <c r="N65" s="5" t="str">
        <f ca="1">IFERROR(__xludf.DUMMYFUNCTION("""COMPUTED_VALUE"""),"")</f>
        <v/>
      </c>
      <c r="O65" s="2" t="str">
        <f ca="1">IFERROR(__xludf.DUMMYFUNCTION("""COMPUTED_VALUE"""),"")</f>
        <v/>
      </c>
      <c r="P65" s="2" t="str">
        <f ca="1">IFERROR(__xludf.DUMMYFUNCTION("""COMPUTED_VALUE"""),"")</f>
        <v/>
      </c>
      <c r="Q65" s="2" t="str">
        <f ca="1">IFERROR(__xludf.DUMMYFUNCTION("""COMPUTED_VALUE"""),"")</f>
        <v/>
      </c>
      <c r="R65" s="2" t="str">
        <f ca="1">IFERROR(__xludf.DUMMYFUNCTION("""COMPUTED_VALUE"""),"")</f>
        <v/>
      </c>
      <c r="S65" s="2" t="str">
        <f ca="1">IFERROR(__xludf.DUMMYFUNCTION("""COMPUTED_VALUE"""),"")</f>
        <v/>
      </c>
      <c r="T65" s="2" t="str">
        <f ca="1">IFERROR(__xludf.DUMMYFUNCTION("""COMPUTED_VALUE"""),"")</f>
        <v/>
      </c>
      <c r="U65" s="2" t="str">
        <f ca="1">IFERROR(__xludf.DUMMYFUNCTION("""COMPUTED_VALUE"""),"")</f>
        <v/>
      </c>
      <c r="V65" s="2" t="str">
        <f ca="1">IFERROR(__xludf.DUMMYFUNCTION("""COMPUTED_VALUE"""),"")</f>
        <v/>
      </c>
      <c r="W65" s="2" t="str">
        <f ca="1">IFERROR(__xludf.DUMMYFUNCTION("""COMPUTED_VALUE"""),"")</f>
        <v/>
      </c>
      <c r="X65" s="2" t="str">
        <f ca="1">IFERROR(__xludf.DUMMYFUNCTION("""COMPUTED_VALUE"""),"")</f>
        <v/>
      </c>
      <c r="Y65" s="2" t="str">
        <f ca="1">IFERROR(__xludf.DUMMYFUNCTION("""COMPUTED_VALUE"""),"")</f>
        <v/>
      </c>
      <c r="Z65" s="2" t="str">
        <f ca="1">IFERROR(__xludf.DUMMYFUNCTION("""COMPUTED_VALUE"""),"")</f>
        <v/>
      </c>
      <c r="AA65" s="2" t="str">
        <f ca="1">IFERROR(__xludf.DUMMYFUNCTION("""COMPUTED_VALUE"""),"")</f>
        <v/>
      </c>
      <c r="AB65" s="2" t="str">
        <f ca="1">IFERROR(__xludf.DUMMYFUNCTION("""COMPUTED_VALUE"""),"")</f>
        <v/>
      </c>
      <c r="AC65" s="2" t="str">
        <f ca="1">IFERROR(__xludf.DUMMYFUNCTION("""COMPUTED_VALUE"""),"")</f>
        <v/>
      </c>
      <c r="AD65" s="2" t="str">
        <f ca="1">IFERROR(__xludf.DUMMYFUNCTION("""COMPUTED_VALUE"""),"")</f>
        <v/>
      </c>
      <c r="AE65" s="2" t="str">
        <f ca="1">IFERROR(__xludf.DUMMYFUNCTION("""COMPUTED_VALUE"""),"")</f>
        <v/>
      </c>
      <c r="AF65" s="2" t="str">
        <f ca="1">IFERROR(__xludf.DUMMYFUNCTION("""COMPUTED_VALUE"""),"")</f>
        <v/>
      </c>
      <c r="AG65" s="2" t="str">
        <f ca="1">IFERROR(__xludf.DUMMYFUNCTION("""COMPUTED_VALUE"""),"")</f>
        <v/>
      </c>
      <c r="AH65" s="2" t="str">
        <f ca="1">IFERROR(__xludf.DUMMYFUNCTION("""COMPUTED_VALUE"""),"")</f>
        <v/>
      </c>
      <c r="AI65" s="2" t="str">
        <f ca="1">IFERROR(__xludf.DUMMYFUNCTION("""COMPUTED_VALUE"""),"")</f>
        <v/>
      </c>
      <c r="AJ65" s="2" t="str">
        <f ca="1">IFERROR(__xludf.DUMMYFUNCTION("""COMPUTED_VALUE"""),"")</f>
        <v/>
      </c>
      <c r="AK65" s="2" t="str">
        <f ca="1">IFERROR(__xludf.DUMMYFUNCTION("""COMPUTED_VALUE"""),"")</f>
        <v/>
      </c>
      <c r="AL65" s="2" t="str">
        <f ca="1">IFERROR(__xludf.DUMMYFUNCTION("""COMPUTED_VALUE"""),"")</f>
        <v/>
      </c>
      <c r="AM65" s="2" t="str">
        <f ca="1">IFERROR(__xludf.DUMMYFUNCTION("""COMPUTED_VALUE"""),"")</f>
        <v/>
      </c>
      <c r="AN65" s="2" t="str">
        <f ca="1">IFERROR(__xludf.DUMMYFUNCTION("""COMPUTED_VALUE"""),"")</f>
        <v/>
      </c>
      <c r="AO65" s="2" t="str">
        <f ca="1">IFERROR(__xludf.DUMMYFUNCTION("""COMPUTED_VALUE"""),"")</f>
        <v/>
      </c>
      <c r="AP65" s="2" t="str">
        <f ca="1">IFERROR(__xludf.DUMMYFUNCTION("""COMPUTED_VALUE"""),"")</f>
        <v/>
      </c>
      <c r="AQ65" s="2" t="str">
        <f ca="1">IFERROR(__xludf.DUMMYFUNCTION("""COMPUTED_VALUE"""),"")</f>
        <v/>
      </c>
      <c r="AR65" s="2" t="str">
        <f ca="1">IFERROR(__xludf.DUMMYFUNCTION("""COMPUTED_VALUE"""),"")</f>
        <v/>
      </c>
      <c r="AS65" s="2" t="str">
        <f ca="1">IFERROR(__xludf.DUMMYFUNCTION("""COMPUTED_VALUE"""),"")</f>
        <v/>
      </c>
      <c r="AT65" s="2" t="str">
        <f ca="1">IFERROR(__xludf.DUMMYFUNCTION("""COMPUTED_VALUE"""),"")</f>
        <v/>
      </c>
      <c r="AU65" s="2" t="str">
        <f ca="1">IFERROR(__xludf.DUMMYFUNCTION("""COMPUTED_VALUE"""),"")</f>
        <v/>
      </c>
      <c r="AV65" s="2" t="str">
        <f ca="1">IFERROR(__xludf.DUMMYFUNCTION("""COMPUTED_VALUE"""),"")</f>
        <v/>
      </c>
      <c r="AW65" s="2" t="str">
        <f ca="1">IFERROR(__xludf.DUMMYFUNCTION("""COMPUTED_VALUE"""),"")</f>
        <v/>
      </c>
      <c r="AX65" s="2" t="str">
        <f ca="1">IFERROR(__xludf.DUMMYFUNCTION("""COMPUTED_VALUE"""),"")</f>
        <v/>
      </c>
      <c r="AY65" s="2" t="str">
        <f ca="1">IFERROR(__xludf.DUMMYFUNCTION("""COMPUTED_VALUE"""),"")</f>
        <v/>
      </c>
      <c r="AZ65" s="2" t="str">
        <f ca="1">IFERROR(__xludf.DUMMYFUNCTION("""COMPUTED_VALUE"""),"3D")</f>
        <v>3D</v>
      </c>
      <c r="BA65" s="2">
        <f ca="1">IFERROR(__xludf.DUMMYFUNCTION("""COMPUTED_VALUE"""),1785563)</f>
        <v>1785563</v>
      </c>
      <c r="BB65" s="2">
        <f ca="1">IFERROR(__xludf.DUMMYFUNCTION("""COMPUTED_VALUE"""),5867349)</f>
        <v>5867349</v>
      </c>
      <c r="BC65" s="2" t="str">
        <f ca="1">IFERROR(__xludf.DUMMYFUNCTION("""COMPUTED_VALUE"""),"Lat/Long: -37.3219986;175.0942841;Fix accuracy = OK")</f>
        <v>Lat/Long: -37.3219986;175.0942841;Fix accuracy = OK</v>
      </c>
      <c r="BD65" s="2" t="str">
        <f ca="1">IFERROR(__xludf.DUMMYFUNCTION("""COMPUTED_VALUE"""),"")</f>
        <v/>
      </c>
      <c r="BE65" s="2" t="str">
        <f ca="1">IFERROR(__xludf.DUMMYFUNCTION("""COMPUTED_VALUE"""),"")</f>
        <v/>
      </c>
      <c r="BF65" t="str">
        <f ca="1">IFERROR(__xludf.DUMMYFUNCTION("""COMPUTED_VALUE"""),"")</f>
        <v/>
      </c>
      <c r="BG65" t="str">
        <f ca="1">IFERROR(__xludf.DUMMYFUNCTION("""COMPUTED_VALUE"""),"")</f>
        <v/>
      </c>
      <c r="BH65" s="2" t="str">
        <f ca="1">IFERROR(__xludf.DUMMYFUNCTION("""COMPUTED_VALUE"""),"")</f>
        <v/>
      </c>
      <c r="BI65" s="12" t="str">
        <f ca="1">IFERROR(__xludf.DUMMYFUNCTION("""COMPUTED_VALUE"""),"")</f>
        <v/>
      </c>
      <c r="BJ65" s="9" t="str">
        <f ca="1">IFERROR(__xludf.DUMMYFUNCTION("""COMPUTED_VALUE"""),"")</f>
        <v/>
      </c>
      <c r="BK65" s="4" t="str">
        <f ca="1">IFERROR(__xludf.DUMMYFUNCTION("""COMPUTED_VALUE"""),"")</f>
        <v/>
      </c>
    </row>
    <row r="66" spans="1:63" ht="12.5" x14ac:dyDescent="0.25">
      <c r="A66" s="7">
        <f ca="1">IFERROR(__xludf.DUMMYFUNCTION("""COMPUTED_VALUE"""),43297.8819444444)</f>
        <v>43297.881944444402</v>
      </c>
      <c r="B66" s="8" t="str">
        <f ca="1">IFERROR(__xludf.DUMMYFUNCTION("""COMPUTED_VALUE"""),"Waikato")</f>
        <v>Waikato</v>
      </c>
      <c r="C66" s="2" t="str">
        <f ca="1">IFERROR(__xludf.DUMMYFUNCTION("""COMPUTED_VALUE"""),"")</f>
        <v/>
      </c>
      <c r="D66" s="9">
        <f ca="1">IFERROR(__xludf.DUMMYFUNCTION("""COMPUTED_VALUE"""),43238)</f>
        <v>43238</v>
      </c>
      <c r="E66" s="4">
        <f ca="1">IFERROR(__xludf.DUMMYFUNCTION("""COMPUTED_VALUE"""),0.33194444444598)</f>
        <v>0.33194444444597998</v>
      </c>
      <c r="F66" s="2" t="str">
        <f ca="1">IFERROR(__xludf.DUMMYFUNCTION("""COMPUTED_VALUE"""),"Whangamarino - Lower Whangamarino river")</f>
        <v>Whangamarino - Lower Whangamarino river</v>
      </c>
      <c r="G66" s="2" t="str">
        <f ca="1">IFERROR(__xludf.DUMMYFUNCTION("""COMPUTED_VALUE"""),"GPS: I converted data downloaded from ARGOS using Pinpoint software")</f>
        <v>GPS: I converted data downloaded from ARGOS using Pinpoint software</v>
      </c>
      <c r="H66" s="2" t="str">
        <f ca="1">IFERROR(__xludf.DUMMYFUNCTION("""COMPUTED_VALUE"""),"")</f>
        <v/>
      </c>
      <c r="I66" s="2" t="str">
        <f ca="1">IFERROR(__xludf.DUMMYFUNCTION("""COMPUTED_VALUE"""),"")</f>
        <v/>
      </c>
      <c r="J66" s="2" t="str">
        <f ca="1">IFERROR(__xludf.DUMMYFUNCTION("""COMPUTED_VALUE"""),"")</f>
        <v/>
      </c>
      <c r="K66" s="2" t="str">
        <f ca="1">IFERROR(__xludf.DUMMYFUNCTION("""COMPUTED_VALUE"""),"")</f>
        <v/>
      </c>
      <c r="L66" s="2" t="str">
        <f ca="1">IFERROR(__xludf.DUMMYFUNCTION("""COMPUTED_VALUE"""),"")</f>
        <v/>
      </c>
      <c r="M66" s="5" t="str">
        <f ca="1">IFERROR(__xludf.DUMMYFUNCTION("""COMPUTED_VALUE"""),"")</f>
        <v/>
      </c>
      <c r="N66" s="5" t="str">
        <f ca="1">IFERROR(__xludf.DUMMYFUNCTION("""COMPUTED_VALUE"""),"")</f>
        <v/>
      </c>
      <c r="O66" s="2" t="str">
        <f ca="1">IFERROR(__xludf.DUMMYFUNCTION("""COMPUTED_VALUE"""),"")</f>
        <v/>
      </c>
      <c r="P66" s="2" t="str">
        <f ca="1">IFERROR(__xludf.DUMMYFUNCTION("""COMPUTED_VALUE"""),"")</f>
        <v/>
      </c>
      <c r="Q66" s="2" t="str">
        <f ca="1">IFERROR(__xludf.DUMMYFUNCTION("""COMPUTED_VALUE"""),"")</f>
        <v/>
      </c>
      <c r="R66" s="2" t="str">
        <f ca="1">IFERROR(__xludf.DUMMYFUNCTION("""COMPUTED_VALUE"""),"")</f>
        <v/>
      </c>
      <c r="S66" s="2" t="str">
        <f ca="1">IFERROR(__xludf.DUMMYFUNCTION("""COMPUTED_VALUE"""),"")</f>
        <v/>
      </c>
      <c r="T66" s="2" t="str">
        <f ca="1">IFERROR(__xludf.DUMMYFUNCTION("""COMPUTED_VALUE"""),"")</f>
        <v/>
      </c>
      <c r="U66" s="2" t="str">
        <f ca="1">IFERROR(__xludf.DUMMYFUNCTION("""COMPUTED_VALUE"""),"")</f>
        <v/>
      </c>
      <c r="V66" s="2" t="str">
        <f ca="1">IFERROR(__xludf.DUMMYFUNCTION("""COMPUTED_VALUE"""),"")</f>
        <v/>
      </c>
      <c r="W66" s="2" t="str">
        <f ca="1">IFERROR(__xludf.DUMMYFUNCTION("""COMPUTED_VALUE"""),"")</f>
        <v/>
      </c>
      <c r="X66" s="2" t="str">
        <f ca="1">IFERROR(__xludf.DUMMYFUNCTION("""COMPUTED_VALUE"""),"")</f>
        <v/>
      </c>
      <c r="Y66" s="2" t="str">
        <f ca="1">IFERROR(__xludf.DUMMYFUNCTION("""COMPUTED_VALUE"""),"")</f>
        <v/>
      </c>
      <c r="Z66" s="2" t="str">
        <f ca="1">IFERROR(__xludf.DUMMYFUNCTION("""COMPUTED_VALUE"""),"")</f>
        <v/>
      </c>
      <c r="AA66" s="2" t="str">
        <f ca="1">IFERROR(__xludf.DUMMYFUNCTION("""COMPUTED_VALUE"""),"")</f>
        <v/>
      </c>
      <c r="AB66" s="2" t="str">
        <f ca="1">IFERROR(__xludf.DUMMYFUNCTION("""COMPUTED_VALUE"""),"")</f>
        <v/>
      </c>
      <c r="AC66" s="2" t="str">
        <f ca="1">IFERROR(__xludf.DUMMYFUNCTION("""COMPUTED_VALUE"""),"")</f>
        <v/>
      </c>
      <c r="AD66" s="2" t="str">
        <f ca="1">IFERROR(__xludf.DUMMYFUNCTION("""COMPUTED_VALUE"""),"")</f>
        <v/>
      </c>
      <c r="AE66" s="2" t="str">
        <f ca="1">IFERROR(__xludf.DUMMYFUNCTION("""COMPUTED_VALUE"""),"")</f>
        <v/>
      </c>
      <c r="AF66" s="2" t="str">
        <f ca="1">IFERROR(__xludf.DUMMYFUNCTION("""COMPUTED_VALUE"""),"")</f>
        <v/>
      </c>
      <c r="AG66" s="2" t="str">
        <f ca="1">IFERROR(__xludf.DUMMYFUNCTION("""COMPUTED_VALUE"""),"")</f>
        <v/>
      </c>
      <c r="AH66" s="2" t="str">
        <f ca="1">IFERROR(__xludf.DUMMYFUNCTION("""COMPUTED_VALUE"""),"")</f>
        <v/>
      </c>
      <c r="AI66" s="2" t="str">
        <f ca="1">IFERROR(__xludf.DUMMYFUNCTION("""COMPUTED_VALUE"""),"")</f>
        <v/>
      </c>
      <c r="AJ66" s="2" t="str">
        <f ca="1">IFERROR(__xludf.DUMMYFUNCTION("""COMPUTED_VALUE"""),"")</f>
        <v/>
      </c>
      <c r="AK66" s="2" t="str">
        <f ca="1">IFERROR(__xludf.DUMMYFUNCTION("""COMPUTED_VALUE"""),"")</f>
        <v/>
      </c>
      <c r="AL66" s="2" t="str">
        <f ca="1">IFERROR(__xludf.DUMMYFUNCTION("""COMPUTED_VALUE"""),"")</f>
        <v/>
      </c>
      <c r="AM66" s="2" t="str">
        <f ca="1">IFERROR(__xludf.DUMMYFUNCTION("""COMPUTED_VALUE"""),"")</f>
        <v/>
      </c>
      <c r="AN66" s="2" t="str">
        <f ca="1">IFERROR(__xludf.DUMMYFUNCTION("""COMPUTED_VALUE"""),"")</f>
        <v/>
      </c>
      <c r="AO66" s="2" t="str">
        <f ca="1">IFERROR(__xludf.DUMMYFUNCTION("""COMPUTED_VALUE"""),"")</f>
        <v/>
      </c>
      <c r="AP66" s="2" t="str">
        <f ca="1">IFERROR(__xludf.DUMMYFUNCTION("""COMPUTED_VALUE"""),"")</f>
        <v/>
      </c>
      <c r="AQ66" s="2" t="str">
        <f ca="1">IFERROR(__xludf.DUMMYFUNCTION("""COMPUTED_VALUE"""),"")</f>
        <v/>
      </c>
      <c r="AR66" s="2" t="str">
        <f ca="1">IFERROR(__xludf.DUMMYFUNCTION("""COMPUTED_VALUE"""),"")</f>
        <v/>
      </c>
      <c r="AS66" s="2" t="str">
        <f ca="1">IFERROR(__xludf.DUMMYFUNCTION("""COMPUTED_VALUE"""),"")</f>
        <v/>
      </c>
      <c r="AT66" s="2" t="str">
        <f ca="1">IFERROR(__xludf.DUMMYFUNCTION("""COMPUTED_VALUE"""),"")</f>
        <v/>
      </c>
      <c r="AU66" s="2" t="str">
        <f ca="1">IFERROR(__xludf.DUMMYFUNCTION("""COMPUTED_VALUE"""),"")</f>
        <v/>
      </c>
      <c r="AV66" s="2" t="str">
        <f ca="1">IFERROR(__xludf.DUMMYFUNCTION("""COMPUTED_VALUE"""),"")</f>
        <v/>
      </c>
      <c r="AW66" s="2" t="str">
        <f ca="1">IFERROR(__xludf.DUMMYFUNCTION("""COMPUTED_VALUE"""),"")</f>
        <v/>
      </c>
      <c r="AX66" s="2" t="str">
        <f ca="1">IFERROR(__xludf.DUMMYFUNCTION("""COMPUTED_VALUE"""),"")</f>
        <v/>
      </c>
      <c r="AY66" s="2" t="str">
        <f ca="1">IFERROR(__xludf.DUMMYFUNCTION("""COMPUTED_VALUE"""),"")</f>
        <v/>
      </c>
      <c r="AZ66" s="2" t="str">
        <f ca="1">IFERROR(__xludf.DUMMYFUNCTION("""COMPUTED_VALUE"""),"3D")</f>
        <v>3D</v>
      </c>
      <c r="BA66" s="2">
        <f ca="1">IFERROR(__xludf.DUMMYFUNCTION("""COMPUTED_VALUE"""),1785635)</f>
        <v>1785635</v>
      </c>
      <c r="BB66" s="2">
        <f ca="1">IFERROR(__xludf.DUMMYFUNCTION("""COMPUTED_VALUE"""),5867390)</f>
        <v>5867390</v>
      </c>
      <c r="BC66" s="2" t="str">
        <f ca="1">IFERROR(__xludf.DUMMYFUNCTION("""COMPUTED_VALUE"""),"Lat/Long: -37.3216133;175.0950775;Fix accuracy = OK")</f>
        <v>Lat/Long: -37.3216133;175.0950775;Fix accuracy = OK</v>
      </c>
      <c r="BD66" s="2" t="str">
        <f ca="1">IFERROR(__xludf.DUMMYFUNCTION("""COMPUTED_VALUE"""),"")</f>
        <v/>
      </c>
      <c r="BE66" s="2" t="str">
        <f ca="1">IFERROR(__xludf.DUMMYFUNCTION("""COMPUTED_VALUE"""),"")</f>
        <v/>
      </c>
      <c r="BF66" t="str">
        <f ca="1">IFERROR(__xludf.DUMMYFUNCTION("""COMPUTED_VALUE"""),"")</f>
        <v/>
      </c>
      <c r="BG66" t="str">
        <f ca="1">IFERROR(__xludf.DUMMYFUNCTION("""COMPUTED_VALUE"""),"")</f>
        <v/>
      </c>
      <c r="BH66" s="2" t="str">
        <f ca="1">IFERROR(__xludf.DUMMYFUNCTION("""COMPUTED_VALUE"""),"")</f>
        <v/>
      </c>
      <c r="BI66" s="13" t="str">
        <f ca="1">IFERROR(__xludf.DUMMYFUNCTION("""COMPUTED_VALUE"""),"")</f>
        <v/>
      </c>
      <c r="BJ66" s="9" t="str">
        <f ca="1">IFERROR(__xludf.DUMMYFUNCTION("""COMPUTED_VALUE"""),"")</f>
        <v/>
      </c>
      <c r="BK66" s="4" t="str">
        <f ca="1">IFERROR(__xludf.DUMMYFUNCTION("""COMPUTED_VALUE"""),"")</f>
        <v/>
      </c>
    </row>
    <row r="67" spans="1:63" ht="12.5" x14ac:dyDescent="0.25">
      <c r="A67" s="7">
        <f ca="1">IFERROR(__xludf.DUMMYFUNCTION("""COMPUTED_VALUE"""),43297.8819444444)</f>
        <v>43297.881944444402</v>
      </c>
      <c r="B67" s="8" t="str">
        <f ca="1">IFERROR(__xludf.DUMMYFUNCTION("""COMPUTED_VALUE"""),"Waikato")</f>
        <v>Waikato</v>
      </c>
      <c r="C67" s="2" t="str">
        <f ca="1">IFERROR(__xludf.DUMMYFUNCTION("""COMPUTED_VALUE"""),"")</f>
        <v/>
      </c>
      <c r="D67" s="9">
        <f ca="1">IFERROR(__xludf.DUMMYFUNCTION("""COMPUTED_VALUE"""),43252)</f>
        <v>43252</v>
      </c>
      <c r="E67" s="4">
        <f ca="1">IFERROR(__xludf.DUMMYFUNCTION("""COMPUTED_VALUE"""),0.33194444444598)</f>
        <v>0.33194444444597998</v>
      </c>
      <c r="F67" s="2" t="str">
        <f ca="1">IFERROR(__xludf.DUMMYFUNCTION("""COMPUTED_VALUE"""),"Whangamarino - Peat bog North Peter Buckleys")</f>
        <v>Whangamarino - Peat bog North Peter Buckleys</v>
      </c>
      <c r="G67" s="2" t="str">
        <f ca="1">IFERROR(__xludf.DUMMYFUNCTION("""COMPUTED_VALUE"""),"GPS: I converted data downloaded from ARGOS using Pinpoint software")</f>
        <v>GPS: I converted data downloaded from ARGOS using Pinpoint software</v>
      </c>
      <c r="H67" s="2" t="str">
        <f ca="1">IFERROR(__xludf.DUMMYFUNCTION("""COMPUTED_VALUE"""),"")</f>
        <v/>
      </c>
      <c r="I67" s="2" t="str">
        <f ca="1">IFERROR(__xludf.DUMMYFUNCTION("""COMPUTED_VALUE"""),"")</f>
        <v/>
      </c>
      <c r="J67" s="2" t="str">
        <f ca="1">IFERROR(__xludf.DUMMYFUNCTION("""COMPUTED_VALUE"""),"")</f>
        <v/>
      </c>
      <c r="K67" s="2" t="str">
        <f ca="1">IFERROR(__xludf.DUMMYFUNCTION("""COMPUTED_VALUE"""),"")</f>
        <v/>
      </c>
      <c r="L67" s="2" t="str">
        <f ca="1">IFERROR(__xludf.DUMMYFUNCTION("""COMPUTED_VALUE"""),"")</f>
        <v/>
      </c>
      <c r="M67" s="5" t="str">
        <f ca="1">IFERROR(__xludf.DUMMYFUNCTION("""COMPUTED_VALUE"""),"")</f>
        <v/>
      </c>
      <c r="N67" s="5" t="str">
        <f ca="1">IFERROR(__xludf.DUMMYFUNCTION("""COMPUTED_VALUE"""),"")</f>
        <v/>
      </c>
      <c r="O67" s="2" t="str">
        <f ca="1">IFERROR(__xludf.DUMMYFUNCTION("""COMPUTED_VALUE"""),"")</f>
        <v/>
      </c>
      <c r="P67" s="2" t="str">
        <f ca="1">IFERROR(__xludf.DUMMYFUNCTION("""COMPUTED_VALUE"""),"")</f>
        <v/>
      </c>
      <c r="Q67" s="2" t="str">
        <f ca="1">IFERROR(__xludf.DUMMYFUNCTION("""COMPUTED_VALUE"""),"")</f>
        <v/>
      </c>
      <c r="R67" s="2" t="str">
        <f ca="1">IFERROR(__xludf.DUMMYFUNCTION("""COMPUTED_VALUE"""),"")</f>
        <v/>
      </c>
      <c r="S67" s="2" t="str">
        <f ca="1">IFERROR(__xludf.DUMMYFUNCTION("""COMPUTED_VALUE"""),"")</f>
        <v/>
      </c>
      <c r="T67" s="2" t="str">
        <f ca="1">IFERROR(__xludf.DUMMYFUNCTION("""COMPUTED_VALUE"""),"")</f>
        <v/>
      </c>
      <c r="U67" s="2" t="str">
        <f ca="1">IFERROR(__xludf.DUMMYFUNCTION("""COMPUTED_VALUE"""),"")</f>
        <v/>
      </c>
      <c r="V67" s="2" t="str">
        <f ca="1">IFERROR(__xludf.DUMMYFUNCTION("""COMPUTED_VALUE"""),"")</f>
        <v/>
      </c>
      <c r="W67" s="2" t="str">
        <f ca="1">IFERROR(__xludf.DUMMYFUNCTION("""COMPUTED_VALUE"""),"")</f>
        <v/>
      </c>
      <c r="X67" s="2" t="str">
        <f ca="1">IFERROR(__xludf.DUMMYFUNCTION("""COMPUTED_VALUE"""),"")</f>
        <v/>
      </c>
      <c r="Y67" s="2" t="str">
        <f ca="1">IFERROR(__xludf.DUMMYFUNCTION("""COMPUTED_VALUE"""),"")</f>
        <v/>
      </c>
      <c r="Z67" s="2" t="str">
        <f ca="1">IFERROR(__xludf.DUMMYFUNCTION("""COMPUTED_VALUE"""),"")</f>
        <v/>
      </c>
      <c r="AA67" s="2" t="str">
        <f ca="1">IFERROR(__xludf.DUMMYFUNCTION("""COMPUTED_VALUE"""),"")</f>
        <v/>
      </c>
      <c r="AB67" s="2" t="str">
        <f ca="1">IFERROR(__xludf.DUMMYFUNCTION("""COMPUTED_VALUE"""),"")</f>
        <v/>
      </c>
      <c r="AC67" s="2" t="str">
        <f ca="1">IFERROR(__xludf.DUMMYFUNCTION("""COMPUTED_VALUE"""),"")</f>
        <v/>
      </c>
      <c r="AD67" s="2" t="str">
        <f ca="1">IFERROR(__xludf.DUMMYFUNCTION("""COMPUTED_VALUE"""),"")</f>
        <v/>
      </c>
      <c r="AE67" s="2" t="str">
        <f ca="1">IFERROR(__xludf.DUMMYFUNCTION("""COMPUTED_VALUE"""),"")</f>
        <v/>
      </c>
      <c r="AF67" s="2" t="str">
        <f ca="1">IFERROR(__xludf.DUMMYFUNCTION("""COMPUTED_VALUE"""),"")</f>
        <v/>
      </c>
      <c r="AG67" s="2" t="str">
        <f ca="1">IFERROR(__xludf.DUMMYFUNCTION("""COMPUTED_VALUE"""),"")</f>
        <v/>
      </c>
      <c r="AH67" s="2" t="str">
        <f ca="1">IFERROR(__xludf.DUMMYFUNCTION("""COMPUTED_VALUE"""),"")</f>
        <v/>
      </c>
      <c r="AI67" s="2" t="str">
        <f ca="1">IFERROR(__xludf.DUMMYFUNCTION("""COMPUTED_VALUE"""),"")</f>
        <v/>
      </c>
      <c r="AJ67" s="2" t="str">
        <f ca="1">IFERROR(__xludf.DUMMYFUNCTION("""COMPUTED_VALUE"""),"")</f>
        <v/>
      </c>
      <c r="AK67" s="2" t="str">
        <f ca="1">IFERROR(__xludf.DUMMYFUNCTION("""COMPUTED_VALUE"""),"")</f>
        <v/>
      </c>
      <c r="AL67" s="2" t="str">
        <f ca="1">IFERROR(__xludf.DUMMYFUNCTION("""COMPUTED_VALUE"""),"")</f>
        <v/>
      </c>
      <c r="AM67" s="2" t="str">
        <f ca="1">IFERROR(__xludf.DUMMYFUNCTION("""COMPUTED_VALUE"""),"")</f>
        <v/>
      </c>
      <c r="AN67" s="2" t="str">
        <f ca="1">IFERROR(__xludf.DUMMYFUNCTION("""COMPUTED_VALUE"""),"")</f>
        <v/>
      </c>
      <c r="AO67" s="2" t="str">
        <f ca="1">IFERROR(__xludf.DUMMYFUNCTION("""COMPUTED_VALUE"""),"")</f>
        <v/>
      </c>
      <c r="AP67" s="2" t="str">
        <f ca="1">IFERROR(__xludf.DUMMYFUNCTION("""COMPUTED_VALUE"""),"")</f>
        <v/>
      </c>
      <c r="AQ67" s="2" t="str">
        <f ca="1">IFERROR(__xludf.DUMMYFUNCTION("""COMPUTED_VALUE"""),"")</f>
        <v/>
      </c>
      <c r="AR67" s="2" t="str">
        <f ca="1">IFERROR(__xludf.DUMMYFUNCTION("""COMPUTED_VALUE"""),"")</f>
        <v/>
      </c>
      <c r="AS67" s="2" t="str">
        <f ca="1">IFERROR(__xludf.DUMMYFUNCTION("""COMPUTED_VALUE"""),"")</f>
        <v/>
      </c>
      <c r="AT67" s="2" t="str">
        <f ca="1">IFERROR(__xludf.DUMMYFUNCTION("""COMPUTED_VALUE"""),"")</f>
        <v/>
      </c>
      <c r="AU67" s="2" t="str">
        <f ca="1">IFERROR(__xludf.DUMMYFUNCTION("""COMPUTED_VALUE"""),"")</f>
        <v/>
      </c>
      <c r="AV67" s="2" t="str">
        <f ca="1">IFERROR(__xludf.DUMMYFUNCTION("""COMPUTED_VALUE"""),"")</f>
        <v/>
      </c>
      <c r="AW67" s="2" t="str">
        <f ca="1">IFERROR(__xludf.DUMMYFUNCTION("""COMPUTED_VALUE"""),"")</f>
        <v/>
      </c>
      <c r="AX67" s="2" t="str">
        <f ca="1">IFERROR(__xludf.DUMMYFUNCTION("""COMPUTED_VALUE"""),"")</f>
        <v/>
      </c>
      <c r="AY67" s="2" t="str">
        <f ca="1">IFERROR(__xludf.DUMMYFUNCTION("""COMPUTED_VALUE"""),"")</f>
        <v/>
      </c>
      <c r="AZ67" s="2" t="str">
        <f ca="1">IFERROR(__xludf.DUMMYFUNCTION("""COMPUTED_VALUE"""),"3D")</f>
        <v>3D</v>
      </c>
      <c r="BA67" s="2">
        <f ca="1">IFERROR(__xludf.DUMMYFUNCTION("""COMPUTED_VALUE"""),1791674)</f>
        <v>1791674</v>
      </c>
      <c r="BB67" s="2">
        <f ca="1">IFERROR(__xludf.DUMMYFUNCTION("""COMPUTED_VALUE"""),5869451)</f>
        <v>5869451</v>
      </c>
      <c r="BC67" s="2" t="str">
        <f ca="1">IFERROR(__xludf.DUMMYFUNCTION("""COMPUTED_VALUE"""),"Lat/Long: -37.3018227;175.1626587;Fix accuracy = OK(corrected)")</f>
        <v>Lat/Long: -37.3018227;175.1626587;Fix accuracy = OK(corrected)</v>
      </c>
      <c r="BD67" s="2" t="str">
        <f ca="1">IFERROR(__xludf.DUMMYFUNCTION("""COMPUTED_VALUE"""),"")</f>
        <v/>
      </c>
      <c r="BE67" s="2" t="str">
        <f ca="1">IFERROR(__xludf.DUMMYFUNCTION("""COMPUTED_VALUE"""),"")</f>
        <v/>
      </c>
      <c r="BF67" t="str">
        <f ca="1">IFERROR(__xludf.DUMMYFUNCTION("""COMPUTED_VALUE"""),"")</f>
        <v/>
      </c>
      <c r="BG67" t="str">
        <f ca="1">IFERROR(__xludf.DUMMYFUNCTION("""COMPUTED_VALUE"""),"")</f>
        <v/>
      </c>
      <c r="BH67" s="2" t="str">
        <f ca="1">IFERROR(__xludf.DUMMYFUNCTION("""COMPUTED_VALUE"""),"")</f>
        <v/>
      </c>
      <c r="BI67" s="12" t="str">
        <f ca="1">IFERROR(__xludf.DUMMYFUNCTION("""COMPUTED_VALUE"""),"")</f>
        <v/>
      </c>
      <c r="BJ67" s="9" t="str">
        <f ca="1">IFERROR(__xludf.DUMMYFUNCTION("""COMPUTED_VALUE"""),"")</f>
        <v/>
      </c>
      <c r="BK67" s="4" t="str">
        <f ca="1">IFERROR(__xludf.DUMMYFUNCTION("""COMPUTED_VALUE"""),"")</f>
        <v/>
      </c>
    </row>
    <row r="68" spans="1:63" ht="12.5" x14ac:dyDescent="0.25">
      <c r="A68" s="7">
        <f ca="1">IFERROR(__xludf.DUMMYFUNCTION("""COMPUTED_VALUE"""),43297.8819444444)</f>
        <v>43297.881944444402</v>
      </c>
      <c r="B68" s="8" t="str">
        <f ca="1">IFERROR(__xludf.DUMMYFUNCTION("""COMPUTED_VALUE"""),"Waikato")</f>
        <v>Waikato</v>
      </c>
      <c r="C68" s="2" t="str">
        <f ca="1">IFERROR(__xludf.DUMMYFUNCTION("""COMPUTED_VALUE"""),"")</f>
        <v/>
      </c>
      <c r="D68" s="9">
        <f ca="1">IFERROR(__xludf.DUMMYFUNCTION("""COMPUTED_VALUE"""),43252)</f>
        <v>43252</v>
      </c>
      <c r="E68" s="4">
        <f ca="1">IFERROR(__xludf.DUMMYFUNCTION("""COMPUTED_VALUE"""),0.33194444444598)</f>
        <v>0.33194444444597998</v>
      </c>
      <c r="F68" s="2" t="str">
        <f ca="1">IFERROR(__xludf.DUMMYFUNCTION("""COMPUTED_VALUE"""),"Whangamarino - Peat bog North Peter Buckleys")</f>
        <v>Whangamarino - Peat bog North Peter Buckleys</v>
      </c>
      <c r="G68" s="2" t="str">
        <f ca="1">IFERROR(__xludf.DUMMYFUNCTION("""COMPUTED_VALUE"""),"GPS: I converted data downloaded from ARGOS using Pinpoint software")</f>
        <v>GPS: I converted data downloaded from ARGOS using Pinpoint software</v>
      </c>
      <c r="H68" s="2" t="str">
        <f ca="1">IFERROR(__xludf.DUMMYFUNCTION("""COMPUTED_VALUE"""),"")</f>
        <v/>
      </c>
      <c r="I68" s="2" t="str">
        <f ca="1">IFERROR(__xludf.DUMMYFUNCTION("""COMPUTED_VALUE"""),"")</f>
        <v/>
      </c>
      <c r="J68" s="2" t="str">
        <f ca="1">IFERROR(__xludf.DUMMYFUNCTION("""COMPUTED_VALUE"""),"")</f>
        <v/>
      </c>
      <c r="K68" s="2" t="str">
        <f ca="1">IFERROR(__xludf.DUMMYFUNCTION("""COMPUTED_VALUE"""),"")</f>
        <v/>
      </c>
      <c r="L68" s="2" t="str">
        <f ca="1">IFERROR(__xludf.DUMMYFUNCTION("""COMPUTED_VALUE"""),"")</f>
        <v/>
      </c>
      <c r="M68" s="5" t="str">
        <f ca="1">IFERROR(__xludf.DUMMYFUNCTION("""COMPUTED_VALUE"""),"")</f>
        <v/>
      </c>
      <c r="N68" s="5" t="str">
        <f ca="1">IFERROR(__xludf.DUMMYFUNCTION("""COMPUTED_VALUE"""),"")</f>
        <v/>
      </c>
      <c r="O68" s="2" t="str">
        <f ca="1">IFERROR(__xludf.DUMMYFUNCTION("""COMPUTED_VALUE"""),"")</f>
        <v/>
      </c>
      <c r="P68" s="2" t="str">
        <f ca="1">IFERROR(__xludf.DUMMYFUNCTION("""COMPUTED_VALUE"""),"")</f>
        <v/>
      </c>
      <c r="Q68" s="2" t="str">
        <f ca="1">IFERROR(__xludf.DUMMYFUNCTION("""COMPUTED_VALUE"""),"")</f>
        <v/>
      </c>
      <c r="R68" s="2" t="str">
        <f ca="1">IFERROR(__xludf.DUMMYFUNCTION("""COMPUTED_VALUE"""),"")</f>
        <v/>
      </c>
      <c r="S68" s="2" t="str">
        <f ca="1">IFERROR(__xludf.DUMMYFUNCTION("""COMPUTED_VALUE"""),"")</f>
        <v/>
      </c>
      <c r="T68" s="2" t="str">
        <f ca="1">IFERROR(__xludf.DUMMYFUNCTION("""COMPUTED_VALUE"""),"")</f>
        <v/>
      </c>
      <c r="U68" s="2" t="str">
        <f ca="1">IFERROR(__xludf.DUMMYFUNCTION("""COMPUTED_VALUE"""),"")</f>
        <v/>
      </c>
      <c r="V68" s="2" t="str">
        <f ca="1">IFERROR(__xludf.DUMMYFUNCTION("""COMPUTED_VALUE"""),"")</f>
        <v/>
      </c>
      <c r="W68" s="2" t="str">
        <f ca="1">IFERROR(__xludf.DUMMYFUNCTION("""COMPUTED_VALUE"""),"")</f>
        <v/>
      </c>
      <c r="X68" s="2" t="str">
        <f ca="1">IFERROR(__xludf.DUMMYFUNCTION("""COMPUTED_VALUE"""),"")</f>
        <v/>
      </c>
      <c r="Y68" s="2" t="str">
        <f ca="1">IFERROR(__xludf.DUMMYFUNCTION("""COMPUTED_VALUE"""),"")</f>
        <v/>
      </c>
      <c r="Z68" s="2" t="str">
        <f ca="1">IFERROR(__xludf.DUMMYFUNCTION("""COMPUTED_VALUE"""),"")</f>
        <v/>
      </c>
      <c r="AA68" s="2" t="str">
        <f ca="1">IFERROR(__xludf.DUMMYFUNCTION("""COMPUTED_VALUE"""),"")</f>
        <v/>
      </c>
      <c r="AB68" s="2" t="str">
        <f ca="1">IFERROR(__xludf.DUMMYFUNCTION("""COMPUTED_VALUE"""),"")</f>
        <v/>
      </c>
      <c r="AC68" s="2" t="str">
        <f ca="1">IFERROR(__xludf.DUMMYFUNCTION("""COMPUTED_VALUE"""),"")</f>
        <v/>
      </c>
      <c r="AD68" s="2" t="str">
        <f ca="1">IFERROR(__xludf.DUMMYFUNCTION("""COMPUTED_VALUE"""),"")</f>
        <v/>
      </c>
      <c r="AE68" s="2" t="str">
        <f ca="1">IFERROR(__xludf.DUMMYFUNCTION("""COMPUTED_VALUE"""),"")</f>
        <v/>
      </c>
      <c r="AF68" s="2" t="str">
        <f ca="1">IFERROR(__xludf.DUMMYFUNCTION("""COMPUTED_VALUE"""),"")</f>
        <v/>
      </c>
      <c r="AG68" s="2" t="str">
        <f ca="1">IFERROR(__xludf.DUMMYFUNCTION("""COMPUTED_VALUE"""),"")</f>
        <v/>
      </c>
      <c r="AH68" s="2" t="str">
        <f ca="1">IFERROR(__xludf.DUMMYFUNCTION("""COMPUTED_VALUE"""),"")</f>
        <v/>
      </c>
      <c r="AI68" s="2" t="str">
        <f ca="1">IFERROR(__xludf.DUMMYFUNCTION("""COMPUTED_VALUE"""),"")</f>
        <v/>
      </c>
      <c r="AJ68" s="2" t="str">
        <f ca="1">IFERROR(__xludf.DUMMYFUNCTION("""COMPUTED_VALUE"""),"")</f>
        <v/>
      </c>
      <c r="AK68" s="2" t="str">
        <f ca="1">IFERROR(__xludf.DUMMYFUNCTION("""COMPUTED_VALUE"""),"")</f>
        <v/>
      </c>
      <c r="AL68" s="2" t="str">
        <f ca="1">IFERROR(__xludf.DUMMYFUNCTION("""COMPUTED_VALUE"""),"")</f>
        <v/>
      </c>
      <c r="AM68" s="2" t="str">
        <f ca="1">IFERROR(__xludf.DUMMYFUNCTION("""COMPUTED_VALUE"""),"")</f>
        <v/>
      </c>
      <c r="AN68" s="2" t="str">
        <f ca="1">IFERROR(__xludf.DUMMYFUNCTION("""COMPUTED_VALUE"""),"")</f>
        <v/>
      </c>
      <c r="AO68" s="2" t="str">
        <f ca="1">IFERROR(__xludf.DUMMYFUNCTION("""COMPUTED_VALUE"""),"")</f>
        <v/>
      </c>
      <c r="AP68" s="2" t="str">
        <f ca="1">IFERROR(__xludf.DUMMYFUNCTION("""COMPUTED_VALUE"""),"")</f>
        <v/>
      </c>
      <c r="AQ68" s="2" t="str">
        <f ca="1">IFERROR(__xludf.DUMMYFUNCTION("""COMPUTED_VALUE"""),"")</f>
        <v/>
      </c>
      <c r="AR68" s="2" t="str">
        <f ca="1">IFERROR(__xludf.DUMMYFUNCTION("""COMPUTED_VALUE"""),"")</f>
        <v/>
      </c>
      <c r="AS68" s="2" t="str">
        <f ca="1">IFERROR(__xludf.DUMMYFUNCTION("""COMPUTED_VALUE"""),"")</f>
        <v/>
      </c>
      <c r="AT68" s="2" t="str">
        <f ca="1">IFERROR(__xludf.DUMMYFUNCTION("""COMPUTED_VALUE"""),"")</f>
        <v/>
      </c>
      <c r="AU68" s="2" t="str">
        <f ca="1">IFERROR(__xludf.DUMMYFUNCTION("""COMPUTED_VALUE"""),"")</f>
        <v/>
      </c>
      <c r="AV68" s="2" t="str">
        <f ca="1">IFERROR(__xludf.DUMMYFUNCTION("""COMPUTED_VALUE"""),"")</f>
        <v/>
      </c>
      <c r="AW68" s="2" t="str">
        <f ca="1">IFERROR(__xludf.DUMMYFUNCTION("""COMPUTED_VALUE"""),"")</f>
        <v/>
      </c>
      <c r="AX68" s="2" t="str">
        <f ca="1">IFERROR(__xludf.DUMMYFUNCTION("""COMPUTED_VALUE"""),"")</f>
        <v/>
      </c>
      <c r="AY68" s="2" t="str">
        <f ca="1">IFERROR(__xludf.DUMMYFUNCTION("""COMPUTED_VALUE"""),"")</f>
        <v/>
      </c>
      <c r="AZ68" s="2" t="str">
        <f ca="1">IFERROR(__xludf.DUMMYFUNCTION("""COMPUTED_VALUE"""),"3D")</f>
        <v>3D</v>
      </c>
      <c r="BA68" s="2">
        <f ca="1">IFERROR(__xludf.DUMMYFUNCTION("""COMPUTED_VALUE"""),1791674)</f>
        <v>1791674</v>
      </c>
      <c r="BB68" s="2">
        <f ca="1">IFERROR(__xludf.DUMMYFUNCTION("""COMPUTED_VALUE"""),5869451)</f>
        <v>5869451</v>
      </c>
      <c r="BC68" s="2" t="str">
        <f ca="1">IFERROR(__xludf.DUMMYFUNCTION("""COMPUTED_VALUE"""),"Lat/Long: -37.3018227;175.1626587;Fix accuracy = Fail")</f>
        <v>Lat/Long: -37.3018227;175.1626587;Fix accuracy = Fail</v>
      </c>
      <c r="BD68" s="2" t="str">
        <f ca="1">IFERROR(__xludf.DUMMYFUNCTION("""COMPUTED_VALUE"""),"")</f>
        <v/>
      </c>
      <c r="BE68" s="2" t="str">
        <f ca="1">IFERROR(__xludf.DUMMYFUNCTION("""COMPUTED_VALUE"""),"")</f>
        <v/>
      </c>
      <c r="BF68" t="str">
        <f ca="1">IFERROR(__xludf.DUMMYFUNCTION("""COMPUTED_VALUE"""),"")</f>
        <v/>
      </c>
      <c r="BG68" t="str">
        <f ca="1">IFERROR(__xludf.DUMMYFUNCTION("""COMPUTED_VALUE"""),"")</f>
        <v/>
      </c>
      <c r="BH68" s="2" t="str">
        <f ca="1">IFERROR(__xludf.DUMMYFUNCTION("""COMPUTED_VALUE"""),"")</f>
        <v/>
      </c>
      <c r="BI68" s="13" t="str">
        <f ca="1">IFERROR(__xludf.DUMMYFUNCTION("""COMPUTED_VALUE"""),"")</f>
        <v/>
      </c>
      <c r="BJ68" s="9" t="str">
        <f ca="1">IFERROR(__xludf.DUMMYFUNCTION("""COMPUTED_VALUE"""),"")</f>
        <v/>
      </c>
      <c r="BK68" s="4" t="str">
        <f ca="1">IFERROR(__xludf.DUMMYFUNCTION("""COMPUTED_VALUE"""),"")</f>
        <v/>
      </c>
    </row>
    <row r="69" spans="1:63" ht="12.5" x14ac:dyDescent="0.25">
      <c r="A69" s="7">
        <f ca="1">IFERROR(__xludf.DUMMYFUNCTION("""COMPUTED_VALUE"""),43297.8819444444)</f>
        <v>43297.881944444402</v>
      </c>
      <c r="B69" s="8" t="str">
        <f ca="1">IFERROR(__xludf.DUMMYFUNCTION("""COMPUTED_VALUE"""),"Waikato")</f>
        <v>Waikato</v>
      </c>
      <c r="C69" s="2" t="str">
        <f ca="1">IFERROR(__xludf.DUMMYFUNCTION("""COMPUTED_VALUE"""),"")</f>
        <v/>
      </c>
      <c r="D69" s="9">
        <f ca="1">IFERROR(__xludf.DUMMYFUNCTION("""COMPUTED_VALUE"""),43266)</f>
        <v>43266</v>
      </c>
      <c r="E69" s="4">
        <f ca="1">IFERROR(__xludf.DUMMYFUNCTION("""COMPUTED_VALUE"""),0.33194444444598)</f>
        <v>0.33194444444597998</v>
      </c>
      <c r="F69" s="2" t="str">
        <f ca="1">IFERROR(__xludf.DUMMYFUNCTION("""COMPUTED_VALUE"""),"Waikato river")</f>
        <v>Waikato river</v>
      </c>
      <c r="G69" s="2" t="str">
        <f ca="1">IFERROR(__xludf.DUMMYFUNCTION("""COMPUTED_VALUE"""),"GPS: I converted data downloaded from ARGOS using Pinpoint software")</f>
        <v>GPS: I converted data downloaded from ARGOS using Pinpoint software</v>
      </c>
      <c r="H69" s="2" t="str">
        <f ca="1">IFERROR(__xludf.DUMMYFUNCTION("""COMPUTED_VALUE"""),"")</f>
        <v/>
      </c>
      <c r="I69" s="2" t="str">
        <f ca="1">IFERROR(__xludf.DUMMYFUNCTION("""COMPUTED_VALUE"""),"")</f>
        <v/>
      </c>
      <c r="J69" s="2" t="str">
        <f ca="1">IFERROR(__xludf.DUMMYFUNCTION("""COMPUTED_VALUE"""),"")</f>
        <v/>
      </c>
      <c r="K69" s="2" t="str">
        <f ca="1">IFERROR(__xludf.DUMMYFUNCTION("""COMPUTED_VALUE"""),"")</f>
        <v/>
      </c>
      <c r="L69" s="2" t="str">
        <f ca="1">IFERROR(__xludf.DUMMYFUNCTION("""COMPUTED_VALUE"""),"")</f>
        <v/>
      </c>
      <c r="M69" s="5" t="str">
        <f ca="1">IFERROR(__xludf.DUMMYFUNCTION("""COMPUTED_VALUE"""),"")</f>
        <v/>
      </c>
      <c r="N69" s="5" t="str">
        <f ca="1">IFERROR(__xludf.DUMMYFUNCTION("""COMPUTED_VALUE"""),"")</f>
        <v/>
      </c>
      <c r="O69" s="2" t="str">
        <f ca="1">IFERROR(__xludf.DUMMYFUNCTION("""COMPUTED_VALUE"""),"")</f>
        <v/>
      </c>
      <c r="P69" s="2" t="str">
        <f ca="1">IFERROR(__xludf.DUMMYFUNCTION("""COMPUTED_VALUE"""),"")</f>
        <v/>
      </c>
      <c r="Q69" s="2" t="str">
        <f ca="1">IFERROR(__xludf.DUMMYFUNCTION("""COMPUTED_VALUE"""),"")</f>
        <v/>
      </c>
      <c r="R69" s="2" t="str">
        <f ca="1">IFERROR(__xludf.DUMMYFUNCTION("""COMPUTED_VALUE"""),"")</f>
        <v/>
      </c>
      <c r="S69" s="2" t="str">
        <f ca="1">IFERROR(__xludf.DUMMYFUNCTION("""COMPUTED_VALUE"""),"")</f>
        <v/>
      </c>
      <c r="T69" s="2" t="str">
        <f ca="1">IFERROR(__xludf.DUMMYFUNCTION("""COMPUTED_VALUE"""),"")</f>
        <v/>
      </c>
      <c r="U69" s="2" t="str">
        <f ca="1">IFERROR(__xludf.DUMMYFUNCTION("""COMPUTED_VALUE"""),"")</f>
        <v/>
      </c>
      <c r="V69" s="2" t="str">
        <f ca="1">IFERROR(__xludf.DUMMYFUNCTION("""COMPUTED_VALUE"""),"")</f>
        <v/>
      </c>
      <c r="W69" s="2" t="str">
        <f ca="1">IFERROR(__xludf.DUMMYFUNCTION("""COMPUTED_VALUE"""),"")</f>
        <v/>
      </c>
      <c r="X69" s="2" t="str">
        <f ca="1">IFERROR(__xludf.DUMMYFUNCTION("""COMPUTED_VALUE"""),"")</f>
        <v/>
      </c>
      <c r="Y69" s="2" t="str">
        <f ca="1">IFERROR(__xludf.DUMMYFUNCTION("""COMPUTED_VALUE"""),"")</f>
        <v/>
      </c>
      <c r="Z69" s="2" t="str">
        <f ca="1">IFERROR(__xludf.DUMMYFUNCTION("""COMPUTED_VALUE"""),"")</f>
        <v/>
      </c>
      <c r="AA69" s="2" t="str">
        <f ca="1">IFERROR(__xludf.DUMMYFUNCTION("""COMPUTED_VALUE"""),"")</f>
        <v/>
      </c>
      <c r="AB69" s="2" t="str">
        <f ca="1">IFERROR(__xludf.DUMMYFUNCTION("""COMPUTED_VALUE"""),"")</f>
        <v/>
      </c>
      <c r="AC69" s="2" t="str">
        <f ca="1">IFERROR(__xludf.DUMMYFUNCTION("""COMPUTED_VALUE"""),"")</f>
        <v/>
      </c>
      <c r="AD69" s="2" t="str">
        <f ca="1">IFERROR(__xludf.DUMMYFUNCTION("""COMPUTED_VALUE"""),"")</f>
        <v/>
      </c>
      <c r="AE69" s="2" t="str">
        <f ca="1">IFERROR(__xludf.DUMMYFUNCTION("""COMPUTED_VALUE"""),"")</f>
        <v/>
      </c>
      <c r="AF69" s="2" t="str">
        <f ca="1">IFERROR(__xludf.DUMMYFUNCTION("""COMPUTED_VALUE"""),"")</f>
        <v/>
      </c>
      <c r="AG69" s="2" t="str">
        <f ca="1">IFERROR(__xludf.DUMMYFUNCTION("""COMPUTED_VALUE"""),"")</f>
        <v/>
      </c>
      <c r="AH69" s="2" t="str">
        <f ca="1">IFERROR(__xludf.DUMMYFUNCTION("""COMPUTED_VALUE"""),"")</f>
        <v/>
      </c>
      <c r="AI69" s="2" t="str">
        <f ca="1">IFERROR(__xludf.DUMMYFUNCTION("""COMPUTED_VALUE"""),"")</f>
        <v/>
      </c>
      <c r="AJ69" s="2" t="str">
        <f ca="1">IFERROR(__xludf.DUMMYFUNCTION("""COMPUTED_VALUE"""),"")</f>
        <v/>
      </c>
      <c r="AK69" s="2" t="str">
        <f ca="1">IFERROR(__xludf.DUMMYFUNCTION("""COMPUTED_VALUE"""),"")</f>
        <v/>
      </c>
      <c r="AL69" s="2" t="str">
        <f ca="1">IFERROR(__xludf.DUMMYFUNCTION("""COMPUTED_VALUE"""),"")</f>
        <v/>
      </c>
      <c r="AM69" s="2" t="str">
        <f ca="1">IFERROR(__xludf.DUMMYFUNCTION("""COMPUTED_VALUE"""),"")</f>
        <v/>
      </c>
      <c r="AN69" s="2" t="str">
        <f ca="1">IFERROR(__xludf.DUMMYFUNCTION("""COMPUTED_VALUE"""),"")</f>
        <v/>
      </c>
      <c r="AO69" s="2" t="str">
        <f ca="1">IFERROR(__xludf.DUMMYFUNCTION("""COMPUTED_VALUE"""),"")</f>
        <v/>
      </c>
      <c r="AP69" s="2" t="str">
        <f ca="1">IFERROR(__xludf.DUMMYFUNCTION("""COMPUTED_VALUE"""),"")</f>
        <v/>
      </c>
      <c r="AQ69" s="2" t="str">
        <f ca="1">IFERROR(__xludf.DUMMYFUNCTION("""COMPUTED_VALUE"""),"")</f>
        <v/>
      </c>
      <c r="AR69" s="2" t="str">
        <f ca="1">IFERROR(__xludf.DUMMYFUNCTION("""COMPUTED_VALUE"""),"")</f>
        <v/>
      </c>
      <c r="AS69" s="2" t="str">
        <f ca="1">IFERROR(__xludf.DUMMYFUNCTION("""COMPUTED_VALUE"""),"")</f>
        <v/>
      </c>
      <c r="AT69" s="2" t="str">
        <f ca="1">IFERROR(__xludf.DUMMYFUNCTION("""COMPUTED_VALUE"""),"")</f>
        <v/>
      </c>
      <c r="AU69" s="2" t="str">
        <f ca="1">IFERROR(__xludf.DUMMYFUNCTION("""COMPUTED_VALUE"""),"")</f>
        <v/>
      </c>
      <c r="AV69" s="2" t="str">
        <f ca="1">IFERROR(__xludf.DUMMYFUNCTION("""COMPUTED_VALUE"""),"")</f>
        <v/>
      </c>
      <c r="AW69" s="2" t="str">
        <f ca="1">IFERROR(__xludf.DUMMYFUNCTION("""COMPUTED_VALUE"""),"")</f>
        <v/>
      </c>
      <c r="AX69" s="2" t="str">
        <f ca="1">IFERROR(__xludf.DUMMYFUNCTION("""COMPUTED_VALUE"""),"")</f>
        <v/>
      </c>
      <c r="AY69" s="2" t="str">
        <f ca="1">IFERROR(__xludf.DUMMYFUNCTION("""COMPUTED_VALUE"""),"")</f>
        <v/>
      </c>
      <c r="AZ69" s="2" t="str">
        <f ca="1">IFERROR(__xludf.DUMMYFUNCTION("""COMPUTED_VALUE"""),"3D")</f>
        <v>3D</v>
      </c>
      <c r="BA69" s="2">
        <f ca="1">IFERROR(__xludf.DUMMYFUNCTION("""COMPUTED_VALUE"""),1791606)</f>
        <v>1791606</v>
      </c>
      <c r="BB69" s="2">
        <f ca="1">IFERROR(__xludf.DUMMYFUNCTION("""COMPUTED_VALUE"""),5869581)</f>
        <v>5869581</v>
      </c>
      <c r="BC69" s="2" t="str">
        <f ca="1">IFERROR(__xludf.DUMMYFUNCTION("""COMPUTED_VALUE"""),"Lat/Long: -37.3006706;175.1618652;Fix accuracy = OK")</f>
        <v>Lat/Long: -37.3006706;175.1618652;Fix accuracy = OK</v>
      </c>
      <c r="BD69" s="2" t="str">
        <f ca="1">IFERROR(__xludf.DUMMYFUNCTION("""COMPUTED_VALUE"""),"")</f>
        <v/>
      </c>
      <c r="BE69" s="2" t="str">
        <f ca="1">IFERROR(__xludf.DUMMYFUNCTION("""COMPUTED_VALUE"""),"")</f>
        <v/>
      </c>
      <c r="BF69" t="str">
        <f ca="1">IFERROR(__xludf.DUMMYFUNCTION("""COMPUTED_VALUE"""),"")</f>
        <v/>
      </c>
      <c r="BG69" t="str">
        <f ca="1">IFERROR(__xludf.DUMMYFUNCTION("""COMPUTED_VALUE"""),"")</f>
        <v/>
      </c>
      <c r="BH69" s="2" t="str">
        <f ca="1">IFERROR(__xludf.DUMMYFUNCTION("""COMPUTED_VALUE"""),"")</f>
        <v/>
      </c>
      <c r="BI69" s="12" t="str">
        <f ca="1">IFERROR(__xludf.DUMMYFUNCTION("""COMPUTED_VALUE"""),"")</f>
        <v/>
      </c>
      <c r="BJ69" s="9" t="str">
        <f ca="1">IFERROR(__xludf.DUMMYFUNCTION("""COMPUTED_VALUE"""),"")</f>
        <v/>
      </c>
      <c r="BK69" s="4" t="str">
        <f ca="1">IFERROR(__xludf.DUMMYFUNCTION("""COMPUTED_VALUE"""),"")</f>
        <v/>
      </c>
    </row>
    <row r="70" spans="1:63" ht="12.5" x14ac:dyDescent="0.25">
      <c r="A70" s="7">
        <f ca="1">IFERROR(__xludf.DUMMYFUNCTION("""COMPUTED_VALUE"""),43297.8819444444)</f>
        <v>43297.881944444402</v>
      </c>
      <c r="B70" s="8" t="str">
        <f ca="1">IFERROR(__xludf.DUMMYFUNCTION("""COMPUTED_VALUE"""),"Waikato")</f>
        <v>Waikato</v>
      </c>
      <c r="C70" s="2" t="str">
        <f ca="1">IFERROR(__xludf.DUMMYFUNCTION("""COMPUTED_VALUE"""),"")</f>
        <v/>
      </c>
      <c r="D70" s="9">
        <f ca="1">IFERROR(__xludf.DUMMYFUNCTION("""COMPUTED_VALUE"""),43266)</f>
        <v>43266</v>
      </c>
      <c r="E70" s="4">
        <f ca="1">IFERROR(__xludf.DUMMYFUNCTION("""COMPUTED_VALUE"""),0.33194444444598)</f>
        <v>0.33194444444597998</v>
      </c>
      <c r="F70" s="2" t="str">
        <f ca="1">IFERROR(__xludf.DUMMYFUNCTION("""COMPUTED_VALUE"""),"Whangamarino - Peat bog North Peter Buckleys")</f>
        <v>Whangamarino - Peat bog North Peter Buckleys</v>
      </c>
      <c r="G70" s="2" t="str">
        <f ca="1">IFERROR(__xludf.DUMMYFUNCTION("""COMPUTED_VALUE"""),"GPS: I converted data downloaded from ARGOS using Pinpoint software")</f>
        <v>GPS: I converted data downloaded from ARGOS using Pinpoint software</v>
      </c>
      <c r="H70" s="2" t="str">
        <f ca="1">IFERROR(__xludf.DUMMYFUNCTION("""COMPUTED_VALUE"""),"")</f>
        <v/>
      </c>
      <c r="I70" s="2" t="str">
        <f ca="1">IFERROR(__xludf.DUMMYFUNCTION("""COMPUTED_VALUE"""),"")</f>
        <v/>
      </c>
      <c r="J70" s="2" t="str">
        <f ca="1">IFERROR(__xludf.DUMMYFUNCTION("""COMPUTED_VALUE"""),"")</f>
        <v/>
      </c>
      <c r="K70" s="2" t="str">
        <f ca="1">IFERROR(__xludf.DUMMYFUNCTION("""COMPUTED_VALUE"""),"")</f>
        <v/>
      </c>
      <c r="L70" s="2" t="str">
        <f ca="1">IFERROR(__xludf.DUMMYFUNCTION("""COMPUTED_VALUE"""),"")</f>
        <v/>
      </c>
      <c r="M70" s="5" t="str">
        <f ca="1">IFERROR(__xludf.DUMMYFUNCTION("""COMPUTED_VALUE"""),"")</f>
        <v/>
      </c>
      <c r="N70" s="5" t="str">
        <f ca="1">IFERROR(__xludf.DUMMYFUNCTION("""COMPUTED_VALUE"""),"")</f>
        <v/>
      </c>
      <c r="O70" s="2" t="str">
        <f ca="1">IFERROR(__xludf.DUMMYFUNCTION("""COMPUTED_VALUE"""),"")</f>
        <v/>
      </c>
      <c r="P70" s="2" t="str">
        <f ca="1">IFERROR(__xludf.DUMMYFUNCTION("""COMPUTED_VALUE"""),"")</f>
        <v/>
      </c>
      <c r="Q70" s="2" t="str">
        <f ca="1">IFERROR(__xludf.DUMMYFUNCTION("""COMPUTED_VALUE"""),"")</f>
        <v/>
      </c>
      <c r="R70" s="2" t="str">
        <f ca="1">IFERROR(__xludf.DUMMYFUNCTION("""COMPUTED_VALUE"""),"")</f>
        <v/>
      </c>
      <c r="S70" s="2" t="str">
        <f ca="1">IFERROR(__xludf.DUMMYFUNCTION("""COMPUTED_VALUE"""),"")</f>
        <v/>
      </c>
      <c r="T70" s="2" t="str">
        <f ca="1">IFERROR(__xludf.DUMMYFUNCTION("""COMPUTED_VALUE"""),"")</f>
        <v/>
      </c>
      <c r="U70" s="2" t="str">
        <f ca="1">IFERROR(__xludf.DUMMYFUNCTION("""COMPUTED_VALUE"""),"")</f>
        <v/>
      </c>
      <c r="V70" s="2" t="str">
        <f ca="1">IFERROR(__xludf.DUMMYFUNCTION("""COMPUTED_VALUE"""),"")</f>
        <v/>
      </c>
      <c r="W70" s="2" t="str">
        <f ca="1">IFERROR(__xludf.DUMMYFUNCTION("""COMPUTED_VALUE"""),"")</f>
        <v/>
      </c>
      <c r="X70" s="2" t="str">
        <f ca="1">IFERROR(__xludf.DUMMYFUNCTION("""COMPUTED_VALUE"""),"")</f>
        <v/>
      </c>
      <c r="Y70" s="2" t="str">
        <f ca="1">IFERROR(__xludf.DUMMYFUNCTION("""COMPUTED_VALUE"""),"")</f>
        <v/>
      </c>
      <c r="Z70" s="2" t="str">
        <f ca="1">IFERROR(__xludf.DUMMYFUNCTION("""COMPUTED_VALUE"""),"")</f>
        <v/>
      </c>
      <c r="AA70" s="2" t="str">
        <f ca="1">IFERROR(__xludf.DUMMYFUNCTION("""COMPUTED_VALUE"""),"")</f>
        <v/>
      </c>
      <c r="AB70" s="2" t="str">
        <f ca="1">IFERROR(__xludf.DUMMYFUNCTION("""COMPUTED_VALUE"""),"")</f>
        <v/>
      </c>
      <c r="AC70" s="2" t="str">
        <f ca="1">IFERROR(__xludf.DUMMYFUNCTION("""COMPUTED_VALUE"""),"")</f>
        <v/>
      </c>
      <c r="AD70" s="2" t="str">
        <f ca="1">IFERROR(__xludf.DUMMYFUNCTION("""COMPUTED_VALUE"""),"")</f>
        <v/>
      </c>
      <c r="AE70" s="2" t="str">
        <f ca="1">IFERROR(__xludf.DUMMYFUNCTION("""COMPUTED_VALUE"""),"")</f>
        <v/>
      </c>
      <c r="AF70" s="2" t="str">
        <f ca="1">IFERROR(__xludf.DUMMYFUNCTION("""COMPUTED_VALUE"""),"")</f>
        <v/>
      </c>
      <c r="AG70" s="2" t="str">
        <f ca="1">IFERROR(__xludf.DUMMYFUNCTION("""COMPUTED_VALUE"""),"")</f>
        <v/>
      </c>
      <c r="AH70" s="2" t="str">
        <f ca="1">IFERROR(__xludf.DUMMYFUNCTION("""COMPUTED_VALUE"""),"")</f>
        <v/>
      </c>
      <c r="AI70" s="2" t="str">
        <f ca="1">IFERROR(__xludf.DUMMYFUNCTION("""COMPUTED_VALUE"""),"")</f>
        <v/>
      </c>
      <c r="AJ70" s="2" t="str">
        <f ca="1">IFERROR(__xludf.DUMMYFUNCTION("""COMPUTED_VALUE"""),"")</f>
        <v/>
      </c>
      <c r="AK70" s="2" t="str">
        <f ca="1">IFERROR(__xludf.DUMMYFUNCTION("""COMPUTED_VALUE"""),"")</f>
        <v/>
      </c>
      <c r="AL70" s="2" t="str">
        <f ca="1">IFERROR(__xludf.DUMMYFUNCTION("""COMPUTED_VALUE"""),"")</f>
        <v/>
      </c>
      <c r="AM70" s="2" t="str">
        <f ca="1">IFERROR(__xludf.DUMMYFUNCTION("""COMPUTED_VALUE"""),"")</f>
        <v/>
      </c>
      <c r="AN70" s="2" t="str">
        <f ca="1">IFERROR(__xludf.DUMMYFUNCTION("""COMPUTED_VALUE"""),"")</f>
        <v/>
      </c>
      <c r="AO70" s="2" t="str">
        <f ca="1">IFERROR(__xludf.DUMMYFUNCTION("""COMPUTED_VALUE"""),"")</f>
        <v/>
      </c>
      <c r="AP70" s="2" t="str">
        <f ca="1">IFERROR(__xludf.DUMMYFUNCTION("""COMPUTED_VALUE"""),"")</f>
        <v/>
      </c>
      <c r="AQ70" s="2" t="str">
        <f ca="1">IFERROR(__xludf.DUMMYFUNCTION("""COMPUTED_VALUE"""),"")</f>
        <v/>
      </c>
      <c r="AR70" s="2" t="str">
        <f ca="1">IFERROR(__xludf.DUMMYFUNCTION("""COMPUTED_VALUE"""),"")</f>
        <v/>
      </c>
      <c r="AS70" s="2" t="str">
        <f ca="1">IFERROR(__xludf.DUMMYFUNCTION("""COMPUTED_VALUE"""),"")</f>
        <v/>
      </c>
      <c r="AT70" s="2" t="str">
        <f ca="1">IFERROR(__xludf.DUMMYFUNCTION("""COMPUTED_VALUE"""),"")</f>
        <v/>
      </c>
      <c r="AU70" s="2" t="str">
        <f ca="1">IFERROR(__xludf.DUMMYFUNCTION("""COMPUTED_VALUE"""),"")</f>
        <v/>
      </c>
      <c r="AV70" s="2" t="str">
        <f ca="1">IFERROR(__xludf.DUMMYFUNCTION("""COMPUTED_VALUE"""),"")</f>
        <v/>
      </c>
      <c r="AW70" s="2" t="str">
        <f ca="1">IFERROR(__xludf.DUMMYFUNCTION("""COMPUTED_VALUE"""),"")</f>
        <v/>
      </c>
      <c r="AX70" s="2" t="str">
        <f ca="1">IFERROR(__xludf.DUMMYFUNCTION("""COMPUTED_VALUE"""),"")</f>
        <v/>
      </c>
      <c r="AY70" s="2" t="str">
        <f ca="1">IFERROR(__xludf.DUMMYFUNCTION("""COMPUTED_VALUE"""),"")</f>
        <v/>
      </c>
      <c r="AZ70" s="2" t="str">
        <f ca="1">IFERROR(__xludf.DUMMYFUNCTION("""COMPUTED_VALUE"""),"3D")</f>
        <v>3D</v>
      </c>
      <c r="BA70" s="2">
        <f ca="1">IFERROR(__xludf.DUMMYFUNCTION("""COMPUTED_VALUE"""),1773020)</f>
        <v>1773020</v>
      </c>
      <c r="BB70" s="2">
        <f ca="1">IFERROR(__xludf.DUMMYFUNCTION("""COMPUTED_VALUE"""),5869985)</f>
        <v>5869985</v>
      </c>
      <c r="BC70" s="2" t="str">
        <f ca="1">IFERROR(__xludf.DUMMYFUNCTION("""COMPUTED_VALUE"""),"Lat/Long: -37.3006706;174.952179;Fix accuracy = Fail")</f>
        <v>Lat/Long: -37.3006706;174.952179;Fix accuracy = Fail</v>
      </c>
      <c r="BD70" s="2" t="str">
        <f ca="1">IFERROR(__xludf.DUMMYFUNCTION("""COMPUTED_VALUE"""),"")</f>
        <v/>
      </c>
      <c r="BE70" s="2" t="str">
        <f ca="1">IFERROR(__xludf.DUMMYFUNCTION("""COMPUTED_VALUE"""),"")</f>
        <v/>
      </c>
      <c r="BF70" t="str">
        <f ca="1">IFERROR(__xludf.DUMMYFUNCTION("""COMPUTED_VALUE"""),"")</f>
        <v/>
      </c>
      <c r="BG70" t="str">
        <f ca="1">IFERROR(__xludf.DUMMYFUNCTION("""COMPUTED_VALUE"""),"")</f>
        <v/>
      </c>
      <c r="BH70" s="2" t="str">
        <f ca="1">IFERROR(__xludf.DUMMYFUNCTION("""COMPUTED_VALUE"""),"")</f>
        <v/>
      </c>
      <c r="BI70" s="13" t="str">
        <f ca="1">IFERROR(__xludf.DUMMYFUNCTION("""COMPUTED_VALUE"""),"")</f>
        <v/>
      </c>
      <c r="BJ70" s="9" t="str">
        <f ca="1">IFERROR(__xludf.DUMMYFUNCTION("""COMPUTED_VALUE"""),"")</f>
        <v/>
      </c>
      <c r="BK70" s="4" t="str">
        <f ca="1">IFERROR(__xludf.DUMMYFUNCTION("""COMPUTED_VALUE"""),"")</f>
        <v/>
      </c>
    </row>
    <row r="71" spans="1:63" ht="12.5" x14ac:dyDescent="0.25">
      <c r="A71" s="7">
        <f ca="1">IFERROR(__xludf.DUMMYFUNCTION("""COMPUTED_VALUE"""),43297.8819444444)</f>
        <v>43297.881944444402</v>
      </c>
      <c r="B71" s="8" t="str">
        <f ca="1">IFERROR(__xludf.DUMMYFUNCTION("""COMPUTED_VALUE"""),"Waikato")</f>
        <v>Waikato</v>
      </c>
      <c r="C71" s="2" t="str">
        <f ca="1">IFERROR(__xludf.DUMMYFUNCTION("""COMPUTED_VALUE"""),"")</f>
        <v/>
      </c>
      <c r="D71" s="9">
        <f ca="1">IFERROR(__xludf.DUMMYFUNCTION("""COMPUTED_VALUE"""),43280)</f>
        <v>43280</v>
      </c>
      <c r="E71" s="4">
        <f ca="1">IFERROR(__xludf.DUMMYFUNCTION("""COMPUTED_VALUE"""),0.33194444444598)</f>
        <v>0.33194444444597998</v>
      </c>
      <c r="F71" s="2" t="str">
        <f ca="1">IFERROR(__xludf.DUMMYFUNCTION("""COMPUTED_VALUE"""),"Whangamarino - Peat bog North Peter Buckleys")</f>
        <v>Whangamarino - Peat bog North Peter Buckleys</v>
      </c>
      <c r="G71" s="2" t="str">
        <f ca="1">IFERROR(__xludf.DUMMYFUNCTION("""COMPUTED_VALUE"""),"GPS: I converted data downloaded from ARGOS using Pinpoint software")</f>
        <v>GPS: I converted data downloaded from ARGOS using Pinpoint software</v>
      </c>
      <c r="H71" s="2" t="str">
        <f ca="1">IFERROR(__xludf.DUMMYFUNCTION("""COMPUTED_VALUE"""),"")</f>
        <v/>
      </c>
      <c r="I71" s="2" t="str">
        <f ca="1">IFERROR(__xludf.DUMMYFUNCTION("""COMPUTED_VALUE"""),"")</f>
        <v/>
      </c>
      <c r="J71" s="2" t="str">
        <f ca="1">IFERROR(__xludf.DUMMYFUNCTION("""COMPUTED_VALUE"""),"")</f>
        <v/>
      </c>
      <c r="K71" s="2" t="str">
        <f ca="1">IFERROR(__xludf.DUMMYFUNCTION("""COMPUTED_VALUE"""),"")</f>
        <v/>
      </c>
      <c r="L71" s="2" t="str">
        <f ca="1">IFERROR(__xludf.DUMMYFUNCTION("""COMPUTED_VALUE"""),"")</f>
        <v/>
      </c>
      <c r="M71" s="5" t="str">
        <f ca="1">IFERROR(__xludf.DUMMYFUNCTION("""COMPUTED_VALUE"""),"")</f>
        <v/>
      </c>
      <c r="N71" s="5" t="str">
        <f ca="1">IFERROR(__xludf.DUMMYFUNCTION("""COMPUTED_VALUE"""),"")</f>
        <v/>
      </c>
      <c r="O71" s="2" t="str">
        <f ca="1">IFERROR(__xludf.DUMMYFUNCTION("""COMPUTED_VALUE"""),"")</f>
        <v/>
      </c>
      <c r="P71" s="2" t="str">
        <f ca="1">IFERROR(__xludf.DUMMYFUNCTION("""COMPUTED_VALUE"""),"")</f>
        <v/>
      </c>
      <c r="Q71" s="2" t="str">
        <f ca="1">IFERROR(__xludf.DUMMYFUNCTION("""COMPUTED_VALUE"""),"")</f>
        <v/>
      </c>
      <c r="R71" s="2" t="str">
        <f ca="1">IFERROR(__xludf.DUMMYFUNCTION("""COMPUTED_VALUE"""),"")</f>
        <v/>
      </c>
      <c r="S71" s="2" t="str">
        <f ca="1">IFERROR(__xludf.DUMMYFUNCTION("""COMPUTED_VALUE"""),"")</f>
        <v/>
      </c>
      <c r="T71" s="2" t="str">
        <f ca="1">IFERROR(__xludf.DUMMYFUNCTION("""COMPUTED_VALUE"""),"")</f>
        <v/>
      </c>
      <c r="U71" s="2" t="str">
        <f ca="1">IFERROR(__xludf.DUMMYFUNCTION("""COMPUTED_VALUE"""),"")</f>
        <v/>
      </c>
      <c r="V71" s="2" t="str">
        <f ca="1">IFERROR(__xludf.DUMMYFUNCTION("""COMPUTED_VALUE"""),"")</f>
        <v/>
      </c>
      <c r="W71" s="2" t="str">
        <f ca="1">IFERROR(__xludf.DUMMYFUNCTION("""COMPUTED_VALUE"""),"")</f>
        <v/>
      </c>
      <c r="X71" s="2" t="str">
        <f ca="1">IFERROR(__xludf.DUMMYFUNCTION("""COMPUTED_VALUE"""),"")</f>
        <v/>
      </c>
      <c r="Y71" s="2" t="str">
        <f ca="1">IFERROR(__xludf.DUMMYFUNCTION("""COMPUTED_VALUE"""),"")</f>
        <v/>
      </c>
      <c r="Z71" s="2" t="str">
        <f ca="1">IFERROR(__xludf.DUMMYFUNCTION("""COMPUTED_VALUE"""),"")</f>
        <v/>
      </c>
      <c r="AA71" s="2" t="str">
        <f ca="1">IFERROR(__xludf.DUMMYFUNCTION("""COMPUTED_VALUE"""),"")</f>
        <v/>
      </c>
      <c r="AB71" s="2" t="str">
        <f ca="1">IFERROR(__xludf.DUMMYFUNCTION("""COMPUTED_VALUE"""),"")</f>
        <v/>
      </c>
      <c r="AC71" s="2" t="str">
        <f ca="1">IFERROR(__xludf.DUMMYFUNCTION("""COMPUTED_VALUE"""),"")</f>
        <v/>
      </c>
      <c r="AD71" s="2" t="str">
        <f ca="1">IFERROR(__xludf.DUMMYFUNCTION("""COMPUTED_VALUE"""),"")</f>
        <v/>
      </c>
      <c r="AE71" s="2" t="str">
        <f ca="1">IFERROR(__xludf.DUMMYFUNCTION("""COMPUTED_VALUE"""),"")</f>
        <v/>
      </c>
      <c r="AF71" s="2" t="str">
        <f ca="1">IFERROR(__xludf.DUMMYFUNCTION("""COMPUTED_VALUE"""),"")</f>
        <v/>
      </c>
      <c r="AG71" s="2" t="str">
        <f ca="1">IFERROR(__xludf.DUMMYFUNCTION("""COMPUTED_VALUE"""),"")</f>
        <v/>
      </c>
      <c r="AH71" s="2" t="str">
        <f ca="1">IFERROR(__xludf.DUMMYFUNCTION("""COMPUTED_VALUE"""),"")</f>
        <v/>
      </c>
      <c r="AI71" s="2" t="str">
        <f ca="1">IFERROR(__xludf.DUMMYFUNCTION("""COMPUTED_VALUE"""),"")</f>
        <v/>
      </c>
      <c r="AJ71" s="2" t="str">
        <f ca="1">IFERROR(__xludf.DUMMYFUNCTION("""COMPUTED_VALUE"""),"")</f>
        <v/>
      </c>
      <c r="AK71" s="2" t="str">
        <f ca="1">IFERROR(__xludf.DUMMYFUNCTION("""COMPUTED_VALUE"""),"")</f>
        <v/>
      </c>
      <c r="AL71" s="2" t="str">
        <f ca="1">IFERROR(__xludf.DUMMYFUNCTION("""COMPUTED_VALUE"""),"")</f>
        <v/>
      </c>
      <c r="AM71" s="2" t="str">
        <f ca="1">IFERROR(__xludf.DUMMYFUNCTION("""COMPUTED_VALUE"""),"")</f>
        <v/>
      </c>
      <c r="AN71" s="2" t="str">
        <f ca="1">IFERROR(__xludf.DUMMYFUNCTION("""COMPUTED_VALUE"""),"")</f>
        <v/>
      </c>
      <c r="AO71" s="2" t="str">
        <f ca="1">IFERROR(__xludf.DUMMYFUNCTION("""COMPUTED_VALUE"""),"")</f>
        <v/>
      </c>
      <c r="AP71" s="2" t="str">
        <f ca="1">IFERROR(__xludf.DUMMYFUNCTION("""COMPUTED_VALUE"""),"")</f>
        <v/>
      </c>
      <c r="AQ71" s="2" t="str">
        <f ca="1">IFERROR(__xludf.DUMMYFUNCTION("""COMPUTED_VALUE"""),"")</f>
        <v/>
      </c>
      <c r="AR71" s="2" t="str">
        <f ca="1">IFERROR(__xludf.DUMMYFUNCTION("""COMPUTED_VALUE"""),"")</f>
        <v/>
      </c>
      <c r="AS71" s="2" t="str">
        <f ca="1">IFERROR(__xludf.DUMMYFUNCTION("""COMPUTED_VALUE"""),"")</f>
        <v/>
      </c>
      <c r="AT71" s="2" t="str">
        <f ca="1">IFERROR(__xludf.DUMMYFUNCTION("""COMPUTED_VALUE"""),"")</f>
        <v/>
      </c>
      <c r="AU71" s="2" t="str">
        <f ca="1">IFERROR(__xludf.DUMMYFUNCTION("""COMPUTED_VALUE"""),"")</f>
        <v/>
      </c>
      <c r="AV71" s="2" t="str">
        <f ca="1">IFERROR(__xludf.DUMMYFUNCTION("""COMPUTED_VALUE"""),"")</f>
        <v/>
      </c>
      <c r="AW71" s="2" t="str">
        <f ca="1">IFERROR(__xludf.DUMMYFUNCTION("""COMPUTED_VALUE"""),"")</f>
        <v/>
      </c>
      <c r="AX71" s="2" t="str">
        <f ca="1">IFERROR(__xludf.DUMMYFUNCTION("""COMPUTED_VALUE"""),"")</f>
        <v/>
      </c>
      <c r="AY71" s="2" t="str">
        <f ca="1">IFERROR(__xludf.DUMMYFUNCTION("""COMPUTED_VALUE"""),"")</f>
        <v/>
      </c>
      <c r="AZ71" s="2" t="str">
        <f ca="1">IFERROR(__xludf.DUMMYFUNCTION("""COMPUTED_VALUE"""),"3D")</f>
        <v>3D</v>
      </c>
      <c r="BA71" s="2">
        <f ca="1">IFERROR(__xludf.DUMMYFUNCTION("""COMPUTED_VALUE"""),1791653)</f>
        <v>1791653</v>
      </c>
      <c r="BB71" s="2">
        <f ca="1">IFERROR(__xludf.DUMMYFUNCTION("""COMPUTED_VALUE"""),5869593)</f>
        <v>5869593</v>
      </c>
      <c r="BC71" s="2" t="str">
        <f ca="1">IFERROR(__xludf.DUMMYFUNCTION("""COMPUTED_VALUE"""),"Lat/Long: -37.3005447;175.162384;Fix accuracy = OK")</f>
        <v>Lat/Long: -37.3005447;175.162384;Fix accuracy = OK</v>
      </c>
      <c r="BD71" s="2" t="str">
        <f ca="1">IFERROR(__xludf.DUMMYFUNCTION("""COMPUTED_VALUE"""),"")</f>
        <v/>
      </c>
      <c r="BE71" s="2" t="str">
        <f ca="1">IFERROR(__xludf.DUMMYFUNCTION("""COMPUTED_VALUE"""),"")</f>
        <v/>
      </c>
      <c r="BF71" t="str">
        <f ca="1">IFERROR(__xludf.DUMMYFUNCTION("""COMPUTED_VALUE"""),"")</f>
        <v/>
      </c>
      <c r="BG71" t="str">
        <f ca="1">IFERROR(__xludf.DUMMYFUNCTION("""COMPUTED_VALUE"""),"")</f>
        <v/>
      </c>
      <c r="BH71" s="2" t="str">
        <f ca="1">IFERROR(__xludf.DUMMYFUNCTION("""COMPUTED_VALUE"""),"")</f>
        <v/>
      </c>
      <c r="BI71" s="12" t="str">
        <f ca="1">IFERROR(__xludf.DUMMYFUNCTION("""COMPUTED_VALUE"""),"")</f>
        <v/>
      </c>
      <c r="BJ71" s="9" t="str">
        <f ca="1">IFERROR(__xludf.DUMMYFUNCTION("""COMPUTED_VALUE"""),"")</f>
        <v/>
      </c>
      <c r="BK71" s="4" t="str">
        <f ca="1">IFERROR(__xludf.DUMMYFUNCTION("""COMPUTED_VALUE"""),"")</f>
        <v/>
      </c>
    </row>
    <row r="72" spans="1:63" ht="12.5" x14ac:dyDescent="0.25">
      <c r="A72" s="7">
        <f ca="1">IFERROR(__xludf.DUMMYFUNCTION("""COMPUTED_VALUE"""),43297.8819444444)</f>
        <v>43297.881944444402</v>
      </c>
      <c r="B72" s="8" t="str">
        <f ca="1">IFERROR(__xludf.DUMMYFUNCTION("""COMPUTED_VALUE"""),"Waikato")</f>
        <v>Waikato</v>
      </c>
      <c r="C72" s="2" t="str">
        <f ca="1">IFERROR(__xludf.DUMMYFUNCTION("""COMPUTED_VALUE"""),"")</f>
        <v/>
      </c>
      <c r="D72" s="9">
        <f ca="1">IFERROR(__xludf.DUMMYFUNCTION("""COMPUTED_VALUE"""),43280)</f>
        <v>43280</v>
      </c>
      <c r="E72" s="4">
        <f ca="1">IFERROR(__xludf.DUMMYFUNCTION("""COMPUTED_VALUE"""),0.33194444444598)</f>
        <v>0.33194444444597998</v>
      </c>
      <c r="F72" s="2" t="str">
        <f ca="1">IFERROR(__xludf.DUMMYFUNCTION("""COMPUTED_VALUE"""),"Near Honikiwi")</f>
        <v>Near Honikiwi</v>
      </c>
      <c r="G72" s="2" t="str">
        <f ca="1">IFERROR(__xludf.DUMMYFUNCTION("""COMPUTED_VALUE"""),"GPS: I converted data downloaded from ARGOS using Pinpoint software")</f>
        <v>GPS: I converted data downloaded from ARGOS using Pinpoint software</v>
      </c>
      <c r="H72" s="2" t="str">
        <f ca="1">IFERROR(__xludf.DUMMYFUNCTION("""COMPUTED_VALUE"""),"")</f>
        <v/>
      </c>
      <c r="I72" s="2" t="str">
        <f ca="1">IFERROR(__xludf.DUMMYFUNCTION("""COMPUTED_VALUE"""),"")</f>
        <v/>
      </c>
      <c r="J72" s="2" t="str">
        <f ca="1">IFERROR(__xludf.DUMMYFUNCTION("""COMPUTED_VALUE"""),"")</f>
        <v/>
      </c>
      <c r="K72" s="2" t="str">
        <f ca="1">IFERROR(__xludf.DUMMYFUNCTION("""COMPUTED_VALUE"""),"")</f>
        <v/>
      </c>
      <c r="L72" s="2" t="str">
        <f ca="1">IFERROR(__xludf.DUMMYFUNCTION("""COMPUTED_VALUE"""),"")</f>
        <v/>
      </c>
      <c r="M72" s="5" t="str">
        <f ca="1">IFERROR(__xludf.DUMMYFUNCTION("""COMPUTED_VALUE"""),"")</f>
        <v/>
      </c>
      <c r="N72" s="5" t="str">
        <f ca="1">IFERROR(__xludf.DUMMYFUNCTION("""COMPUTED_VALUE"""),"")</f>
        <v/>
      </c>
      <c r="O72" s="2" t="str">
        <f ca="1">IFERROR(__xludf.DUMMYFUNCTION("""COMPUTED_VALUE"""),"")</f>
        <v/>
      </c>
      <c r="P72" s="2" t="str">
        <f ca="1">IFERROR(__xludf.DUMMYFUNCTION("""COMPUTED_VALUE"""),"")</f>
        <v/>
      </c>
      <c r="Q72" s="2" t="str">
        <f ca="1">IFERROR(__xludf.DUMMYFUNCTION("""COMPUTED_VALUE"""),"")</f>
        <v/>
      </c>
      <c r="R72" s="2" t="str">
        <f ca="1">IFERROR(__xludf.DUMMYFUNCTION("""COMPUTED_VALUE"""),"")</f>
        <v/>
      </c>
      <c r="S72" s="2" t="str">
        <f ca="1">IFERROR(__xludf.DUMMYFUNCTION("""COMPUTED_VALUE"""),"")</f>
        <v/>
      </c>
      <c r="T72" s="2" t="str">
        <f ca="1">IFERROR(__xludf.DUMMYFUNCTION("""COMPUTED_VALUE"""),"")</f>
        <v/>
      </c>
      <c r="U72" s="2" t="str">
        <f ca="1">IFERROR(__xludf.DUMMYFUNCTION("""COMPUTED_VALUE"""),"")</f>
        <v/>
      </c>
      <c r="V72" s="2" t="str">
        <f ca="1">IFERROR(__xludf.DUMMYFUNCTION("""COMPUTED_VALUE"""),"")</f>
        <v/>
      </c>
      <c r="W72" s="2" t="str">
        <f ca="1">IFERROR(__xludf.DUMMYFUNCTION("""COMPUTED_VALUE"""),"")</f>
        <v/>
      </c>
      <c r="X72" s="2" t="str">
        <f ca="1">IFERROR(__xludf.DUMMYFUNCTION("""COMPUTED_VALUE"""),"")</f>
        <v/>
      </c>
      <c r="Y72" s="2" t="str">
        <f ca="1">IFERROR(__xludf.DUMMYFUNCTION("""COMPUTED_VALUE"""),"")</f>
        <v/>
      </c>
      <c r="Z72" s="2" t="str">
        <f ca="1">IFERROR(__xludf.DUMMYFUNCTION("""COMPUTED_VALUE"""),"")</f>
        <v/>
      </c>
      <c r="AA72" s="2" t="str">
        <f ca="1">IFERROR(__xludf.DUMMYFUNCTION("""COMPUTED_VALUE"""),"")</f>
        <v/>
      </c>
      <c r="AB72" s="2" t="str">
        <f ca="1">IFERROR(__xludf.DUMMYFUNCTION("""COMPUTED_VALUE"""),"")</f>
        <v/>
      </c>
      <c r="AC72" s="2" t="str">
        <f ca="1">IFERROR(__xludf.DUMMYFUNCTION("""COMPUTED_VALUE"""),"")</f>
        <v/>
      </c>
      <c r="AD72" s="2" t="str">
        <f ca="1">IFERROR(__xludf.DUMMYFUNCTION("""COMPUTED_VALUE"""),"")</f>
        <v/>
      </c>
      <c r="AE72" s="2" t="str">
        <f ca="1">IFERROR(__xludf.DUMMYFUNCTION("""COMPUTED_VALUE"""),"")</f>
        <v/>
      </c>
      <c r="AF72" s="2" t="str">
        <f ca="1">IFERROR(__xludf.DUMMYFUNCTION("""COMPUTED_VALUE"""),"")</f>
        <v/>
      </c>
      <c r="AG72" s="2" t="str">
        <f ca="1">IFERROR(__xludf.DUMMYFUNCTION("""COMPUTED_VALUE"""),"")</f>
        <v/>
      </c>
      <c r="AH72" s="2" t="str">
        <f ca="1">IFERROR(__xludf.DUMMYFUNCTION("""COMPUTED_VALUE"""),"")</f>
        <v/>
      </c>
      <c r="AI72" s="2" t="str">
        <f ca="1">IFERROR(__xludf.DUMMYFUNCTION("""COMPUTED_VALUE"""),"")</f>
        <v/>
      </c>
      <c r="AJ72" s="2" t="str">
        <f ca="1">IFERROR(__xludf.DUMMYFUNCTION("""COMPUTED_VALUE"""),"")</f>
        <v/>
      </c>
      <c r="AK72" s="2" t="str">
        <f ca="1">IFERROR(__xludf.DUMMYFUNCTION("""COMPUTED_VALUE"""),"")</f>
        <v/>
      </c>
      <c r="AL72" s="2" t="str">
        <f ca="1">IFERROR(__xludf.DUMMYFUNCTION("""COMPUTED_VALUE"""),"")</f>
        <v/>
      </c>
      <c r="AM72" s="2" t="str">
        <f ca="1">IFERROR(__xludf.DUMMYFUNCTION("""COMPUTED_VALUE"""),"")</f>
        <v/>
      </c>
      <c r="AN72" s="2" t="str">
        <f ca="1">IFERROR(__xludf.DUMMYFUNCTION("""COMPUTED_VALUE"""),"")</f>
        <v/>
      </c>
      <c r="AO72" s="2" t="str">
        <f ca="1">IFERROR(__xludf.DUMMYFUNCTION("""COMPUTED_VALUE"""),"")</f>
        <v/>
      </c>
      <c r="AP72" s="2" t="str">
        <f ca="1">IFERROR(__xludf.DUMMYFUNCTION("""COMPUTED_VALUE"""),"")</f>
        <v/>
      </c>
      <c r="AQ72" s="2" t="str">
        <f ca="1">IFERROR(__xludf.DUMMYFUNCTION("""COMPUTED_VALUE"""),"")</f>
        <v/>
      </c>
      <c r="AR72" s="2" t="str">
        <f ca="1">IFERROR(__xludf.DUMMYFUNCTION("""COMPUTED_VALUE"""),"")</f>
        <v/>
      </c>
      <c r="AS72" s="2" t="str">
        <f ca="1">IFERROR(__xludf.DUMMYFUNCTION("""COMPUTED_VALUE"""),"")</f>
        <v/>
      </c>
      <c r="AT72" s="2" t="str">
        <f ca="1">IFERROR(__xludf.DUMMYFUNCTION("""COMPUTED_VALUE"""),"")</f>
        <v/>
      </c>
      <c r="AU72" s="2" t="str">
        <f ca="1">IFERROR(__xludf.DUMMYFUNCTION("""COMPUTED_VALUE"""),"")</f>
        <v/>
      </c>
      <c r="AV72" s="2" t="str">
        <f ca="1">IFERROR(__xludf.DUMMYFUNCTION("""COMPUTED_VALUE"""),"")</f>
        <v/>
      </c>
      <c r="AW72" s="2" t="str">
        <f ca="1">IFERROR(__xludf.DUMMYFUNCTION("""COMPUTED_VALUE"""),"")</f>
        <v/>
      </c>
      <c r="AX72" s="2" t="str">
        <f ca="1">IFERROR(__xludf.DUMMYFUNCTION("""COMPUTED_VALUE"""),"")</f>
        <v/>
      </c>
      <c r="AY72" s="2" t="str">
        <f ca="1">IFERROR(__xludf.DUMMYFUNCTION("""COMPUTED_VALUE"""),"")</f>
        <v/>
      </c>
      <c r="AZ72" s="2" t="str">
        <f ca="1">IFERROR(__xludf.DUMMYFUNCTION("""COMPUTED_VALUE"""),"3D")</f>
        <v>3D</v>
      </c>
      <c r="BA72" s="2">
        <f ca="1">IFERROR(__xludf.DUMMYFUNCTION("""COMPUTED_VALUE"""),1789511)</f>
        <v>1789511</v>
      </c>
      <c r="BB72" s="2">
        <f ca="1">IFERROR(__xludf.DUMMYFUNCTION("""COMPUTED_VALUE"""),5776872)</f>
        <v>5776872</v>
      </c>
      <c r="BC72" s="2" t="str">
        <f ca="1">IFERROR(__xludf.DUMMYFUNCTION("""COMPUTED_VALUE"""),"Lat/Long: -38.1361275;175.162384;Fix accuracy = Fail")</f>
        <v>Lat/Long: -38.1361275;175.162384;Fix accuracy = Fail</v>
      </c>
      <c r="BD72" s="2" t="str">
        <f ca="1">IFERROR(__xludf.DUMMYFUNCTION("""COMPUTED_VALUE"""),"")</f>
        <v/>
      </c>
      <c r="BE72" s="2" t="str">
        <f ca="1">IFERROR(__xludf.DUMMYFUNCTION("""COMPUTED_VALUE"""),"")</f>
        <v/>
      </c>
      <c r="BF72" t="str">
        <f ca="1">IFERROR(__xludf.DUMMYFUNCTION("""COMPUTED_VALUE"""),"")</f>
        <v/>
      </c>
      <c r="BG72" t="str">
        <f ca="1">IFERROR(__xludf.DUMMYFUNCTION("""COMPUTED_VALUE"""),"")</f>
        <v/>
      </c>
      <c r="BH72" s="2" t="str">
        <f ca="1">IFERROR(__xludf.DUMMYFUNCTION("""COMPUTED_VALUE"""),"")</f>
        <v/>
      </c>
      <c r="BI72" s="13" t="str">
        <f ca="1">IFERROR(__xludf.DUMMYFUNCTION("""COMPUTED_VALUE"""),"")</f>
        <v/>
      </c>
      <c r="BJ72" s="9" t="str">
        <f ca="1">IFERROR(__xludf.DUMMYFUNCTION("""COMPUTED_VALUE"""),"")</f>
        <v/>
      </c>
      <c r="BK72" s="4" t="str">
        <f ca="1">IFERROR(__xludf.DUMMYFUNCTION("""COMPUTED_VALUE"""),"")</f>
        <v/>
      </c>
    </row>
    <row r="73" spans="1:63" ht="12.5" x14ac:dyDescent="0.25">
      <c r="A73" s="7">
        <f ca="1">IFERROR(__xludf.DUMMYFUNCTION("""COMPUTED_VALUE"""),43297.8819444444)</f>
        <v>43297.881944444402</v>
      </c>
      <c r="B73" s="8" t="str">
        <f ca="1">IFERROR(__xludf.DUMMYFUNCTION("""COMPUTED_VALUE"""),"Waikato")</f>
        <v>Waikato</v>
      </c>
      <c r="C73" s="2" t="str">
        <f ca="1">IFERROR(__xludf.DUMMYFUNCTION("""COMPUTED_VALUE"""),"")</f>
        <v/>
      </c>
      <c r="D73" s="9">
        <f ca="1">IFERROR(__xludf.DUMMYFUNCTION("""COMPUTED_VALUE"""),43288)</f>
        <v>43288</v>
      </c>
      <c r="E73" s="4">
        <f ca="1">IFERROR(__xludf.DUMMYFUNCTION("""COMPUTED_VALUE"""),0.917361111110949)</f>
        <v>0.91736111111094898</v>
      </c>
      <c r="F73" s="2" t="str">
        <f ca="1">IFERROR(__xludf.DUMMYFUNCTION("""COMPUTED_VALUE"""),"Near Kirikau")</f>
        <v>Near Kirikau</v>
      </c>
      <c r="G73" s="2" t="str">
        <f ca="1">IFERROR(__xludf.DUMMYFUNCTION("""COMPUTED_VALUE"""),"GPS: I converted data downloaded from ARGOS using Pinpoint software")</f>
        <v>GPS: I converted data downloaded from ARGOS using Pinpoint software</v>
      </c>
      <c r="H73" s="2" t="str">
        <f ca="1">IFERROR(__xludf.DUMMYFUNCTION("""COMPUTED_VALUE"""),"")</f>
        <v/>
      </c>
      <c r="I73" s="2" t="str">
        <f ca="1">IFERROR(__xludf.DUMMYFUNCTION("""COMPUTED_VALUE"""),"")</f>
        <v/>
      </c>
      <c r="J73" s="2" t="str">
        <f ca="1">IFERROR(__xludf.DUMMYFUNCTION("""COMPUTED_VALUE"""),"")</f>
        <v/>
      </c>
      <c r="K73" s="2" t="str">
        <f ca="1">IFERROR(__xludf.DUMMYFUNCTION("""COMPUTED_VALUE"""),"")</f>
        <v/>
      </c>
      <c r="L73" s="2" t="str">
        <f ca="1">IFERROR(__xludf.DUMMYFUNCTION("""COMPUTED_VALUE"""),"")</f>
        <v/>
      </c>
      <c r="M73" s="5" t="str">
        <f ca="1">IFERROR(__xludf.DUMMYFUNCTION("""COMPUTED_VALUE"""),"")</f>
        <v/>
      </c>
      <c r="N73" s="5" t="str">
        <f ca="1">IFERROR(__xludf.DUMMYFUNCTION("""COMPUTED_VALUE"""),"")</f>
        <v/>
      </c>
      <c r="O73" s="2" t="str">
        <f ca="1">IFERROR(__xludf.DUMMYFUNCTION("""COMPUTED_VALUE"""),"")</f>
        <v/>
      </c>
      <c r="P73" s="2" t="str">
        <f ca="1">IFERROR(__xludf.DUMMYFUNCTION("""COMPUTED_VALUE"""),"")</f>
        <v/>
      </c>
      <c r="Q73" s="2" t="str">
        <f ca="1">IFERROR(__xludf.DUMMYFUNCTION("""COMPUTED_VALUE"""),"")</f>
        <v/>
      </c>
      <c r="R73" s="2" t="str">
        <f ca="1">IFERROR(__xludf.DUMMYFUNCTION("""COMPUTED_VALUE"""),"")</f>
        <v/>
      </c>
      <c r="S73" s="2" t="str">
        <f ca="1">IFERROR(__xludf.DUMMYFUNCTION("""COMPUTED_VALUE"""),"")</f>
        <v/>
      </c>
      <c r="T73" s="2" t="str">
        <f ca="1">IFERROR(__xludf.DUMMYFUNCTION("""COMPUTED_VALUE"""),"")</f>
        <v/>
      </c>
      <c r="U73" s="2" t="str">
        <f ca="1">IFERROR(__xludf.DUMMYFUNCTION("""COMPUTED_VALUE"""),"")</f>
        <v/>
      </c>
      <c r="V73" s="2" t="str">
        <f ca="1">IFERROR(__xludf.DUMMYFUNCTION("""COMPUTED_VALUE"""),"")</f>
        <v/>
      </c>
      <c r="W73" s="2" t="str">
        <f ca="1">IFERROR(__xludf.DUMMYFUNCTION("""COMPUTED_VALUE"""),"")</f>
        <v/>
      </c>
      <c r="X73" s="2" t="str">
        <f ca="1">IFERROR(__xludf.DUMMYFUNCTION("""COMPUTED_VALUE"""),"")</f>
        <v/>
      </c>
      <c r="Y73" s="2" t="str">
        <f ca="1">IFERROR(__xludf.DUMMYFUNCTION("""COMPUTED_VALUE"""),"")</f>
        <v/>
      </c>
      <c r="Z73" s="2" t="str">
        <f ca="1">IFERROR(__xludf.DUMMYFUNCTION("""COMPUTED_VALUE"""),"")</f>
        <v/>
      </c>
      <c r="AA73" s="2" t="str">
        <f ca="1">IFERROR(__xludf.DUMMYFUNCTION("""COMPUTED_VALUE"""),"")</f>
        <v/>
      </c>
      <c r="AB73" s="2" t="str">
        <f ca="1">IFERROR(__xludf.DUMMYFUNCTION("""COMPUTED_VALUE"""),"")</f>
        <v/>
      </c>
      <c r="AC73" s="2" t="str">
        <f ca="1">IFERROR(__xludf.DUMMYFUNCTION("""COMPUTED_VALUE"""),"")</f>
        <v/>
      </c>
      <c r="AD73" s="2" t="str">
        <f ca="1">IFERROR(__xludf.DUMMYFUNCTION("""COMPUTED_VALUE"""),"")</f>
        <v/>
      </c>
      <c r="AE73" s="2" t="str">
        <f ca="1">IFERROR(__xludf.DUMMYFUNCTION("""COMPUTED_VALUE"""),"")</f>
        <v/>
      </c>
      <c r="AF73" s="2" t="str">
        <f ca="1">IFERROR(__xludf.DUMMYFUNCTION("""COMPUTED_VALUE"""),"")</f>
        <v/>
      </c>
      <c r="AG73" s="2" t="str">
        <f ca="1">IFERROR(__xludf.DUMMYFUNCTION("""COMPUTED_VALUE"""),"")</f>
        <v/>
      </c>
      <c r="AH73" s="2" t="str">
        <f ca="1">IFERROR(__xludf.DUMMYFUNCTION("""COMPUTED_VALUE"""),"")</f>
        <v/>
      </c>
      <c r="AI73" s="2" t="str">
        <f ca="1">IFERROR(__xludf.DUMMYFUNCTION("""COMPUTED_VALUE"""),"")</f>
        <v/>
      </c>
      <c r="AJ73" s="2" t="str">
        <f ca="1">IFERROR(__xludf.DUMMYFUNCTION("""COMPUTED_VALUE"""),"")</f>
        <v/>
      </c>
      <c r="AK73" s="2" t="str">
        <f ca="1">IFERROR(__xludf.DUMMYFUNCTION("""COMPUTED_VALUE"""),"")</f>
        <v/>
      </c>
      <c r="AL73" s="2" t="str">
        <f ca="1">IFERROR(__xludf.DUMMYFUNCTION("""COMPUTED_VALUE"""),"")</f>
        <v/>
      </c>
      <c r="AM73" s="2" t="str">
        <f ca="1">IFERROR(__xludf.DUMMYFUNCTION("""COMPUTED_VALUE"""),"")</f>
        <v/>
      </c>
      <c r="AN73" s="2" t="str">
        <f ca="1">IFERROR(__xludf.DUMMYFUNCTION("""COMPUTED_VALUE"""),"")</f>
        <v/>
      </c>
      <c r="AO73" s="2" t="str">
        <f ca="1">IFERROR(__xludf.DUMMYFUNCTION("""COMPUTED_VALUE"""),"")</f>
        <v/>
      </c>
      <c r="AP73" s="2" t="str">
        <f ca="1">IFERROR(__xludf.DUMMYFUNCTION("""COMPUTED_VALUE"""),"")</f>
        <v/>
      </c>
      <c r="AQ73" s="2" t="str">
        <f ca="1">IFERROR(__xludf.DUMMYFUNCTION("""COMPUTED_VALUE"""),"")</f>
        <v/>
      </c>
      <c r="AR73" s="2" t="str">
        <f ca="1">IFERROR(__xludf.DUMMYFUNCTION("""COMPUTED_VALUE"""),"")</f>
        <v/>
      </c>
      <c r="AS73" s="2" t="str">
        <f ca="1">IFERROR(__xludf.DUMMYFUNCTION("""COMPUTED_VALUE"""),"")</f>
        <v/>
      </c>
      <c r="AT73" s="2" t="str">
        <f ca="1">IFERROR(__xludf.DUMMYFUNCTION("""COMPUTED_VALUE"""),"")</f>
        <v/>
      </c>
      <c r="AU73" s="2" t="str">
        <f ca="1">IFERROR(__xludf.DUMMYFUNCTION("""COMPUTED_VALUE"""),"")</f>
        <v/>
      </c>
      <c r="AV73" s="2" t="str">
        <f ca="1">IFERROR(__xludf.DUMMYFUNCTION("""COMPUTED_VALUE"""),"")</f>
        <v/>
      </c>
      <c r="AW73" s="2" t="str">
        <f ca="1">IFERROR(__xludf.DUMMYFUNCTION("""COMPUTED_VALUE"""),"")</f>
        <v/>
      </c>
      <c r="AX73" s="2" t="str">
        <f ca="1">IFERROR(__xludf.DUMMYFUNCTION("""COMPUTED_VALUE"""),"")</f>
        <v/>
      </c>
      <c r="AY73" s="2" t="str">
        <f ca="1">IFERROR(__xludf.DUMMYFUNCTION("""COMPUTED_VALUE"""),"")</f>
        <v/>
      </c>
      <c r="AZ73" s="2" t="str">
        <f ca="1">IFERROR(__xludf.DUMMYFUNCTION("""COMPUTED_VALUE"""),"3D")</f>
        <v>3D</v>
      </c>
      <c r="BA73" s="2">
        <f ca="1">IFERROR(__xludf.DUMMYFUNCTION("""COMPUTED_VALUE"""),1787311)</f>
        <v>1787311</v>
      </c>
      <c r="BB73" s="2">
        <f ca="1">IFERROR(__xludf.DUMMYFUNCTION("""COMPUTED_VALUE"""),5683411)</f>
        <v>5683411</v>
      </c>
      <c r="BC73" s="2" t="str">
        <f ca="1">IFERROR(__xludf.DUMMYFUNCTION("""COMPUTED_VALUE"""),"Lat/Long: -38.9782639;175.162384;Fix accuracy = Fail")</f>
        <v>Lat/Long: -38.9782639;175.162384;Fix accuracy = Fail</v>
      </c>
      <c r="BD73" s="2" t="str">
        <f ca="1">IFERROR(__xludf.DUMMYFUNCTION("""COMPUTED_VALUE"""),"")</f>
        <v/>
      </c>
      <c r="BE73" s="2" t="str">
        <f ca="1">IFERROR(__xludf.DUMMYFUNCTION("""COMPUTED_VALUE"""),"")</f>
        <v/>
      </c>
      <c r="BF73" t="str">
        <f ca="1">IFERROR(__xludf.DUMMYFUNCTION("""COMPUTED_VALUE"""),"")</f>
        <v/>
      </c>
      <c r="BG73" t="str">
        <f ca="1">IFERROR(__xludf.DUMMYFUNCTION("""COMPUTED_VALUE"""),"")</f>
        <v/>
      </c>
      <c r="BH73" s="2" t="str">
        <f ca="1">IFERROR(__xludf.DUMMYFUNCTION("""COMPUTED_VALUE"""),"")</f>
        <v/>
      </c>
      <c r="BI73" s="12" t="str">
        <f ca="1">IFERROR(__xludf.DUMMYFUNCTION("""COMPUTED_VALUE"""),"")</f>
        <v/>
      </c>
      <c r="BJ73" s="9" t="str">
        <f ca="1">IFERROR(__xludf.DUMMYFUNCTION("""COMPUTED_VALUE"""),"")</f>
        <v/>
      </c>
      <c r="BK73" s="4" t="str">
        <f ca="1">IFERROR(__xludf.DUMMYFUNCTION("""COMPUTED_VALUE"""),"")</f>
        <v/>
      </c>
    </row>
    <row r="74" spans="1:63" ht="12.5" x14ac:dyDescent="0.25">
      <c r="A74" s="7">
        <f ca="1">IFERROR(__xludf.DUMMYFUNCTION("""COMPUTED_VALUE"""),43297.8819444444)</f>
        <v>43297.881944444402</v>
      </c>
      <c r="B74" s="8" t="str">
        <f ca="1">IFERROR(__xludf.DUMMYFUNCTION("""COMPUTED_VALUE"""),"Waikato")</f>
        <v>Waikato</v>
      </c>
      <c r="C74" s="2" t="str">
        <f ca="1">IFERROR(__xludf.DUMMYFUNCTION("""COMPUTED_VALUE"""),"")</f>
        <v/>
      </c>
      <c r="D74" s="9">
        <f ca="1">IFERROR(__xludf.DUMMYFUNCTION("""COMPUTED_VALUE"""),43294)</f>
        <v>43294</v>
      </c>
      <c r="E74" s="4">
        <f ca="1">IFERROR(__xludf.DUMMYFUNCTION("""COMPUTED_VALUE"""),0.360416666666424)</f>
        <v>0.36041666666642402</v>
      </c>
      <c r="F74" s="2" t="str">
        <f ca="1">IFERROR(__xludf.DUMMYFUNCTION("""COMPUTED_VALUE"""),"Whangamarino - Peat bog North Peter Buckleys")</f>
        <v>Whangamarino - Peat bog North Peter Buckleys</v>
      </c>
      <c r="G74" s="2" t="str">
        <f ca="1">IFERROR(__xludf.DUMMYFUNCTION("""COMPUTED_VALUE"""),"GPS: I converted data downloaded from ARGOS using Pinpoint software")</f>
        <v>GPS: I converted data downloaded from ARGOS using Pinpoint software</v>
      </c>
      <c r="H74" s="2" t="str">
        <f ca="1">IFERROR(__xludf.DUMMYFUNCTION("""COMPUTED_VALUE"""),"")</f>
        <v/>
      </c>
      <c r="I74" s="2" t="str">
        <f ca="1">IFERROR(__xludf.DUMMYFUNCTION("""COMPUTED_VALUE"""),"")</f>
        <v/>
      </c>
      <c r="J74" s="2" t="str">
        <f ca="1">IFERROR(__xludf.DUMMYFUNCTION("""COMPUTED_VALUE"""),"")</f>
        <v/>
      </c>
      <c r="K74" s="2" t="str">
        <f ca="1">IFERROR(__xludf.DUMMYFUNCTION("""COMPUTED_VALUE"""),"")</f>
        <v/>
      </c>
      <c r="L74" s="2" t="str">
        <f ca="1">IFERROR(__xludf.DUMMYFUNCTION("""COMPUTED_VALUE"""),"")</f>
        <v/>
      </c>
      <c r="M74" s="5" t="str">
        <f ca="1">IFERROR(__xludf.DUMMYFUNCTION("""COMPUTED_VALUE"""),"")</f>
        <v/>
      </c>
      <c r="N74" s="5" t="str">
        <f ca="1">IFERROR(__xludf.DUMMYFUNCTION("""COMPUTED_VALUE"""),"")</f>
        <v/>
      </c>
      <c r="O74" s="2" t="str">
        <f ca="1">IFERROR(__xludf.DUMMYFUNCTION("""COMPUTED_VALUE"""),"")</f>
        <v/>
      </c>
      <c r="P74" s="2" t="str">
        <f ca="1">IFERROR(__xludf.DUMMYFUNCTION("""COMPUTED_VALUE"""),"")</f>
        <v/>
      </c>
      <c r="Q74" s="2" t="str">
        <f ca="1">IFERROR(__xludf.DUMMYFUNCTION("""COMPUTED_VALUE"""),"")</f>
        <v/>
      </c>
      <c r="R74" s="2" t="str">
        <f ca="1">IFERROR(__xludf.DUMMYFUNCTION("""COMPUTED_VALUE"""),"")</f>
        <v/>
      </c>
      <c r="S74" s="2" t="str">
        <f ca="1">IFERROR(__xludf.DUMMYFUNCTION("""COMPUTED_VALUE"""),"")</f>
        <v/>
      </c>
      <c r="T74" s="2" t="str">
        <f ca="1">IFERROR(__xludf.DUMMYFUNCTION("""COMPUTED_VALUE"""),"")</f>
        <v/>
      </c>
      <c r="U74" s="2" t="str">
        <f ca="1">IFERROR(__xludf.DUMMYFUNCTION("""COMPUTED_VALUE"""),"")</f>
        <v/>
      </c>
      <c r="V74" s="2" t="str">
        <f ca="1">IFERROR(__xludf.DUMMYFUNCTION("""COMPUTED_VALUE"""),"")</f>
        <v/>
      </c>
      <c r="W74" s="2" t="str">
        <f ca="1">IFERROR(__xludf.DUMMYFUNCTION("""COMPUTED_VALUE"""),"")</f>
        <v/>
      </c>
      <c r="X74" s="2" t="str">
        <f ca="1">IFERROR(__xludf.DUMMYFUNCTION("""COMPUTED_VALUE"""),"")</f>
        <v/>
      </c>
      <c r="Y74" s="2" t="str">
        <f ca="1">IFERROR(__xludf.DUMMYFUNCTION("""COMPUTED_VALUE"""),"")</f>
        <v/>
      </c>
      <c r="Z74" s="2" t="str">
        <f ca="1">IFERROR(__xludf.DUMMYFUNCTION("""COMPUTED_VALUE"""),"")</f>
        <v/>
      </c>
      <c r="AA74" s="2" t="str">
        <f ca="1">IFERROR(__xludf.DUMMYFUNCTION("""COMPUTED_VALUE"""),"")</f>
        <v/>
      </c>
      <c r="AB74" s="2" t="str">
        <f ca="1">IFERROR(__xludf.DUMMYFUNCTION("""COMPUTED_VALUE"""),"")</f>
        <v/>
      </c>
      <c r="AC74" s="2" t="str">
        <f ca="1">IFERROR(__xludf.DUMMYFUNCTION("""COMPUTED_VALUE"""),"")</f>
        <v/>
      </c>
      <c r="AD74" s="2" t="str">
        <f ca="1">IFERROR(__xludf.DUMMYFUNCTION("""COMPUTED_VALUE"""),"")</f>
        <v/>
      </c>
      <c r="AE74" s="2" t="str">
        <f ca="1">IFERROR(__xludf.DUMMYFUNCTION("""COMPUTED_VALUE"""),"")</f>
        <v/>
      </c>
      <c r="AF74" s="2" t="str">
        <f ca="1">IFERROR(__xludf.DUMMYFUNCTION("""COMPUTED_VALUE"""),"")</f>
        <v/>
      </c>
      <c r="AG74" s="2" t="str">
        <f ca="1">IFERROR(__xludf.DUMMYFUNCTION("""COMPUTED_VALUE"""),"")</f>
        <v/>
      </c>
      <c r="AH74" s="2" t="str">
        <f ca="1">IFERROR(__xludf.DUMMYFUNCTION("""COMPUTED_VALUE"""),"")</f>
        <v/>
      </c>
      <c r="AI74" s="2" t="str">
        <f ca="1">IFERROR(__xludf.DUMMYFUNCTION("""COMPUTED_VALUE"""),"")</f>
        <v/>
      </c>
      <c r="AJ74" s="2" t="str">
        <f ca="1">IFERROR(__xludf.DUMMYFUNCTION("""COMPUTED_VALUE"""),"")</f>
        <v/>
      </c>
      <c r="AK74" s="2" t="str">
        <f ca="1">IFERROR(__xludf.DUMMYFUNCTION("""COMPUTED_VALUE"""),"")</f>
        <v/>
      </c>
      <c r="AL74" s="2" t="str">
        <f ca="1">IFERROR(__xludf.DUMMYFUNCTION("""COMPUTED_VALUE"""),"")</f>
        <v/>
      </c>
      <c r="AM74" s="2" t="str">
        <f ca="1">IFERROR(__xludf.DUMMYFUNCTION("""COMPUTED_VALUE"""),"")</f>
        <v/>
      </c>
      <c r="AN74" s="2" t="str">
        <f ca="1">IFERROR(__xludf.DUMMYFUNCTION("""COMPUTED_VALUE"""),"")</f>
        <v/>
      </c>
      <c r="AO74" s="2" t="str">
        <f ca="1">IFERROR(__xludf.DUMMYFUNCTION("""COMPUTED_VALUE"""),"")</f>
        <v/>
      </c>
      <c r="AP74" s="2" t="str">
        <f ca="1">IFERROR(__xludf.DUMMYFUNCTION("""COMPUTED_VALUE"""),"")</f>
        <v/>
      </c>
      <c r="AQ74" s="2" t="str">
        <f ca="1">IFERROR(__xludf.DUMMYFUNCTION("""COMPUTED_VALUE"""),"")</f>
        <v/>
      </c>
      <c r="AR74" s="2" t="str">
        <f ca="1">IFERROR(__xludf.DUMMYFUNCTION("""COMPUTED_VALUE"""),"")</f>
        <v/>
      </c>
      <c r="AS74" s="2" t="str">
        <f ca="1">IFERROR(__xludf.DUMMYFUNCTION("""COMPUTED_VALUE"""),"")</f>
        <v/>
      </c>
      <c r="AT74" s="2" t="str">
        <f ca="1">IFERROR(__xludf.DUMMYFUNCTION("""COMPUTED_VALUE"""),"")</f>
        <v/>
      </c>
      <c r="AU74" s="2" t="str">
        <f ca="1">IFERROR(__xludf.DUMMYFUNCTION("""COMPUTED_VALUE"""),"")</f>
        <v/>
      </c>
      <c r="AV74" s="2" t="str">
        <f ca="1">IFERROR(__xludf.DUMMYFUNCTION("""COMPUTED_VALUE"""),"")</f>
        <v/>
      </c>
      <c r="AW74" s="2" t="str">
        <f ca="1">IFERROR(__xludf.DUMMYFUNCTION("""COMPUTED_VALUE"""),"")</f>
        <v/>
      </c>
      <c r="AX74" s="2" t="str">
        <f ca="1">IFERROR(__xludf.DUMMYFUNCTION("""COMPUTED_VALUE"""),"")</f>
        <v/>
      </c>
      <c r="AY74" s="2" t="str">
        <f ca="1">IFERROR(__xludf.DUMMYFUNCTION("""COMPUTED_VALUE"""),"")</f>
        <v/>
      </c>
      <c r="AZ74" s="2" t="str">
        <f ca="1">IFERROR(__xludf.DUMMYFUNCTION("""COMPUTED_VALUE"""),"A3")</f>
        <v>A3</v>
      </c>
      <c r="BA74" s="2">
        <f ca="1">IFERROR(__xludf.DUMMYFUNCTION("""COMPUTED_VALUE"""),1791526)</f>
        <v>1791526</v>
      </c>
      <c r="BB74" s="2">
        <f ca="1">IFERROR(__xludf.DUMMYFUNCTION("""COMPUTED_VALUE"""),5869435)</f>
        <v>5869435</v>
      </c>
      <c r="BC74" s="2" t="str">
        <f ca="1">IFERROR(__xludf.DUMMYFUNCTION("""COMPUTED_VALUE"""),"Lat/Long: -37.302;175.161;Fix accuracy = OK")</f>
        <v>Lat/Long: -37.302;175.161;Fix accuracy = OK</v>
      </c>
      <c r="BD74" s="2" t="str">
        <f ca="1">IFERROR(__xludf.DUMMYFUNCTION("""COMPUTED_VALUE"""),"")</f>
        <v/>
      </c>
      <c r="BE74" s="2" t="str">
        <f ca="1">IFERROR(__xludf.DUMMYFUNCTION("""COMPUTED_VALUE"""),"")</f>
        <v/>
      </c>
      <c r="BF74" t="str">
        <f ca="1">IFERROR(__xludf.DUMMYFUNCTION("""COMPUTED_VALUE"""),"")</f>
        <v/>
      </c>
      <c r="BG74" t="str">
        <f ca="1">IFERROR(__xludf.DUMMYFUNCTION("""COMPUTED_VALUE"""),"")</f>
        <v/>
      </c>
      <c r="BH74" s="2" t="str">
        <f ca="1">IFERROR(__xludf.DUMMYFUNCTION("""COMPUTED_VALUE"""),"")</f>
        <v/>
      </c>
      <c r="BI74" s="13" t="str">
        <f ca="1">IFERROR(__xludf.DUMMYFUNCTION("""COMPUTED_VALUE"""),"")</f>
        <v/>
      </c>
      <c r="BJ74" s="9" t="str">
        <f ca="1">IFERROR(__xludf.DUMMYFUNCTION("""COMPUTED_VALUE"""),"")</f>
        <v/>
      </c>
      <c r="BK74" s="4" t="str">
        <f ca="1">IFERROR(__xludf.DUMMYFUNCTION("""COMPUTED_VALUE"""),"")</f>
        <v/>
      </c>
    </row>
    <row r="75" spans="1:63" ht="12.5" x14ac:dyDescent="0.25">
      <c r="A75" s="7" t="str">
        <f ca="1">IFERROR(__xludf.DUMMYFUNCTION("""COMPUTED_VALUE"""),"")</f>
        <v/>
      </c>
      <c r="B75" s="8" t="str">
        <f ca="1">IFERROR(__xludf.DUMMYFUNCTION("""COMPUTED_VALUE"""),"Waikato")</f>
        <v>Waikato</v>
      </c>
      <c r="C75" s="2">
        <f ca="1">IFERROR(__xludf.DUMMYFUNCTION("""COMPUTED_VALUE"""),64)</f>
        <v>64</v>
      </c>
      <c r="D75" s="9" t="str">
        <f ca="1">IFERROR(__xludf.DUMMYFUNCTION("""COMPUTED_VALUE"""),"")</f>
        <v/>
      </c>
      <c r="E75" s="4" t="str">
        <f ca="1">IFERROR(__xludf.DUMMYFUNCTION("""COMPUTED_VALUE"""),"")</f>
        <v/>
      </c>
      <c r="F75" s="2" t="str">
        <f ca="1">IFERROR(__xludf.DUMMYFUNCTION("""COMPUTED_VALUE"""),"")</f>
        <v/>
      </c>
      <c r="G75" s="2" t="str">
        <f ca="1">IFERROR(__xludf.DUMMYFUNCTION("""COMPUTED_VALUE"""),"GPS: I converted data downloaded from ARGOS using Pinpoint software")</f>
        <v>GPS: I converted data downloaded from ARGOS using Pinpoint software</v>
      </c>
      <c r="H75" s="2" t="str">
        <f ca="1">IFERROR(__xludf.DUMMYFUNCTION("""COMPUTED_VALUE"""),"3D")</f>
        <v>3D</v>
      </c>
      <c r="I75" s="2" t="str">
        <f ca="1">IFERROR(__xludf.DUMMYFUNCTION("""COMPUTED_VALUE"""),"")</f>
        <v/>
      </c>
      <c r="J75" s="2" t="str">
        <f ca="1">IFERROR(__xludf.DUMMYFUNCTION("""COMPUTED_VALUE"""),"")</f>
        <v/>
      </c>
      <c r="K75" s="2" t="str">
        <f ca="1">IFERROR(__xludf.DUMMYFUNCTION("""COMPUTED_VALUE"""),"")</f>
        <v/>
      </c>
      <c r="L75" s="2" t="str">
        <f ca="1">IFERROR(__xludf.DUMMYFUNCTION("""COMPUTED_VALUE"""),"")</f>
        <v/>
      </c>
      <c r="M75" s="5" t="str">
        <f ca="1">IFERROR(__xludf.DUMMYFUNCTION("""COMPUTED_VALUE"""),"")</f>
        <v/>
      </c>
      <c r="N75" s="5" t="str">
        <f ca="1">IFERROR(__xludf.DUMMYFUNCTION("""COMPUTED_VALUE"""),"")</f>
        <v/>
      </c>
      <c r="O75" s="2" t="str">
        <f ca="1">IFERROR(__xludf.DUMMYFUNCTION("""COMPUTED_VALUE"""),"")</f>
        <v/>
      </c>
      <c r="P75" s="2" t="str">
        <f ca="1">IFERROR(__xludf.DUMMYFUNCTION("""COMPUTED_VALUE"""),"")</f>
        <v/>
      </c>
      <c r="Q75" s="2" t="str">
        <f ca="1">IFERROR(__xludf.DUMMYFUNCTION("""COMPUTED_VALUE"""),"")</f>
        <v/>
      </c>
      <c r="R75" s="2" t="str">
        <f ca="1">IFERROR(__xludf.DUMMYFUNCTION("""COMPUTED_VALUE"""),"")</f>
        <v/>
      </c>
      <c r="S75" s="2" t="str">
        <f ca="1">IFERROR(__xludf.DUMMYFUNCTION("""COMPUTED_VALUE"""),"")</f>
        <v/>
      </c>
      <c r="T75" s="2" t="str">
        <f ca="1">IFERROR(__xludf.DUMMYFUNCTION("""COMPUTED_VALUE"""),"")</f>
        <v/>
      </c>
      <c r="U75" s="2" t="str">
        <f ca="1">IFERROR(__xludf.DUMMYFUNCTION("""COMPUTED_VALUE"""),"")</f>
        <v/>
      </c>
      <c r="V75" s="2" t="str">
        <f ca="1">IFERROR(__xludf.DUMMYFUNCTION("""COMPUTED_VALUE"""),"")</f>
        <v/>
      </c>
      <c r="W75" s="2" t="str">
        <f ca="1">IFERROR(__xludf.DUMMYFUNCTION("""COMPUTED_VALUE"""),"")</f>
        <v/>
      </c>
      <c r="X75" s="2" t="str">
        <f ca="1">IFERROR(__xludf.DUMMYFUNCTION("""COMPUTED_VALUE"""),"")</f>
        <v/>
      </c>
      <c r="Y75" s="2" t="str">
        <f ca="1">IFERROR(__xludf.DUMMYFUNCTION("""COMPUTED_VALUE"""),"")</f>
        <v/>
      </c>
      <c r="Z75" s="2" t="str">
        <f ca="1">IFERROR(__xludf.DUMMYFUNCTION("""COMPUTED_VALUE"""),"")</f>
        <v/>
      </c>
      <c r="AA75" s="2" t="str">
        <f ca="1">IFERROR(__xludf.DUMMYFUNCTION("""COMPUTED_VALUE"""),"")</f>
        <v/>
      </c>
      <c r="AB75" s="2" t="str">
        <f ca="1">IFERROR(__xludf.DUMMYFUNCTION("""COMPUTED_VALUE"""),"")</f>
        <v/>
      </c>
      <c r="AC75" s="2" t="str">
        <f ca="1">IFERROR(__xludf.DUMMYFUNCTION("""COMPUTED_VALUE"""),"")</f>
        <v/>
      </c>
      <c r="AD75" s="2" t="str">
        <f ca="1">IFERROR(__xludf.DUMMYFUNCTION("""COMPUTED_VALUE"""),"")</f>
        <v/>
      </c>
      <c r="AE75" s="2" t="str">
        <f ca="1">IFERROR(__xludf.DUMMYFUNCTION("""COMPUTED_VALUE"""),"")</f>
        <v/>
      </c>
      <c r="AF75" s="2" t="str">
        <f ca="1">IFERROR(__xludf.DUMMYFUNCTION("""COMPUTED_VALUE"""),"")</f>
        <v/>
      </c>
      <c r="AG75" s="2" t="str">
        <f ca="1">IFERROR(__xludf.DUMMYFUNCTION("""COMPUTED_VALUE"""),"")</f>
        <v/>
      </c>
      <c r="AH75" s="2" t="str">
        <f ca="1">IFERROR(__xludf.DUMMYFUNCTION("""COMPUTED_VALUE"""),"")</f>
        <v/>
      </c>
      <c r="AI75" s="2" t="str">
        <f ca="1">IFERROR(__xludf.DUMMYFUNCTION("""COMPUTED_VALUE"""),"")</f>
        <v/>
      </c>
      <c r="AJ75" s="2" t="str">
        <f ca="1">IFERROR(__xludf.DUMMYFUNCTION("""COMPUTED_VALUE"""),"")</f>
        <v/>
      </c>
      <c r="AK75" s="2" t="str">
        <f ca="1">IFERROR(__xludf.DUMMYFUNCTION("""COMPUTED_VALUE"""),"")</f>
        <v/>
      </c>
      <c r="AL75" s="2" t="str">
        <f ca="1">IFERROR(__xludf.DUMMYFUNCTION("""COMPUTED_VALUE"""),"")</f>
        <v/>
      </c>
      <c r="AM75" s="2" t="str">
        <f ca="1">IFERROR(__xludf.DUMMYFUNCTION("""COMPUTED_VALUE"""),"")</f>
        <v/>
      </c>
      <c r="AN75" s="2" t="str">
        <f ca="1">IFERROR(__xludf.DUMMYFUNCTION("""COMPUTED_VALUE"""),"")</f>
        <v/>
      </c>
      <c r="AO75" s="2" t="str">
        <f ca="1">IFERROR(__xludf.DUMMYFUNCTION("""COMPUTED_VALUE"""),"")</f>
        <v/>
      </c>
      <c r="AP75" s="2" t="str">
        <f ca="1">IFERROR(__xludf.DUMMYFUNCTION("""COMPUTED_VALUE"""),"")</f>
        <v/>
      </c>
      <c r="AQ75" s="2" t="str">
        <f ca="1">IFERROR(__xludf.DUMMYFUNCTION("""COMPUTED_VALUE"""),"")</f>
        <v/>
      </c>
      <c r="AR75" s="2" t="str">
        <f ca="1">IFERROR(__xludf.DUMMYFUNCTION("""COMPUTED_VALUE"""),"")</f>
        <v/>
      </c>
      <c r="AS75" s="2" t="str">
        <f ca="1">IFERROR(__xludf.DUMMYFUNCTION("""COMPUTED_VALUE"""),"")</f>
        <v/>
      </c>
      <c r="AT75" s="2" t="str">
        <f ca="1">IFERROR(__xludf.DUMMYFUNCTION("""COMPUTED_VALUE"""),"")</f>
        <v/>
      </c>
      <c r="AU75" s="2" t="str">
        <f ca="1">IFERROR(__xludf.DUMMYFUNCTION("""COMPUTED_VALUE"""),"")</f>
        <v/>
      </c>
      <c r="AV75" s="2" t="str">
        <f ca="1">IFERROR(__xludf.DUMMYFUNCTION("""COMPUTED_VALUE"""),"")</f>
        <v/>
      </c>
      <c r="AW75" s="2" t="str">
        <f ca="1">IFERROR(__xludf.DUMMYFUNCTION("""COMPUTED_VALUE"""),"")</f>
        <v/>
      </c>
      <c r="AX75" s="2" t="str">
        <f ca="1">IFERROR(__xludf.DUMMYFUNCTION("""COMPUTED_VALUE"""),"")</f>
        <v/>
      </c>
      <c r="AY75" s="2" t="str">
        <f ca="1">IFERROR(__xludf.DUMMYFUNCTION("""COMPUTED_VALUE"""),"")</f>
        <v/>
      </c>
      <c r="AZ75" s="2" t="str">
        <f ca="1">IFERROR(__xludf.DUMMYFUNCTION("""COMPUTED_VALUE"""),"")</f>
        <v/>
      </c>
      <c r="BA75" s="2" t="str">
        <f ca="1">IFERROR(__xludf.DUMMYFUNCTION("""COMPUTED_VALUE"""),"")</f>
        <v/>
      </c>
      <c r="BB75" s="2" t="str">
        <f ca="1">IFERROR(__xludf.DUMMYFUNCTION("""COMPUTED_VALUE"""),"")</f>
        <v/>
      </c>
      <c r="BC75" s="2" t="str">
        <f ca="1">IFERROR(__xludf.DUMMYFUNCTION("""COMPUTED_VALUE"""),"")</f>
        <v/>
      </c>
      <c r="BD75" s="2" t="str">
        <f ca="1">IFERROR(__xludf.DUMMYFUNCTION("""COMPUTED_VALUE"""),"")</f>
        <v/>
      </c>
      <c r="BE75" s="2" t="str">
        <f ca="1">IFERROR(__xludf.DUMMYFUNCTION("""COMPUTED_VALUE"""),"")</f>
        <v/>
      </c>
      <c r="BF75" t="str">
        <f ca="1">IFERROR(__xludf.DUMMYFUNCTION("""COMPUTED_VALUE"""),"")</f>
        <v/>
      </c>
      <c r="BG75" t="str">
        <f ca="1">IFERROR(__xludf.DUMMYFUNCTION("""COMPUTED_VALUE"""),"")</f>
        <v/>
      </c>
      <c r="BH75" s="2">
        <f ca="1">IFERROR(__xludf.DUMMYFUNCTION("""COMPUTED_VALUE"""),-37.3430672)</f>
        <v>-37.3430672</v>
      </c>
      <c r="BI75" s="12">
        <f ca="1">IFERROR(__xludf.DUMMYFUNCTION("""COMPUTED_VALUE"""),175.1592102)</f>
        <v>175.15921019999999</v>
      </c>
      <c r="BJ75" s="9">
        <f ca="1">IFERROR(__xludf.DUMMYFUNCTION("""COMPUTED_VALUE"""),43392)</f>
        <v>43392</v>
      </c>
      <c r="BK75" s="4">
        <f ca="1">IFERROR(__xludf.DUMMYFUNCTION("""COMPUTED_VALUE"""),0.457777777777664)</f>
        <v>0.45777777777766399</v>
      </c>
    </row>
    <row r="76" spans="1:63" ht="12.5" x14ac:dyDescent="0.25">
      <c r="A76" s="7" t="str">
        <f ca="1">IFERROR(__xludf.DUMMYFUNCTION("""COMPUTED_VALUE"""),"")</f>
        <v/>
      </c>
      <c r="B76" s="8" t="str">
        <f ca="1">IFERROR(__xludf.DUMMYFUNCTION("""COMPUTED_VALUE"""),"Waikato")</f>
        <v>Waikato</v>
      </c>
      <c r="C76" s="2">
        <f ca="1">IFERROR(__xludf.DUMMYFUNCTION("""COMPUTED_VALUE"""),64)</f>
        <v>64</v>
      </c>
      <c r="D76" s="9" t="str">
        <f ca="1">IFERROR(__xludf.DUMMYFUNCTION("""COMPUTED_VALUE"""),"")</f>
        <v/>
      </c>
      <c r="E76" s="4" t="str">
        <f ca="1">IFERROR(__xludf.DUMMYFUNCTION("""COMPUTED_VALUE"""),"")</f>
        <v/>
      </c>
      <c r="F76" s="2" t="str">
        <f ca="1">IFERROR(__xludf.DUMMYFUNCTION("""COMPUTED_VALUE"""),"")</f>
        <v/>
      </c>
      <c r="G76" s="2" t="str">
        <f ca="1">IFERROR(__xludf.DUMMYFUNCTION("""COMPUTED_VALUE"""),"GPS: I converted data downloaded from ARGOS using Pinpoint software")</f>
        <v>GPS: I converted data downloaded from ARGOS using Pinpoint software</v>
      </c>
      <c r="H76" s="2" t="str">
        <f ca="1">IFERROR(__xludf.DUMMYFUNCTION("""COMPUTED_VALUE"""),"3D")</f>
        <v>3D</v>
      </c>
      <c r="I76" s="2" t="str">
        <f ca="1">IFERROR(__xludf.DUMMYFUNCTION("""COMPUTED_VALUE"""),"")</f>
        <v/>
      </c>
      <c r="J76" s="2" t="str">
        <f ca="1">IFERROR(__xludf.DUMMYFUNCTION("""COMPUTED_VALUE"""),"")</f>
        <v/>
      </c>
      <c r="K76" s="2" t="str">
        <f ca="1">IFERROR(__xludf.DUMMYFUNCTION("""COMPUTED_VALUE"""),"")</f>
        <v/>
      </c>
      <c r="L76" s="2" t="str">
        <f ca="1">IFERROR(__xludf.DUMMYFUNCTION("""COMPUTED_VALUE"""),"")</f>
        <v/>
      </c>
      <c r="M76" s="5" t="str">
        <f ca="1">IFERROR(__xludf.DUMMYFUNCTION("""COMPUTED_VALUE"""),"")</f>
        <v/>
      </c>
      <c r="N76" s="5" t="str">
        <f ca="1">IFERROR(__xludf.DUMMYFUNCTION("""COMPUTED_VALUE"""),"")</f>
        <v/>
      </c>
      <c r="O76" s="2" t="str">
        <f ca="1">IFERROR(__xludf.DUMMYFUNCTION("""COMPUTED_VALUE"""),"")</f>
        <v/>
      </c>
      <c r="P76" s="2" t="str">
        <f ca="1">IFERROR(__xludf.DUMMYFUNCTION("""COMPUTED_VALUE"""),"")</f>
        <v/>
      </c>
      <c r="Q76" s="2" t="str">
        <f ca="1">IFERROR(__xludf.DUMMYFUNCTION("""COMPUTED_VALUE"""),"")</f>
        <v/>
      </c>
      <c r="R76" s="2" t="str">
        <f ca="1">IFERROR(__xludf.DUMMYFUNCTION("""COMPUTED_VALUE"""),"")</f>
        <v/>
      </c>
      <c r="S76" s="2" t="str">
        <f ca="1">IFERROR(__xludf.DUMMYFUNCTION("""COMPUTED_VALUE"""),"")</f>
        <v/>
      </c>
      <c r="T76" s="2" t="str">
        <f ca="1">IFERROR(__xludf.DUMMYFUNCTION("""COMPUTED_VALUE"""),"")</f>
        <v/>
      </c>
      <c r="U76" s="2" t="str">
        <f ca="1">IFERROR(__xludf.DUMMYFUNCTION("""COMPUTED_VALUE"""),"")</f>
        <v/>
      </c>
      <c r="V76" s="2" t="str">
        <f ca="1">IFERROR(__xludf.DUMMYFUNCTION("""COMPUTED_VALUE"""),"")</f>
        <v/>
      </c>
      <c r="W76" s="2" t="str">
        <f ca="1">IFERROR(__xludf.DUMMYFUNCTION("""COMPUTED_VALUE"""),"")</f>
        <v/>
      </c>
      <c r="X76" s="2" t="str">
        <f ca="1">IFERROR(__xludf.DUMMYFUNCTION("""COMPUTED_VALUE"""),"")</f>
        <v/>
      </c>
      <c r="Y76" s="2" t="str">
        <f ca="1">IFERROR(__xludf.DUMMYFUNCTION("""COMPUTED_VALUE"""),"")</f>
        <v/>
      </c>
      <c r="Z76" s="2" t="str">
        <f ca="1">IFERROR(__xludf.DUMMYFUNCTION("""COMPUTED_VALUE"""),"")</f>
        <v/>
      </c>
      <c r="AA76" s="2" t="str">
        <f ca="1">IFERROR(__xludf.DUMMYFUNCTION("""COMPUTED_VALUE"""),"")</f>
        <v/>
      </c>
      <c r="AB76" s="2" t="str">
        <f ca="1">IFERROR(__xludf.DUMMYFUNCTION("""COMPUTED_VALUE"""),"")</f>
        <v/>
      </c>
      <c r="AC76" s="2" t="str">
        <f ca="1">IFERROR(__xludf.DUMMYFUNCTION("""COMPUTED_VALUE"""),"")</f>
        <v/>
      </c>
      <c r="AD76" s="2" t="str">
        <f ca="1">IFERROR(__xludf.DUMMYFUNCTION("""COMPUTED_VALUE"""),"")</f>
        <v/>
      </c>
      <c r="AE76" s="2" t="str">
        <f ca="1">IFERROR(__xludf.DUMMYFUNCTION("""COMPUTED_VALUE"""),"")</f>
        <v/>
      </c>
      <c r="AF76" s="2" t="str">
        <f ca="1">IFERROR(__xludf.DUMMYFUNCTION("""COMPUTED_VALUE"""),"")</f>
        <v/>
      </c>
      <c r="AG76" s="2" t="str">
        <f ca="1">IFERROR(__xludf.DUMMYFUNCTION("""COMPUTED_VALUE"""),"")</f>
        <v/>
      </c>
      <c r="AH76" s="2" t="str">
        <f ca="1">IFERROR(__xludf.DUMMYFUNCTION("""COMPUTED_VALUE"""),"")</f>
        <v/>
      </c>
      <c r="AI76" s="2" t="str">
        <f ca="1">IFERROR(__xludf.DUMMYFUNCTION("""COMPUTED_VALUE"""),"")</f>
        <v/>
      </c>
      <c r="AJ76" s="2" t="str">
        <f ca="1">IFERROR(__xludf.DUMMYFUNCTION("""COMPUTED_VALUE"""),"")</f>
        <v/>
      </c>
      <c r="AK76" s="2" t="str">
        <f ca="1">IFERROR(__xludf.DUMMYFUNCTION("""COMPUTED_VALUE"""),"")</f>
        <v/>
      </c>
      <c r="AL76" s="2" t="str">
        <f ca="1">IFERROR(__xludf.DUMMYFUNCTION("""COMPUTED_VALUE"""),"")</f>
        <v/>
      </c>
      <c r="AM76" s="2" t="str">
        <f ca="1">IFERROR(__xludf.DUMMYFUNCTION("""COMPUTED_VALUE"""),"")</f>
        <v/>
      </c>
      <c r="AN76" s="2" t="str">
        <f ca="1">IFERROR(__xludf.DUMMYFUNCTION("""COMPUTED_VALUE"""),"")</f>
        <v/>
      </c>
      <c r="AO76" s="2" t="str">
        <f ca="1">IFERROR(__xludf.DUMMYFUNCTION("""COMPUTED_VALUE"""),"")</f>
        <v/>
      </c>
      <c r="AP76" s="2" t="str">
        <f ca="1">IFERROR(__xludf.DUMMYFUNCTION("""COMPUTED_VALUE"""),"")</f>
        <v/>
      </c>
      <c r="AQ76" s="2" t="str">
        <f ca="1">IFERROR(__xludf.DUMMYFUNCTION("""COMPUTED_VALUE"""),"")</f>
        <v/>
      </c>
      <c r="AR76" s="2" t="str">
        <f ca="1">IFERROR(__xludf.DUMMYFUNCTION("""COMPUTED_VALUE"""),"")</f>
        <v/>
      </c>
      <c r="AS76" s="2" t="str">
        <f ca="1">IFERROR(__xludf.DUMMYFUNCTION("""COMPUTED_VALUE"""),"")</f>
        <v/>
      </c>
      <c r="AT76" s="2" t="str">
        <f ca="1">IFERROR(__xludf.DUMMYFUNCTION("""COMPUTED_VALUE"""),"")</f>
        <v/>
      </c>
      <c r="AU76" s="2" t="str">
        <f ca="1">IFERROR(__xludf.DUMMYFUNCTION("""COMPUTED_VALUE"""),"")</f>
        <v/>
      </c>
      <c r="AV76" s="2" t="str">
        <f ca="1">IFERROR(__xludf.DUMMYFUNCTION("""COMPUTED_VALUE"""),"")</f>
        <v/>
      </c>
      <c r="AW76" s="2" t="str">
        <f ca="1">IFERROR(__xludf.DUMMYFUNCTION("""COMPUTED_VALUE"""),"")</f>
        <v/>
      </c>
      <c r="AX76" s="2" t="str">
        <f ca="1">IFERROR(__xludf.DUMMYFUNCTION("""COMPUTED_VALUE"""),"")</f>
        <v/>
      </c>
      <c r="AY76" s="2" t="str">
        <f ca="1">IFERROR(__xludf.DUMMYFUNCTION("""COMPUTED_VALUE"""),"")</f>
        <v/>
      </c>
      <c r="AZ76" s="2" t="str">
        <f ca="1">IFERROR(__xludf.DUMMYFUNCTION("""COMPUTED_VALUE"""),"")</f>
        <v/>
      </c>
      <c r="BA76" s="2" t="str">
        <f ca="1">IFERROR(__xludf.DUMMYFUNCTION("""COMPUTED_VALUE"""),"")</f>
        <v/>
      </c>
      <c r="BB76" s="2" t="str">
        <f ca="1">IFERROR(__xludf.DUMMYFUNCTION("""COMPUTED_VALUE"""),"")</f>
        <v/>
      </c>
      <c r="BC76" s="2" t="str">
        <f ca="1">IFERROR(__xludf.DUMMYFUNCTION("""COMPUTED_VALUE"""),"")</f>
        <v/>
      </c>
      <c r="BD76" s="2" t="str">
        <f ca="1">IFERROR(__xludf.DUMMYFUNCTION("""COMPUTED_VALUE"""),"")</f>
        <v/>
      </c>
      <c r="BE76" s="2" t="str">
        <f ca="1">IFERROR(__xludf.DUMMYFUNCTION("""COMPUTED_VALUE"""),"")</f>
        <v/>
      </c>
      <c r="BF76" t="str">
        <f ca="1">IFERROR(__xludf.DUMMYFUNCTION("""COMPUTED_VALUE"""),"")</f>
        <v/>
      </c>
      <c r="BG76" t="str">
        <f ca="1">IFERROR(__xludf.DUMMYFUNCTION("""COMPUTED_VALUE"""),"")</f>
        <v/>
      </c>
      <c r="BH76" s="2">
        <f ca="1">IFERROR(__xludf.DUMMYFUNCTION("""COMPUTED_VALUE"""),-37.3429871)</f>
        <v>-37.342987100000002</v>
      </c>
      <c r="BI76" s="13">
        <f ca="1">IFERROR(__xludf.DUMMYFUNCTION("""COMPUTED_VALUE"""),175.1578827)</f>
        <v>175.15788269999999</v>
      </c>
      <c r="BJ76" s="9">
        <f ca="1">IFERROR(__xludf.DUMMYFUNCTION("""COMPUTED_VALUE"""),43392)</f>
        <v>43392</v>
      </c>
      <c r="BK76" s="4">
        <f ca="1">IFERROR(__xludf.DUMMYFUNCTION("""COMPUTED_VALUE"""),0.875555555554456)</f>
        <v>0.87555555555445597</v>
      </c>
    </row>
    <row r="77" spans="1:63" ht="12.5" x14ac:dyDescent="0.25">
      <c r="A77" s="7" t="str">
        <f ca="1">IFERROR(__xludf.DUMMYFUNCTION("""COMPUTED_VALUE"""),"")</f>
        <v/>
      </c>
      <c r="B77" s="8" t="str">
        <f ca="1">IFERROR(__xludf.DUMMYFUNCTION("""COMPUTED_VALUE"""),"Waikato")</f>
        <v>Waikato</v>
      </c>
      <c r="C77" s="2">
        <f ca="1">IFERROR(__xludf.DUMMYFUNCTION("""COMPUTED_VALUE"""),64)</f>
        <v>64</v>
      </c>
      <c r="D77" s="9" t="str">
        <f ca="1">IFERROR(__xludf.DUMMYFUNCTION("""COMPUTED_VALUE"""),"")</f>
        <v/>
      </c>
      <c r="E77" s="4" t="str">
        <f ca="1">IFERROR(__xludf.DUMMYFUNCTION("""COMPUTED_VALUE"""),"")</f>
        <v/>
      </c>
      <c r="F77" s="2" t="str">
        <f ca="1">IFERROR(__xludf.DUMMYFUNCTION("""COMPUTED_VALUE"""),"")</f>
        <v/>
      </c>
      <c r="G77" s="2" t="str">
        <f ca="1">IFERROR(__xludf.DUMMYFUNCTION("""COMPUTED_VALUE"""),"GPS: I converted data downloaded from ARGOS using Pinpoint software")</f>
        <v>GPS: I converted data downloaded from ARGOS using Pinpoint software</v>
      </c>
      <c r="H77" s="2" t="str">
        <f ca="1">IFERROR(__xludf.DUMMYFUNCTION("""COMPUTED_VALUE"""),"3D")</f>
        <v>3D</v>
      </c>
      <c r="I77" s="2" t="str">
        <f ca="1">IFERROR(__xludf.DUMMYFUNCTION("""COMPUTED_VALUE"""),"")</f>
        <v/>
      </c>
      <c r="J77" s="2" t="str">
        <f ca="1">IFERROR(__xludf.DUMMYFUNCTION("""COMPUTED_VALUE"""),"")</f>
        <v/>
      </c>
      <c r="K77" s="2" t="str">
        <f ca="1">IFERROR(__xludf.DUMMYFUNCTION("""COMPUTED_VALUE"""),"")</f>
        <v/>
      </c>
      <c r="L77" s="2" t="str">
        <f ca="1">IFERROR(__xludf.DUMMYFUNCTION("""COMPUTED_VALUE"""),"")</f>
        <v/>
      </c>
      <c r="M77" s="5" t="str">
        <f ca="1">IFERROR(__xludf.DUMMYFUNCTION("""COMPUTED_VALUE"""),"")</f>
        <v/>
      </c>
      <c r="N77" s="5" t="str">
        <f ca="1">IFERROR(__xludf.DUMMYFUNCTION("""COMPUTED_VALUE"""),"")</f>
        <v/>
      </c>
      <c r="O77" s="2" t="str">
        <f ca="1">IFERROR(__xludf.DUMMYFUNCTION("""COMPUTED_VALUE"""),"")</f>
        <v/>
      </c>
      <c r="P77" s="2" t="str">
        <f ca="1">IFERROR(__xludf.DUMMYFUNCTION("""COMPUTED_VALUE"""),"")</f>
        <v/>
      </c>
      <c r="Q77" s="2" t="str">
        <f ca="1">IFERROR(__xludf.DUMMYFUNCTION("""COMPUTED_VALUE"""),"")</f>
        <v/>
      </c>
      <c r="R77" s="2" t="str">
        <f ca="1">IFERROR(__xludf.DUMMYFUNCTION("""COMPUTED_VALUE"""),"")</f>
        <v/>
      </c>
      <c r="S77" s="2" t="str">
        <f ca="1">IFERROR(__xludf.DUMMYFUNCTION("""COMPUTED_VALUE"""),"")</f>
        <v/>
      </c>
      <c r="T77" s="2" t="str">
        <f ca="1">IFERROR(__xludf.DUMMYFUNCTION("""COMPUTED_VALUE"""),"")</f>
        <v/>
      </c>
      <c r="U77" s="2" t="str">
        <f ca="1">IFERROR(__xludf.DUMMYFUNCTION("""COMPUTED_VALUE"""),"")</f>
        <v/>
      </c>
      <c r="V77" s="2" t="str">
        <f ca="1">IFERROR(__xludf.DUMMYFUNCTION("""COMPUTED_VALUE"""),"")</f>
        <v/>
      </c>
      <c r="W77" s="2" t="str">
        <f ca="1">IFERROR(__xludf.DUMMYFUNCTION("""COMPUTED_VALUE"""),"")</f>
        <v/>
      </c>
      <c r="X77" s="2" t="str">
        <f ca="1">IFERROR(__xludf.DUMMYFUNCTION("""COMPUTED_VALUE"""),"")</f>
        <v/>
      </c>
      <c r="Y77" s="2" t="str">
        <f ca="1">IFERROR(__xludf.DUMMYFUNCTION("""COMPUTED_VALUE"""),"")</f>
        <v/>
      </c>
      <c r="Z77" s="2" t="str">
        <f ca="1">IFERROR(__xludf.DUMMYFUNCTION("""COMPUTED_VALUE"""),"")</f>
        <v/>
      </c>
      <c r="AA77" s="2" t="str">
        <f ca="1">IFERROR(__xludf.DUMMYFUNCTION("""COMPUTED_VALUE"""),"")</f>
        <v/>
      </c>
      <c r="AB77" s="2" t="str">
        <f ca="1">IFERROR(__xludf.DUMMYFUNCTION("""COMPUTED_VALUE"""),"")</f>
        <v/>
      </c>
      <c r="AC77" s="2" t="str">
        <f ca="1">IFERROR(__xludf.DUMMYFUNCTION("""COMPUTED_VALUE"""),"")</f>
        <v/>
      </c>
      <c r="AD77" s="2" t="str">
        <f ca="1">IFERROR(__xludf.DUMMYFUNCTION("""COMPUTED_VALUE"""),"")</f>
        <v/>
      </c>
      <c r="AE77" s="2" t="str">
        <f ca="1">IFERROR(__xludf.DUMMYFUNCTION("""COMPUTED_VALUE"""),"")</f>
        <v/>
      </c>
      <c r="AF77" s="2" t="str">
        <f ca="1">IFERROR(__xludf.DUMMYFUNCTION("""COMPUTED_VALUE"""),"")</f>
        <v/>
      </c>
      <c r="AG77" s="2" t="str">
        <f ca="1">IFERROR(__xludf.DUMMYFUNCTION("""COMPUTED_VALUE"""),"")</f>
        <v/>
      </c>
      <c r="AH77" s="2" t="str">
        <f ca="1">IFERROR(__xludf.DUMMYFUNCTION("""COMPUTED_VALUE"""),"")</f>
        <v/>
      </c>
      <c r="AI77" s="2" t="str">
        <f ca="1">IFERROR(__xludf.DUMMYFUNCTION("""COMPUTED_VALUE"""),"")</f>
        <v/>
      </c>
      <c r="AJ77" s="2" t="str">
        <f ca="1">IFERROR(__xludf.DUMMYFUNCTION("""COMPUTED_VALUE"""),"")</f>
        <v/>
      </c>
      <c r="AK77" s="2" t="str">
        <f ca="1">IFERROR(__xludf.DUMMYFUNCTION("""COMPUTED_VALUE"""),"")</f>
        <v/>
      </c>
      <c r="AL77" s="2" t="str">
        <f ca="1">IFERROR(__xludf.DUMMYFUNCTION("""COMPUTED_VALUE"""),"")</f>
        <v/>
      </c>
      <c r="AM77" s="2" t="str">
        <f ca="1">IFERROR(__xludf.DUMMYFUNCTION("""COMPUTED_VALUE"""),"")</f>
        <v/>
      </c>
      <c r="AN77" s="2" t="str">
        <f ca="1">IFERROR(__xludf.DUMMYFUNCTION("""COMPUTED_VALUE"""),"")</f>
        <v/>
      </c>
      <c r="AO77" s="2" t="str">
        <f ca="1">IFERROR(__xludf.DUMMYFUNCTION("""COMPUTED_VALUE"""),"")</f>
        <v/>
      </c>
      <c r="AP77" s="2" t="str">
        <f ca="1">IFERROR(__xludf.DUMMYFUNCTION("""COMPUTED_VALUE"""),"")</f>
        <v/>
      </c>
      <c r="AQ77" s="2" t="str">
        <f ca="1">IFERROR(__xludf.DUMMYFUNCTION("""COMPUTED_VALUE"""),"")</f>
        <v/>
      </c>
      <c r="AR77" s="2" t="str">
        <f ca="1">IFERROR(__xludf.DUMMYFUNCTION("""COMPUTED_VALUE"""),"")</f>
        <v/>
      </c>
      <c r="AS77" s="2" t="str">
        <f ca="1">IFERROR(__xludf.DUMMYFUNCTION("""COMPUTED_VALUE"""),"")</f>
        <v/>
      </c>
      <c r="AT77" s="2" t="str">
        <f ca="1">IFERROR(__xludf.DUMMYFUNCTION("""COMPUTED_VALUE"""),"")</f>
        <v/>
      </c>
      <c r="AU77" s="2" t="str">
        <f ca="1">IFERROR(__xludf.DUMMYFUNCTION("""COMPUTED_VALUE"""),"")</f>
        <v/>
      </c>
      <c r="AV77" s="2" t="str">
        <f ca="1">IFERROR(__xludf.DUMMYFUNCTION("""COMPUTED_VALUE"""),"")</f>
        <v/>
      </c>
      <c r="AW77" s="2" t="str">
        <f ca="1">IFERROR(__xludf.DUMMYFUNCTION("""COMPUTED_VALUE"""),"")</f>
        <v/>
      </c>
      <c r="AX77" s="2" t="str">
        <f ca="1">IFERROR(__xludf.DUMMYFUNCTION("""COMPUTED_VALUE"""),"")</f>
        <v/>
      </c>
      <c r="AY77" s="2" t="str">
        <f ca="1">IFERROR(__xludf.DUMMYFUNCTION("""COMPUTED_VALUE"""),"")</f>
        <v/>
      </c>
      <c r="AZ77" s="2" t="str">
        <f ca="1">IFERROR(__xludf.DUMMYFUNCTION("""COMPUTED_VALUE"""),"")</f>
        <v/>
      </c>
      <c r="BA77" s="2" t="str">
        <f ca="1">IFERROR(__xludf.DUMMYFUNCTION("""COMPUTED_VALUE"""),"")</f>
        <v/>
      </c>
      <c r="BB77" s="2" t="str">
        <f ca="1">IFERROR(__xludf.DUMMYFUNCTION("""COMPUTED_VALUE"""),"")</f>
        <v/>
      </c>
      <c r="BC77" s="2" t="str">
        <f ca="1">IFERROR(__xludf.DUMMYFUNCTION("""COMPUTED_VALUE"""),"")</f>
        <v/>
      </c>
      <c r="BD77" s="2" t="str">
        <f ca="1">IFERROR(__xludf.DUMMYFUNCTION("""COMPUTED_VALUE"""),"")</f>
        <v/>
      </c>
      <c r="BE77" s="2" t="str">
        <f ca="1">IFERROR(__xludf.DUMMYFUNCTION("""COMPUTED_VALUE"""),"")</f>
        <v/>
      </c>
      <c r="BF77" t="str">
        <f ca="1">IFERROR(__xludf.DUMMYFUNCTION("""COMPUTED_VALUE"""),"")</f>
        <v/>
      </c>
      <c r="BG77" t="str">
        <f ca="1">IFERROR(__xludf.DUMMYFUNCTION("""COMPUTED_VALUE"""),"")</f>
        <v/>
      </c>
      <c r="BH77" s="2">
        <f ca="1">IFERROR(__xludf.DUMMYFUNCTION("""COMPUTED_VALUE"""),-37.3431664)</f>
        <v>-37.343166400000001</v>
      </c>
      <c r="BI77" s="12">
        <f ca="1">IFERROR(__xludf.DUMMYFUNCTION("""COMPUTED_VALUE"""),175.1581268)</f>
        <v>175.15812679999999</v>
      </c>
      <c r="BJ77" s="9">
        <f ca="1">IFERROR(__xludf.DUMMYFUNCTION("""COMPUTED_VALUE"""),43392)</f>
        <v>43392</v>
      </c>
      <c r="BK77" s="4">
        <f ca="1">IFERROR(__xludf.DUMMYFUNCTION("""COMPUTED_VALUE"""),0.958518518516939)</f>
        <v>0.95851851851693903</v>
      </c>
    </row>
    <row r="78" spans="1:63" ht="12.5" x14ac:dyDescent="0.25">
      <c r="A78" s="7" t="str">
        <f ca="1">IFERROR(__xludf.DUMMYFUNCTION("""COMPUTED_VALUE"""),"")</f>
        <v/>
      </c>
      <c r="B78" s="8" t="str">
        <f ca="1">IFERROR(__xludf.DUMMYFUNCTION("""COMPUTED_VALUE"""),"Waikato")</f>
        <v>Waikato</v>
      </c>
      <c r="C78" s="2">
        <f ca="1">IFERROR(__xludf.DUMMYFUNCTION("""COMPUTED_VALUE"""),64)</f>
        <v>64</v>
      </c>
      <c r="D78" s="9" t="str">
        <f ca="1">IFERROR(__xludf.DUMMYFUNCTION("""COMPUTED_VALUE"""),"")</f>
        <v/>
      </c>
      <c r="E78" s="4" t="str">
        <f ca="1">IFERROR(__xludf.DUMMYFUNCTION("""COMPUTED_VALUE"""),"")</f>
        <v/>
      </c>
      <c r="F78" s="2" t="str">
        <f ca="1">IFERROR(__xludf.DUMMYFUNCTION("""COMPUTED_VALUE"""),"")</f>
        <v/>
      </c>
      <c r="G78" s="2" t="str">
        <f ca="1">IFERROR(__xludf.DUMMYFUNCTION("""COMPUTED_VALUE"""),"GPS: I converted data downloaded from ARGOS using Pinpoint software")</f>
        <v>GPS: I converted data downloaded from ARGOS using Pinpoint software</v>
      </c>
      <c r="H78" s="2" t="str">
        <f ca="1">IFERROR(__xludf.DUMMYFUNCTION("""COMPUTED_VALUE"""),"3D")</f>
        <v>3D</v>
      </c>
      <c r="I78" s="2" t="str">
        <f ca="1">IFERROR(__xludf.DUMMYFUNCTION("""COMPUTED_VALUE"""),"")</f>
        <v/>
      </c>
      <c r="J78" s="2" t="str">
        <f ca="1">IFERROR(__xludf.DUMMYFUNCTION("""COMPUTED_VALUE"""),"")</f>
        <v/>
      </c>
      <c r="K78" s="2" t="str">
        <f ca="1">IFERROR(__xludf.DUMMYFUNCTION("""COMPUTED_VALUE"""),"")</f>
        <v/>
      </c>
      <c r="L78" s="2" t="str">
        <f ca="1">IFERROR(__xludf.DUMMYFUNCTION("""COMPUTED_VALUE"""),"")</f>
        <v/>
      </c>
      <c r="M78" s="5" t="str">
        <f ca="1">IFERROR(__xludf.DUMMYFUNCTION("""COMPUTED_VALUE"""),"")</f>
        <v/>
      </c>
      <c r="N78" s="5" t="str">
        <f ca="1">IFERROR(__xludf.DUMMYFUNCTION("""COMPUTED_VALUE"""),"")</f>
        <v/>
      </c>
      <c r="O78" s="2" t="str">
        <f ca="1">IFERROR(__xludf.DUMMYFUNCTION("""COMPUTED_VALUE"""),"")</f>
        <v/>
      </c>
      <c r="P78" s="2" t="str">
        <f ca="1">IFERROR(__xludf.DUMMYFUNCTION("""COMPUTED_VALUE"""),"")</f>
        <v/>
      </c>
      <c r="Q78" s="2" t="str">
        <f ca="1">IFERROR(__xludf.DUMMYFUNCTION("""COMPUTED_VALUE"""),"")</f>
        <v/>
      </c>
      <c r="R78" s="2" t="str">
        <f ca="1">IFERROR(__xludf.DUMMYFUNCTION("""COMPUTED_VALUE"""),"")</f>
        <v/>
      </c>
      <c r="S78" s="2" t="str">
        <f ca="1">IFERROR(__xludf.DUMMYFUNCTION("""COMPUTED_VALUE"""),"")</f>
        <v/>
      </c>
      <c r="T78" s="2" t="str">
        <f ca="1">IFERROR(__xludf.DUMMYFUNCTION("""COMPUTED_VALUE"""),"")</f>
        <v/>
      </c>
      <c r="U78" s="2" t="str">
        <f ca="1">IFERROR(__xludf.DUMMYFUNCTION("""COMPUTED_VALUE"""),"")</f>
        <v/>
      </c>
      <c r="V78" s="2" t="str">
        <f ca="1">IFERROR(__xludf.DUMMYFUNCTION("""COMPUTED_VALUE"""),"")</f>
        <v/>
      </c>
      <c r="W78" s="2" t="str">
        <f ca="1">IFERROR(__xludf.DUMMYFUNCTION("""COMPUTED_VALUE"""),"")</f>
        <v/>
      </c>
      <c r="X78" s="2" t="str">
        <f ca="1">IFERROR(__xludf.DUMMYFUNCTION("""COMPUTED_VALUE"""),"")</f>
        <v/>
      </c>
      <c r="Y78" s="2" t="str">
        <f ca="1">IFERROR(__xludf.DUMMYFUNCTION("""COMPUTED_VALUE"""),"")</f>
        <v/>
      </c>
      <c r="Z78" s="2" t="str">
        <f ca="1">IFERROR(__xludf.DUMMYFUNCTION("""COMPUTED_VALUE"""),"")</f>
        <v/>
      </c>
      <c r="AA78" s="2" t="str">
        <f ca="1">IFERROR(__xludf.DUMMYFUNCTION("""COMPUTED_VALUE"""),"")</f>
        <v/>
      </c>
      <c r="AB78" s="2" t="str">
        <f ca="1">IFERROR(__xludf.DUMMYFUNCTION("""COMPUTED_VALUE"""),"")</f>
        <v/>
      </c>
      <c r="AC78" s="2" t="str">
        <f ca="1">IFERROR(__xludf.DUMMYFUNCTION("""COMPUTED_VALUE"""),"")</f>
        <v/>
      </c>
      <c r="AD78" s="2" t="str">
        <f ca="1">IFERROR(__xludf.DUMMYFUNCTION("""COMPUTED_VALUE"""),"")</f>
        <v/>
      </c>
      <c r="AE78" s="2" t="str">
        <f ca="1">IFERROR(__xludf.DUMMYFUNCTION("""COMPUTED_VALUE"""),"")</f>
        <v/>
      </c>
      <c r="AF78" s="2" t="str">
        <f ca="1">IFERROR(__xludf.DUMMYFUNCTION("""COMPUTED_VALUE"""),"")</f>
        <v/>
      </c>
      <c r="AG78" s="2" t="str">
        <f ca="1">IFERROR(__xludf.DUMMYFUNCTION("""COMPUTED_VALUE"""),"")</f>
        <v/>
      </c>
      <c r="AH78" s="2" t="str">
        <f ca="1">IFERROR(__xludf.DUMMYFUNCTION("""COMPUTED_VALUE"""),"")</f>
        <v/>
      </c>
      <c r="AI78" s="2" t="str">
        <f ca="1">IFERROR(__xludf.DUMMYFUNCTION("""COMPUTED_VALUE"""),"")</f>
        <v/>
      </c>
      <c r="AJ78" s="2" t="str">
        <f ca="1">IFERROR(__xludf.DUMMYFUNCTION("""COMPUTED_VALUE"""),"")</f>
        <v/>
      </c>
      <c r="AK78" s="2" t="str">
        <f ca="1">IFERROR(__xludf.DUMMYFUNCTION("""COMPUTED_VALUE"""),"")</f>
        <v/>
      </c>
      <c r="AL78" s="2" t="str">
        <f ca="1">IFERROR(__xludf.DUMMYFUNCTION("""COMPUTED_VALUE"""),"")</f>
        <v/>
      </c>
      <c r="AM78" s="2" t="str">
        <f ca="1">IFERROR(__xludf.DUMMYFUNCTION("""COMPUTED_VALUE"""),"")</f>
        <v/>
      </c>
      <c r="AN78" s="2" t="str">
        <f ca="1">IFERROR(__xludf.DUMMYFUNCTION("""COMPUTED_VALUE"""),"")</f>
        <v/>
      </c>
      <c r="AO78" s="2" t="str">
        <f ca="1">IFERROR(__xludf.DUMMYFUNCTION("""COMPUTED_VALUE"""),"")</f>
        <v/>
      </c>
      <c r="AP78" s="2" t="str">
        <f ca="1">IFERROR(__xludf.DUMMYFUNCTION("""COMPUTED_VALUE"""),"")</f>
        <v/>
      </c>
      <c r="AQ78" s="2" t="str">
        <f ca="1">IFERROR(__xludf.DUMMYFUNCTION("""COMPUTED_VALUE"""),"")</f>
        <v/>
      </c>
      <c r="AR78" s="2" t="str">
        <f ca="1">IFERROR(__xludf.DUMMYFUNCTION("""COMPUTED_VALUE"""),"")</f>
        <v/>
      </c>
      <c r="AS78" s="2" t="str">
        <f ca="1">IFERROR(__xludf.DUMMYFUNCTION("""COMPUTED_VALUE"""),"")</f>
        <v/>
      </c>
      <c r="AT78" s="2" t="str">
        <f ca="1">IFERROR(__xludf.DUMMYFUNCTION("""COMPUTED_VALUE"""),"")</f>
        <v/>
      </c>
      <c r="AU78" s="2" t="str">
        <f ca="1">IFERROR(__xludf.DUMMYFUNCTION("""COMPUTED_VALUE"""),"")</f>
        <v/>
      </c>
      <c r="AV78" s="2" t="str">
        <f ca="1">IFERROR(__xludf.DUMMYFUNCTION("""COMPUTED_VALUE"""),"")</f>
        <v/>
      </c>
      <c r="AW78" s="2" t="str">
        <f ca="1">IFERROR(__xludf.DUMMYFUNCTION("""COMPUTED_VALUE"""),"")</f>
        <v/>
      </c>
      <c r="AX78" s="2" t="str">
        <f ca="1">IFERROR(__xludf.DUMMYFUNCTION("""COMPUTED_VALUE"""),"")</f>
        <v/>
      </c>
      <c r="AY78" s="2" t="str">
        <f ca="1">IFERROR(__xludf.DUMMYFUNCTION("""COMPUTED_VALUE"""),"")</f>
        <v/>
      </c>
      <c r="AZ78" s="2" t="str">
        <f ca="1">IFERROR(__xludf.DUMMYFUNCTION("""COMPUTED_VALUE"""),"")</f>
        <v/>
      </c>
      <c r="BA78" s="2" t="str">
        <f ca="1">IFERROR(__xludf.DUMMYFUNCTION("""COMPUTED_VALUE"""),"")</f>
        <v/>
      </c>
      <c r="BB78" s="2" t="str">
        <f ca="1">IFERROR(__xludf.DUMMYFUNCTION("""COMPUTED_VALUE"""),"")</f>
        <v/>
      </c>
      <c r="BC78" s="2" t="str">
        <f ca="1">IFERROR(__xludf.DUMMYFUNCTION("""COMPUTED_VALUE"""),"")</f>
        <v/>
      </c>
      <c r="BD78" s="2" t="str">
        <f ca="1">IFERROR(__xludf.DUMMYFUNCTION("""COMPUTED_VALUE"""),"")</f>
        <v/>
      </c>
      <c r="BE78" s="2" t="str">
        <f ca="1">IFERROR(__xludf.DUMMYFUNCTION("""COMPUTED_VALUE"""),"")</f>
        <v/>
      </c>
      <c r="BF78" t="str">
        <f ca="1">IFERROR(__xludf.DUMMYFUNCTION("""COMPUTED_VALUE"""),"")</f>
        <v/>
      </c>
      <c r="BG78" t="str">
        <f ca="1">IFERROR(__xludf.DUMMYFUNCTION("""COMPUTED_VALUE"""),"")</f>
        <v/>
      </c>
      <c r="BH78" s="2">
        <f ca="1">IFERROR(__xludf.DUMMYFUNCTION("""COMPUTED_VALUE"""),-37.3431168)</f>
        <v>-37.343116799999997</v>
      </c>
      <c r="BI78" s="13">
        <f ca="1">IFERROR(__xludf.DUMMYFUNCTION("""COMPUTED_VALUE"""),175.1581268)</f>
        <v>175.15812679999999</v>
      </c>
      <c r="BJ78" s="9">
        <f ca="1">IFERROR(__xludf.DUMMYFUNCTION("""COMPUTED_VALUE"""),43394)</f>
        <v>43394</v>
      </c>
      <c r="BK78" s="4">
        <f ca="1">IFERROR(__xludf.DUMMYFUNCTION("""COMPUTED_VALUE"""),0.457777777777664)</f>
        <v>0.45777777777766399</v>
      </c>
    </row>
    <row r="79" spans="1:63" ht="12.5" x14ac:dyDescent="0.25">
      <c r="A79" s="7" t="str">
        <f ca="1">IFERROR(__xludf.DUMMYFUNCTION("""COMPUTED_VALUE"""),"")</f>
        <v/>
      </c>
      <c r="B79" s="8" t="str">
        <f ca="1">IFERROR(__xludf.DUMMYFUNCTION("""COMPUTED_VALUE"""),"Waikato")</f>
        <v>Waikato</v>
      </c>
      <c r="C79" s="2">
        <f ca="1">IFERROR(__xludf.DUMMYFUNCTION("""COMPUTED_VALUE"""),64)</f>
        <v>64</v>
      </c>
      <c r="D79" s="9" t="str">
        <f ca="1">IFERROR(__xludf.DUMMYFUNCTION("""COMPUTED_VALUE"""),"")</f>
        <v/>
      </c>
      <c r="E79" s="4" t="str">
        <f ca="1">IFERROR(__xludf.DUMMYFUNCTION("""COMPUTED_VALUE"""),"")</f>
        <v/>
      </c>
      <c r="F79" s="2" t="str">
        <f ca="1">IFERROR(__xludf.DUMMYFUNCTION("""COMPUTED_VALUE"""),"")</f>
        <v/>
      </c>
      <c r="G79" s="2" t="str">
        <f ca="1">IFERROR(__xludf.DUMMYFUNCTION("""COMPUTED_VALUE"""),"GPS: I converted data downloaded from ARGOS using Pinpoint software")</f>
        <v>GPS: I converted data downloaded from ARGOS using Pinpoint software</v>
      </c>
      <c r="H79" s="2" t="str">
        <f ca="1">IFERROR(__xludf.DUMMYFUNCTION("""COMPUTED_VALUE"""),"3D")</f>
        <v>3D</v>
      </c>
      <c r="I79" s="2" t="str">
        <f ca="1">IFERROR(__xludf.DUMMYFUNCTION("""COMPUTED_VALUE"""),"")</f>
        <v/>
      </c>
      <c r="J79" s="2" t="str">
        <f ca="1">IFERROR(__xludf.DUMMYFUNCTION("""COMPUTED_VALUE"""),"")</f>
        <v/>
      </c>
      <c r="K79" s="2" t="str">
        <f ca="1">IFERROR(__xludf.DUMMYFUNCTION("""COMPUTED_VALUE"""),"")</f>
        <v/>
      </c>
      <c r="L79" s="2" t="str">
        <f ca="1">IFERROR(__xludf.DUMMYFUNCTION("""COMPUTED_VALUE"""),"")</f>
        <v/>
      </c>
      <c r="M79" s="5" t="str">
        <f ca="1">IFERROR(__xludf.DUMMYFUNCTION("""COMPUTED_VALUE"""),"")</f>
        <v/>
      </c>
      <c r="N79" s="5" t="str">
        <f ca="1">IFERROR(__xludf.DUMMYFUNCTION("""COMPUTED_VALUE"""),"")</f>
        <v/>
      </c>
      <c r="O79" s="2" t="str">
        <f ca="1">IFERROR(__xludf.DUMMYFUNCTION("""COMPUTED_VALUE"""),"")</f>
        <v/>
      </c>
      <c r="P79" s="2" t="str">
        <f ca="1">IFERROR(__xludf.DUMMYFUNCTION("""COMPUTED_VALUE"""),"")</f>
        <v/>
      </c>
      <c r="Q79" s="2" t="str">
        <f ca="1">IFERROR(__xludf.DUMMYFUNCTION("""COMPUTED_VALUE"""),"")</f>
        <v/>
      </c>
      <c r="R79" s="2" t="str">
        <f ca="1">IFERROR(__xludf.DUMMYFUNCTION("""COMPUTED_VALUE"""),"")</f>
        <v/>
      </c>
      <c r="S79" s="2" t="str">
        <f ca="1">IFERROR(__xludf.DUMMYFUNCTION("""COMPUTED_VALUE"""),"")</f>
        <v/>
      </c>
      <c r="T79" s="2" t="str">
        <f ca="1">IFERROR(__xludf.DUMMYFUNCTION("""COMPUTED_VALUE"""),"")</f>
        <v/>
      </c>
      <c r="U79" s="2" t="str">
        <f ca="1">IFERROR(__xludf.DUMMYFUNCTION("""COMPUTED_VALUE"""),"")</f>
        <v/>
      </c>
      <c r="V79" s="2" t="str">
        <f ca="1">IFERROR(__xludf.DUMMYFUNCTION("""COMPUTED_VALUE"""),"")</f>
        <v/>
      </c>
      <c r="W79" s="2" t="str">
        <f ca="1">IFERROR(__xludf.DUMMYFUNCTION("""COMPUTED_VALUE"""),"")</f>
        <v/>
      </c>
      <c r="X79" s="2" t="str">
        <f ca="1">IFERROR(__xludf.DUMMYFUNCTION("""COMPUTED_VALUE"""),"")</f>
        <v/>
      </c>
      <c r="Y79" s="2" t="str">
        <f ca="1">IFERROR(__xludf.DUMMYFUNCTION("""COMPUTED_VALUE"""),"")</f>
        <v/>
      </c>
      <c r="Z79" s="2" t="str">
        <f ca="1">IFERROR(__xludf.DUMMYFUNCTION("""COMPUTED_VALUE"""),"")</f>
        <v/>
      </c>
      <c r="AA79" s="2" t="str">
        <f ca="1">IFERROR(__xludf.DUMMYFUNCTION("""COMPUTED_VALUE"""),"")</f>
        <v/>
      </c>
      <c r="AB79" s="2" t="str">
        <f ca="1">IFERROR(__xludf.DUMMYFUNCTION("""COMPUTED_VALUE"""),"")</f>
        <v/>
      </c>
      <c r="AC79" s="2" t="str">
        <f ca="1">IFERROR(__xludf.DUMMYFUNCTION("""COMPUTED_VALUE"""),"")</f>
        <v/>
      </c>
      <c r="AD79" s="2" t="str">
        <f ca="1">IFERROR(__xludf.DUMMYFUNCTION("""COMPUTED_VALUE"""),"")</f>
        <v/>
      </c>
      <c r="AE79" s="2" t="str">
        <f ca="1">IFERROR(__xludf.DUMMYFUNCTION("""COMPUTED_VALUE"""),"")</f>
        <v/>
      </c>
      <c r="AF79" s="2" t="str">
        <f ca="1">IFERROR(__xludf.DUMMYFUNCTION("""COMPUTED_VALUE"""),"")</f>
        <v/>
      </c>
      <c r="AG79" s="2" t="str">
        <f ca="1">IFERROR(__xludf.DUMMYFUNCTION("""COMPUTED_VALUE"""),"")</f>
        <v/>
      </c>
      <c r="AH79" s="2" t="str">
        <f ca="1">IFERROR(__xludf.DUMMYFUNCTION("""COMPUTED_VALUE"""),"")</f>
        <v/>
      </c>
      <c r="AI79" s="2" t="str">
        <f ca="1">IFERROR(__xludf.DUMMYFUNCTION("""COMPUTED_VALUE"""),"")</f>
        <v/>
      </c>
      <c r="AJ79" s="2" t="str">
        <f ca="1">IFERROR(__xludf.DUMMYFUNCTION("""COMPUTED_VALUE"""),"")</f>
        <v/>
      </c>
      <c r="AK79" s="2" t="str">
        <f ca="1">IFERROR(__xludf.DUMMYFUNCTION("""COMPUTED_VALUE"""),"")</f>
        <v/>
      </c>
      <c r="AL79" s="2" t="str">
        <f ca="1">IFERROR(__xludf.DUMMYFUNCTION("""COMPUTED_VALUE"""),"")</f>
        <v/>
      </c>
      <c r="AM79" s="2" t="str">
        <f ca="1">IFERROR(__xludf.DUMMYFUNCTION("""COMPUTED_VALUE"""),"")</f>
        <v/>
      </c>
      <c r="AN79" s="2" t="str">
        <f ca="1">IFERROR(__xludf.DUMMYFUNCTION("""COMPUTED_VALUE"""),"")</f>
        <v/>
      </c>
      <c r="AO79" s="2" t="str">
        <f ca="1">IFERROR(__xludf.DUMMYFUNCTION("""COMPUTED_VALUE"""),"")</f>
        <v/>
      </c>
      <c r="AP79" s="2" t="str">
        <f ca="1">IFERROR(__xludf.DUMMYFUNCTION("""COMPUTED_VALUE"""),"")</f>
        <v/>
      </c>
      <c r="AQ79" s="2" t="str">
        <f ca="1">IFERROR(__xludf.DUMMYFUNCTION("""COMPUTED_VALUE"""),"")</f>
        <v/>
      </c>
      <c r="AR79" s="2" t="str">
        <f ca="1">IFERROR(__xludf.DUMMYFUNCTION("""COMPUTED_VALUE"""),"")</f>
        <v/>
      </c>
      <c r="AS79" s="2" t="str">
        <f ca="1">IFERROR(__xludf.DUMMYFUNCTION("""COMPUTED_VALUE"""),"")</f>
        <v/>
      </c>
      <c r="AT79" s="2" t="str">
        <f ca="1">IFERROR(__xludf.DUMMYFUNCTION("""COMPUTED_VALUE"""),"")</f>
        <v/>
      </c>
      <c r="AU79" s="2" t="str">
        <f ca="1">IFERROR(__xludf.DUMMYFUNCTION("""COMPUTED_VALUE"""),"")</f>
        <v/>
      </c>
      <c r="AV79" s="2" t="str">
        <f ca="1">IFERROR(__xludf.DUMMYFUNCTION("""COMPUTED_VALUE"""),"")</f>
        <v/>
      </c>
      <c r="AW79" s="2" t="str">
        <f ca="1">IFERROR(__xludf.DUMMYFUNCTION("""COMPUTED_VALUE"""),"")</f>
        <v/>
      </c>
      <c r="AX79" s="2" t="str">
        <f ca="1">IFERROR(__xludf.DUMMYFUNCTION("""COMPUTED_VALUE"""),"")</f>
        <v/>
      </c>
      <c r="AY79" s="2" t="str">
        <f ca="1">IFERROR(__xludf.DUMMYFUNCTION("""COMPUTED_VALUE"""),"")</f>
        <v/>
      </c>
      <c r="AZ79" s="2" t="str">
        <f ca="1">IFERROR(__xludf.DUMMYFUNCTION("""COMPUTED_VALUE"""),"")</f>
        <v/>
      </c>
      <c r="BA79" s="2" t="str">
        <f ca="1">IFERROR(__xludf.DUMMYFUNCTION("""COMPUTED_VALUE"""),"")</f>
        <v/>
      </c>
      <c r="BB79" s="2" t="str">
        <f ca="1">IFERROR(__xludf.DUMMYFUNCTION("""COMPUTED_VALUE"""),"")</f>
        <v/>
      </c>
      <c r="BC79" s="2" t="str">
        <f ca="1">IFERROR(__xludf.DUMMYFUNCTION("""COMPUTED_VALUE"""),"")</f>
        <v/>
      </c>
      <c r="BD79" s="2" t="str">
        <f ca="1">IFERROR(__xludf.DUMMYFUNCTION("""COMPUTED_VALUE"""),"")</f>
        <v/>
      </c>
      <c r="BE79" s="2" t="str">
        <f ca="1">IFERROR(__xludf.DUMMYFUNCTION("""COMPUTED_VALUE"""),"")</f>
        <v/>
      </c>
      <c r="BF79" t="str">
        <f ca="1">IFERROR(__xludf.DUMMYFUNCTION("""COMPUTED_VALUE"""),"")</f>
        <v/>
      </c>
      <c r="BG79" t="str">
        <f ca="1">IFERROR(__xludf.DUMMYFUNCTION("""COMPUTED_VALUE"""),"")</f>
        <v/>
      </c>
      <c r="BH79" s="2">
        <f ca="1">IFERROR(__xludf.DUMMYFUNCTION("""COMPUTED_VALUE"""),-37.343399)</f>
        <v>-37.343398999999998</v>
      </c>
      <c r="BI79" s="12">
        <f ca="1">IFERROR(__xludf.DUMMYFUNCTION("""COMPUTED_VALUE"""),175.1557312)</f>
        <v>175.15573119999999</v>
      </c>
      <c r="BJ79" s="9">
        <f ca="1">IFERROR(__xludf.DUMMYFUNCTION("""COMPUTED_VALUE"""),43394)</f>
        <v>43394</v>
      </c>
      <c r="BK79" s="4">
        <f ca="1">IFERROR(__xludf.DUMMYFUNCTION("""COMPUTED_VALUE"""),0.958518518516939)</f>
        <v>0.95851851851693903</v>
      </c>
    </row>
    <row r="80" spans="1:63" ht="12.5" x14ac:dyDescent="0.25">
      <c r="A80" s="7" t="str">
        <f ca="1">IFERROR(__xludf.DUMMYFUNCTION("""COMPUTED_VALUE"""),"")</f>
        <v/>
      </c>
      <c r="B80" s="8" t="str">
        <f ca="1">IFERROR(__xludf.DUMMYFUNCTION("""COMPUTED_VALUE"""),"Waikato")</f>
        <v>Waikato</v>
      </c>
      <c r="C80" s="2">
        <f ca="1">IFERROR(__xludf.DUMMYFUNCTION("""COMPUTED_VALUE"""),64)</f>
        <v>64</v>
      </c>
      <c r="D80" s="9" t="str">
        <f ca="1">IFERROR(__xludf.DUMMYFUNCTION("""COMPUTED_VALUE"""),"")</f>
        <v/>
      </c>
      <c r="E80" s="4" t="str">
        <f ca="1">IFERROR(__xludf.DUMMYFUNCTION("""COMPUTED_VALUE"""),"")</f>
        <v/>
      </c>
      <c r="F80" s="2" t="str">
        <f ca="1">IFERROR(__xludf.DUMMYFUNCTION("""COMPUTED_VALUE"""),"")</f>
        <v/>
      </c>
      <c r="G80" s="2" t="str">
        <f ca="1">IFERROR(__xludf.DUMMYFUNCTION("""COMPUTED_VALUE"""),"GPS: I converted data downloaded from ARGOS using Pinpoint software")</f>
        <v>GPS: I converted data downloaded from ARGOS using Pinpoint software</v>
      </c>
      <c r="H80" s="2" t="str">
        <f ca="1">IFERROR(__xludf.DUMMYFUNCTION("""COMPUTED_VALUE"""),"3D")</f>
        <v>3D</v>
      </c>
      <c r="I80" s="2" t="str">
        <f ca="1">IFERROR(__xludf.DUMMYFUNCTION("""COMPUTED_VALUE"""),"")</f>
        <v/>
      </c>
      <c r="J80" s="2" t="str">
        <f ca="1">IFERROR(__xludf.DUMMYFUNCTION("""COMPUTED_VALUE"""),"")</f>
        <v/>
      </c>
      <c r="K80" s="2" t="str">
        <f ca="1">IFERROR(__xludf.DUMMYFUNCTION("""COMPUTED_VALUE"""),"")</f>
        <v/>
      </c>
      <c r="L80" s="2" t="str">
        <f ca="1">IFERROR(__xludf.DUMMYFUNCTION("""COMPUTED_VALUE"""),"")</f>
        <v/>
      </c>
      <c r="M80" s="5" t="str">
        <f ca="1">IFERROR(__xludf.DUMMYFUNCTION("""COMPUTED_VALUE"""),"")</f>
        <v/>
      </c>
      <c r="N80" s="5" t="str">
        <f ca="1">IFERROR(__xludf.DUMMYFUNCTION("""COMPUTED_VALUE"""),"")</f>
        <v/>
      </c>
      <c r="O80" s="2" t="str">
        <f ca="1">IFERROR(__xludf.DUMMYFUNCTION("""COMPUTED_VALUE"""),"")</f>
        <v/>
      </c>
      <c r="P80" s="2" t="str">
        <f ca="1">IFERROR(__xludf.DUMMYFUNCTION("""COMPUTED_VALUE"""),"")</f>
        <v/>
      </c>
      <c r="Q80" s="2" t="str">
        <f ca="1">IFERROR(__xludf.DUMMYFUNCTION("""COMPUTED_VALUE"""),"")</f>
        <v/>
      </c>
      <c r="R80" s="2" t="str">
        <f ca="1">IFERROR(__xludf.DUMMYFUNCTION("""COMPUTED_VALUE"""),"")</f>
        <v/>
      </c>
      <c r="S80" s="2" t="str">
        <f ca="1">IFERROR(__xludf.DUMMYFUNCTION("""COMPUTED_VALUE"""),"")</f>
        <v/>
      </c>
      <c r="T80" s="2" t="str">
        <f ca="1">IFERROR(__xludf.DUMMYFUNCTION("""COMPUTED_VALUE"""),"")</f>
        <v/>
      </c>
      <c r="U80" s="2" t="str">
        <f ca="1">IFERROR(__xludf.DUMMYFUNCTION("""COMPUTED_VALUE"""),"")</f>
        <v/>
      </c>
      <c r="V80" s="2" t="str">
        <f ca="1">IFERROR(__xludf.DUMMYFUNCTION("""COMPUTED_VALUE"""),"")</f>
        <v/>
      </c>
      <c r="W80" s="2" t="str">
        <f ca="1">IFERROR(__xludf.DUMMYFUNCTION("""COMPUTED_VALUE"""),"")</f>
        <v/>
      </c>
      <c r="X80" s="2" t="str">
        <f ca="1">IFERROR(__xludf.DUMMYFUNCTION("""COMPUTED_VALUE"""),"")</f>
        <v/>
      </c>
      <c r="Y80" s="2" t="str">
        <f ca="1">IFERROR(__xludf.DUMMYFUNCTION("""COMPUTED_VALUE"""),"")</f>
        <v/>
      </c>
      <c r="Z80" s="2" t="str">
        <f ca="1">IFERROR(__xludf.DUMMYFUNCTION("""COMPUTED_VALUE"""),"")</f>
        <v/>
      </c>
      <c r="AA80" s="2" t="str">
        <f ca="1">IFERROR(__xludf.DUMMYFUNCTION("""COMPUTED_VALUE"""),"")</f>
        <v/>
      </c>
      <c r="AB80" s="2" t="str">
        <f ca="1">IFERROR(__xludf.DUMMYFUNCTION("""COMPUTED_VALUE"""),"")</f>
        <v/>
      </c>
      <c r="AC80" s="2" t="str">
        <f ca="1">IFERROR(__xludf.DUMMYFUNCTION("""COMPUTED_VALUE"""),"")</f>
        <v/>
      </c>
      <c r="AD80" s="2" t="str">
        <f ca="1">IFERROR(__xludf.DUMMYFUNCTION("""COMPUTED_VALUE"""),"")</f>
        <v/>
      </c>
      <c r="AE80" s="2" t="str">
        <f ca="1">IFERROR(__xludf.DUMMYFUNCTION("""COMPUTED_VALUE"""),"")</f>
        <v/>
      </c>
      <c r="AF80" s="2" t="str">
        <f ca="1">IFERROR(__xludf.DUMMYFUNCTION("""COMPUTED_VALUE"""),"")</f>
        <v/>
      </c>
      <c r="AG80" s="2" t="str">
        <f ca="1">IFERROR(__xludf.DUMMYFUNCTION("""COMPUTED_VALUE"""),"")</f>
        <v/>
      </c>
      <c r="AH80" s="2" t="str">
        <f ca="1">IFERROR(__xludf.DUMMYFUNCTION("""COMPUTED_VALUE"""),"")</f>
        <v/>
      </c>
      <c r="AI80" s="2" t="str">
        <f ca="1">IFERROR(__xludf.DUMMYFUNCTION("""COMPUTED_VALUE"""),"")</f>
        <v/>
      </c>
      <c r="AJ80" s="2" t="str">
        <f ca="1">IFERROR(__xludf.DUMMYFUNCTION("""COMPUTED_VALUE"""),"")</f>
        <v/>
      </c>
      <c r="AK80" s="2" t="str">
        <f ca="1">IFERROR(__xludf.DUMMYFUNCTION("""COMPUTED_VALUE"""),"")</f>
        <v/>
      </c>
      <c r="AL80" s="2" t="str">
        <f ca="1">IFERROR(__xludf.DUMMYFUNCTION("""COMPUTED_VALUE"""),"")</f>
        <v/>
      </c>
      <c r="AM80" s="2" t="str">
        <f ca="1">IFERROR(__xludf.DUMMYFUNCTION("""COMPUTED_VALUE"""),"")</f>
        <v/>
      </c>
      <c r="AN80" s="2" t="str">
        <f ca="1">IFERROR(__xludf.DUMMYFUNCTION("""COMPUTED_VALUE"""),"")</f>
        <v/>
      </c>
      <c r="AO80" s="2" t="str">
        <f ca="1">IFERROR(__xludf.DUMMYFUNCTION("""COMPUTED_VALUE"""),"")</f>
        <v/>
      </c>
      <c r="AP80" s="2" t="str">
        <f ca="1">IFERROR(__xludf.DUMMYFUNCTION("""COMPUTED_VALUE"""),"")</f>
        <v/>
      </c>
      <c r="AQ80" s="2" t="str">
        <f ca="1">IFERROR(__xludf.DUMMYFUNCTION("""COMPUTED_VALUE"""),"")</f>
        <v/>
      </c>
      <c r="AR80" s="2" t="str">
        <f ca="1">IFERROR(__xludf.DUMMYFUNCTION("""COMPUTED_VALUE"""),"")</f>
        <v/>
      </c>
      <c r="AS80" s="2" t="str">
        <f ca="1">IFERROR(__xludf.DUMMYFUNCTION("""COMPUTED_VALUE"""),"")</f>
        <v/>
      </c>
      <c r="AT80" s="2" t="str">
        <f ca="1">IFERROR(__xludf.DUMMYFUNCTION("""COMPUTED_VALUE"""),"")</f>
        <v/>
      </c>
      <c r="AU80" s="2" t="str">
        <f ca="1">IFERROR(__xludf.DUMMYFUNCTION("""COMPUTED_VALUE"""),"")</f>
        <v/>
      </c>
      <c r="AV80" s="2" t="str">
        <f ca="1">IFERROR(__xludf.DUMMYFUNCTION("""COMPUTED_VALUE"""),"")</f>
        <v/>
      </c>
      <c r="AW80" s="2" t="str">
        <f ca="1">IFERROR(__xludf.DUMMYFUNCTION("""COMPUTED_VALUE"""),"")</f>
        <v/>
      </c>
      <c r="AX80" s="2" t="str">
        <f ca="1">IFERROR(__xludf.DUMMYFUNCTION("""COMPUTED_VALUE"""),"")</f>
        <v/>
      </c>
      <c r="AY80" s="2" t="str">
        <f ca="1">IFERROR(__xludf.DUMMYFUNCTION("""COMPUTED_VALUE"""),"")</f>
        <v/>
      </c>
      <c r="AZ80" s="2" t="str">
        <f ca="1">IFERROR(__xludf.DUMMYFUNCTION("""COMPUTED_VALUE"""),"")</f>
        <v/>
      </c>
      <c r="BA80" s="2" t="str">
        <f ca="1">IFERROR(__xludf.DUMMYFUNCTION("""COMPUTED_VALUE"""),"")</f>
        <v/>
      </c>
      <c r="BB80" s="2" t="str">
        <f ca="1">IFERROR(__xludf.DUMMYFUNCTION("""COMPUTED_VALUE"""),"")</f>
        <v/>
      </c>
      <c r="BC80" s="2" t="str">
        <f ca="1">IFERROR(__xludf.DUMMYFUNCTION("""COMPUTED_VALUE"""),"")</f>
        <v/>
      </c>
      <c r="BD80" s="2" t="str">
        <f ca="1">IFERROR(__xludf.DUMMYFUNCTION("""COMPUTED_VALUE"""),"")</f>
        <v/>
      </c>
      <c r="BE80" s="2" t="str">
        <f ca="1">IFERROR(__xludf.DUMMYFUNCTION("""COMPUTED_VALUE"""),"")</f>
        <v/>
      </c>
      <c r="BF80" t="str">
        <f ca="1">IFERROR(__xludf.DUMMYFUNCTION("""COMPUTED_VALUE"""),"")</f>
        <v/>
      </c>
      <c r="BG80" t="str">
        <f ca="1">IFERROR(__xludf.DUMMYFUNCTION("""COMPUTED_VALUE"""),"")</f>
        <v/>
      </c>
      <c r="BH80" s="2">
        <f ca="1">IFERROR(__xludf.DUMMYFUNCTION("""COMPUTED_VALUE"""),-37.3433228)</f>
        <v>-37.343322800000003</v>
      </c>
      <c r="BI80" s="13">
        <f ca="1">IFERROR(__xludf.DUMMYFUNCTION("""COMPUTED_VALUE"""),175.1559601)</f>
        <v>175.15596009999999</v>
      </c>
      <c r="BJ80" s="9">
        <f ca="1">IFERROR(__xludf.DUMMYFUNCTION("""COMPUTED_VALUE"""),43396)</f>
        <v>43396</v>
      </c>
      <c r="BK80" s="4">
        <f ca="1">IFERROR(__xludf.DUMMYFUNCTION("""COMPUTED_VALUE"""),0.457777777777664)</f>
        <v>0.45777777777766399</v>
      </c>
    </row>
    <row r="81" spans="1:63" ht="12.5" x14ac:dyDescent="0.25">
      <c r="A81" s="7" t="str">
        <f ca="1">IFERROR(__xludf.DUMMYFUNCTION("""COMPUTED_VALUE"""),"")</f>
        <v/>
      </c>
      <c r="B81" s="8" t="str">
        <f ca="1">IFERROR(__xludf.DUMMYFUNCTION("""COMPUTED_VALUE"""),"Waikato")</f>
        <v>Waikato</v>
      </c>
      <c r="C81" s="2">
        <f ca="1">IFERROR(__xludf.DUMMYFUNCTION("""COMPUTED_VALUE"""),64)</f>
        <v>64</v>
      </c>
      <c r="D81" s="9" t="str">
        <f ca="1">IFERROR(__xludf.DUMMYFUNCTION("""COMPUTED_VALUE"""),"")</f>
        <v/>
      </c>
      <c r="E81" s="4" t="str">
        <f ca="1">IFERROR(__xludf.DUMMYFUNCTION("""COMPUTED_VALUE"""),"")</f>
        <v/>
      </c>
      <c r="F81" s="2" t="str">
        <f ca="1">IFERROR(__xludf.DUMMYFUNCTION("""COMPUTED_VALUE"""),"")</f>
        <v/>
      </c>
      <c r="G81" s="2" t="str">
        <f ca="1">IFERROR(__xludf.DUMMYFUNCTION("""COMPUTED_VALUE"""),"GPS: I converted data downloaded from ARGOS using Pinpoint software")</f>
        <v>GPS: I converted data downloaded from ARGOS using Pinpoint software</v>
      </c>
      <c r="H81" s="2" t="str">
        <f ca="1">IFERROR(__xludf.DUMMYFUNCTION("""COMPUTED_VALUE"""),"3D")</f>
        <v>3D</v>
      </c>
      <c r="I81" s="2" t="str">
        <f ca="1">IFERROR(__xludf.DUMMYFUNCTION("""COMPUTED_VALUE"""),"")</f>
        <v/>
      </c>
      <c r="J81" s="2" t="str">
        <f ca="1">IFERROR(__xludf.DUMMYFUNCTION("""COMPUTED_VALUE"""),"")</f>
        <v/>
      </c>
      <c r="K81" s="2" t="str">
        <f ca="1">IFERROR(__xludf.DUMMYFUNCTION("""COMPUTED_VALUE"""),"")</f>
        <v/>
      </c>
      <c r="L81" s="2" t="str">
        <f ca="1">IFERROR(__xludf.DUMMYFUNCTION("""COMPUTED_VALUE"""),"")</f>
        <v/>
      </c>
      <c r="M81" s="5" t="str">
        <f ca="1">IFERROR(__xludf.DUMMYFUNCTION("""COMPUTED_VALUE"""),"")</f>
        <v/>
      </c>
      <c r="N81" s="5" t="str">
        <f ca="1">IFERROR(__xludf.DUMMYFUNCTION("""COMPUTED_VALUE"""),"")</f>
        <v/>
      </c>
      <c r="O81" s="2" t="str">
        <f ca="1">IFERROR(__xludf.DUMMYFUNCTION("""COMPUTED_VALUE"""),"")</f>
        <v/>
      </c>
      <c r="P81" s="2" t="str">
        <f ca="1">IFERROR(__xludf.DUMMYFUNCTION("""COMPUTED_VALUE"""),"")</f>
        <v/>
      </c>
      <c r="Q81" s="2" t="str">
        <f ca="1">IFERROR(__xludf.DUMMYFUNCTION("""COMPUTED_VALUE"""),"")</f>
        <v/>
      </c>
      <c r="R81" s="2" t="str">
        <f ca="1">IFERROR(__xludf.DUMMYFUNCTION("""COMPUTED_VALUE"""),"")</f>
        <v/>
      </c>
      <c r="S81" s="2" t="str">
        <f ca="1">IFERROR(__xludf.DUMMYFUNCTION("""COMPUTED_VALUE"""),"")</f>
        <v/>
      </c>
      <c r="T81" s="2" t="str">
        <f ca="1">IFERROR(__xludf.DUMMYFUNCTION("""COMPUTED_VALUE"""),"")</f>
        <v/>
      </c>
      <c r="U81" s="2" t="str">
        <f ca="1">IFERROR(__xludf.DUMMYFUNCTION("""COMPUTED_VALUE"""),"")</f>
        <v/>
      </c>
      <c r="V81" s="2" t="str">
        <f ca="1">IFERROR(__xludf.DUMMYFUNCTION("""COMPUTED_VALUE"""),"")</f>
        <v/>
      </c>
      <c r="W81" s="2" t="str">
        <f ca="1">IFERROR(__xludf.DUMMYFUNCTION("""COMPUTED_VALUE"""),"")</f>
        <v/>
      </c>
      <c r="X81" s="2" t="str">
        <f ca="1">IFERROR(__xludf.DUMMYFUNCTION("""COMPUTED_VALUE"""),"")</f>
        <v/>
      </c>
      <c r="Y81" s="2" t="str">
        <f ca="1">IFERROR(__xludf.DUMMYFUNCTION("""COMPUTED_VALUE"""),"")</f>
        <v/>
      </c>
      <c r="Z81" s="2" t="str">
        <f ca="1">IFERROR(__xludf.DUMMYFUNCTION("""COMPUTED_VALUE"""),"")</f>
        <v/>
      </c>
      <c r="AA81" s="2" t="str">
        <f ca="1">IFERROR(__xludf.DUMMYFUNCTION("""COMPUTED_VALUE"""),"")</f>
        <v/>
      </c>
      <c r="AB81" s="2" t="str">
        <f ca="1">IFERROR(__xludf.DUMMYFUNCTION("""COMPUTED_VALUE"""),"")</f>
        <v/>
      </c>
      <c r="AC81" s="2" t="str">
        <f ca="1">IFERROR(__xludf.DUMMYFUNCTION("""COMPUTED_VALUE"""),"")</f>
        <v/>
      </c>
      <c r="AD81" s="2" t="str">
        <f ca="1">IFERROR(__xludf.DUMMYFUNCTION("""COMPUTED_VALUE"""),"")</f>
        <v/>
      </c>
      <c r="AE81" s="2" t="str">
        <f ca="1">IFERROR(__xludf.DUMMYFUNCTION("""COMPUTED_VALUE"""),"")</f>
        <v/>
      </c>
      <c r="AF81" s="2" t="str">
        <f ca="1">IFERROR(__xludf.DUMMYFUNCTION("""COMPUTED_VALUE"""),"")</f>
        <v/>
      </c>
      <c r="AG81" s="2" t="str">
        <f ca="1">IFERROR(__xludf.DUMMYFUNCTION("""COMPUTED_VALUE"""),"")</f>
        <v/>
      </c>
      <c r="AH81" s="2" t="str">
        <f ca="1">IFERROR(__xludf.DUMMYFUNCTION("""COMPUTED_VALUE"""),"")</f>
        <v/>
      </c>
      <c r="AI81" s="2" t="str">
        <f ca="1">IFERROR(__xludf.DUMMYFUNCTION("""COMPUTED_VALUE"""),"")</f>
        <v/>
      </c>
      <c r="AJ81" s="2" t="str">
        <f ca="1">IFERROR(__xludf.DUMMYFUNCTION("""COMPUTED_VALUE"""),"")</f>
        <v/>
      </c>
      <c r="AK81" s="2" t="str">
        <f ca="1">IFERROR(__xludf.DUMMYFUNCTION("""COMPUTED_VALUE"""),"")</f>
        <v/>
      </c>
      <c r="AL81" s="2" t="str">
        <f ca="1">IFERROR(__xludf.DUMMYFUNCTION("""COMPUTED_VALUE"""),"")</f>
        <v/>
      </c>
      <c r="AM81" s="2" t="str">
        <f ca="1">IFERROR(__xludf.DUMMYFUNCTION("""COMPUTED_VALUE"""),"")</f>
        <v/>
      </c>
      <c r="AN81" s="2" t="str">
        <f ca="1">IFERROR(__xludf.DUMMYFUNCTION("""COMPUTED_VALUE"""),"")</f>
        <v/>
      </c>
      <c r="AO81" s="2" t="str">
        <f ca="1">IFERROR(__xludf.DUMMYFUNCTION("""COMPUTED_VALUE"""),"")</f>
        <v/>
      </c>
      <c r="AP81" s="2" t="str">
        <f ca="1">IFERROR(__xludf.DUMMYFUNCTION("""COMPUTED_VALUE"""),"")</f>
        <v/>
      </c>
      <c r="AQ81" s="2" t="str">
        <f ca="1">IFERROR(__xludf.DUMMYFUNCTION("""COMPUTED_VALUE"""),"")</f>
        <v/>
      </c>
      <c r="AR81" s="2" t="str">
        <f ca="1">IFERROR(__xludf.DUMMYFUNCTION("""COMPUTED_VALUE"""),"")</f>
        <v/>
      </c>
      <c r="AS81" s="2" t="str">
        <f ca="1">IFERROR(__xludf.DUMMYFUNCTION("""COMPUTED_VALUE"""),"")</f>
        <v/>
      </c>
      <c r="AT81" s="2" t="str">
        <f ca="1">IFERROR(__xludf.DUMMYFUNCTION("""COMPUTED_VALUE"""),"")</f>
        <v/>
      </c>
      <c r="AU81" s="2" t="str">
        <f ca="1">IFERROR(__xludf.DUMMYFUNCTION("""COMPUTED_VALUE"""),"")</f>
        <v/>
      </c>
      <c r="AV81" s="2" t="str">
        <f ca="1">IFERROR(__xludf.DUMMYFUNCTION("""COMPUTED_VALUE"""),"")</f>
        <v/>
      </c>
      <c r="AW81" s="2" t="str">
        <f ca="1">IFERROR(__xludf.DUMMYFUNCTION("""COMPUTED_VALUE"""),"")</f>
        <v/>
      </c>
      <c r="AX81" s="2" t="str">
        <f ca="1">IFERROR(__xludf.DUMMYFUNCTION("""COMPUTED_VALUE"""),"")</f>
        <v/>
      </c>
      <c r="AY81" s="2" t="str">
        <f ca="1">IFERROR(__xludf.DUMMYFUNCTION("""COMPUTED_VALUE"""),"")</f>
        <v/>
      </c>
      <c r="AZ81" s="2" t="str">
        <f ca="1">IFERROR(__xludf.DUMMYFUNCTION("""COMPUTED_VALUE"""),"")</f>
        <v/>
      </c>
      <c r="BA81" s="2" t="str">
        <f ca="1">IFERROR(__xludf.DUMMYFUNCTION("""COMPUTED_VALUE"""),"")</f>
        <v/>
      </c>
      <c r="BB81" s="2" t="str">
        <f ca="1">IFERROR(__xludf.DUMMYFUNCTION("""COMPUTED_VALUE"""),"")</f>
        <v/>
      </c>
      <c r="BC81" s="2" t="str">
        <f ca="1">IFERROR(__xludf.DUMMYFUNCTION("""COMPUTED_VALUE"""),"")</f>
        <v/>
      </c>
      <c r="BD81" s="2" t="str">
        <f ca="1">IFERROR(__xludf.DUMMYFUNCTION("""COMPUTED_VALUE"""),"")</f>
        <v/>
      </c>
      <c r="BE81" s="2" t="str">
        <f ca="1">IFERROR(__xludf.DUMMYFUNCTION("""COMPUTED_VALUE"""),"")</f>
        <v/>
      </c>
      <c r="BF81" t="str">
        <f ca="1">IFERROR(__xludf.DUMMYFUNCTION("""COMPUTED_VALUE"""),"")</f>
        <v/>
      </c>
      <c r="BG81" t="str">
        <f ca="1">IFERROR(__xludf.DUMMYFUNCTION("""COMPUTED_VALUE"""),"")</f>
        <v/>
      </c>
      <c r="BH81" s="2">
        <f ca="1">IFERROR(__xludf.DUMMYFUNCTION("""COMPUTED_VALUE"""),-37.3432961)</f>
        <v>-37.343296100000003</v>
      </c>
      <c r="BI81" s="12">
        <f ca="1">IFERROR(__xludf.DUMMYFUNCTION("""COMPUTED_VALUE"""),175.1555786)</f>
        <v>175.15557860000001</v>
      </c>
      <c r="BJ81" s="9">
        <f ca="1">IFERROR(__xludf.DUMMYFUNCTION("""COMPUTED_VALUE"""),43396)</f>
        <v>43396</v>
      </c>
      <c r="BK81" s="4">
        <f ca="1">IFERROR(__xludf.DUMMYFUNCTION("""COMPUTED_VALUE"""),0.958518518516939)</f>
        <v>0.95851851851693903</v>
      </c>
    </row>
    <row r="82" spans="1:63" ht="12.5" x14ac:dyDescent="0.25">
      <c r="A82" s="7" t="str">
        <f ca="1">IFERROR(__xludf.DUMMYFUNCTION("""COMPUTED_VALUE"""),"")</f>
        <v/>
      </c>
      <c r="B82" s="8" t="str">
        <f ca="1">IFERROR(__xludf.DUMMYFUNCTION("""COMPUTED_VALUE"""),"Waikato")</f>
        <v>Waikato</v>
      </c>
      <c r="C82" s="2">
        <f ca="1">IFERROR(__xludf.DUMMYFUNCTION("""COMPUTED_VALUE"""),64)</f>
        <v>64</v>
      </c>
      <c r="D82" s="9" t="str">
        <f ca="1">IFERROR(__xludf.DUMMYFUNCTION("""COMPUTED_VALUE"""),"")</f>
        <v/>
      </c>
      <c r="E82" s="4" t="str">
        <f ca="1">IFERROR(__xludf.DUMMYFUNCTION("""COMPUTED_VALUE"""),"")</f>
        <v/>
      </c>
      <c r="F82" s="2" t="str">
        <f ca="1">IFERROR(__xludf.DUMMYFUNCTION("""COMPUTED_VALUE"""),"")</f>
        <v/>
      </c>
      <c r="G82" s="2" t="str">
        <f ca="1">IFERROR(__xludf.DUMMYFUNCTION("""COMPUTED_VALUE"""),"GPS: I converted data downloaded from ARGOS using Pinpoint software")</f>
        <v>GPS: I converted data downloaded from ARGOS using Pinpoint software</v>
      </c>
      <c r="H82" s="2" t="str">
        <f ca="1">IFERROR(__xludf.DUMMYFUNCTION("""COMPUTED_VALUE"""),"3D")</f>
        <v>3D</v>
      </c>
      <c r="I82" s="2" t="str">
        <f ca="1">IFERROR(__xludf.DUMMYFUNCTION("""COMPUTED_VALUE"""),"")</f>
        <v/>
      </c>
      <c r="J82" s="2" t="str">
        <f ca="1">IFERROR(__xludf.DUMMYFUNCTION("""COMPUTED_VALUE"""),"")</f>
        <v/>
      </c>
      <c r="K82" s="2" t="str">
        <f ca="1">IFERROR(__xludf.DUMMYFUNCTION("""COMPUTED_VALUE"""),"")</f>
        <v/>
      </c>
      <c r="L82" s="2" t="str">
        <f ca="1">IFERROR(__xludf.DUMMYFUNCTION("""COMPUTED_VALUE"""),"")</f>
        <v/>
      </c>
      <c r="M82" s="5" t="str">
        <f ca="1">IFERROR(__xludf.DUMMYFUNCTION("""COMPUTED_VALUE"""),"")</f>
        <v/>
      </c>
      <c r="N82" s="5" t="str">
        <f ca="1">IFERROR(__xludf.DUMMYFUNCTION("""COMPUTED_VALUE"""),"")</f>
        <v/>
      </c>
      <c r="O82" s="2" t="str">
        <f ca="1">IFERROR(__xludf.DUMMYFUNCTION("""COMPUTED_VALUE"""),"")</f>
        <v/>
      </c>
      <c r="P82" s="2" t="str">
        <f ca="1">IFERROR(__xludf.DUMMYFUNCTION("""COMPUTED_VALUE"""),"")</f>
        <v/>
      </c>
      <c r="Q82" s="2" t="str">
        <f ca="1">IFERROR(__xludf.DUMMYFUNCTION("""COMPUTED_VALUE"""),"")</f>
        <v/>
      </c>
      <c r="R82" s="2" t="str">
        <f ca="1">IFERROR(__xludf.DUMMYFUNCTION("""COMPUTED_VALUE"""),"")</f>
        <v/>
      </c>
      <c r="S82" s="2" t="str">
        <f ca="1">IFERROR(__xludf.DUMMYFUNCTION("""COMPUTED_VALUE"""),"")</f>
        <v/>
      </c>
      <c r="T82" s="2" t="str">
        <f ca="1">IFERROR(__xludf.DUMMYFUNCTION("""COMPUTED_VALUE"""),"")</f>
        <v/>
      </c>
      <c r="U82" s="2" t="str">
        <f ca="1">IFERROR(__xludf.DUMMYFUNCTION("""COMPUTED_VALUE"""),"")</f>
        <v/>
      </c>
      <c r="V82" s="2" t="str">
        <f ca="1">IFERROR(__xludf.DUMMYFUNCTION("""COMPUTED_VALUE"""),"")</f>
        <v/>
      </c>
      <c r="W82" s="2" t="str">
        <f ca="1">IFERROR(__xludf.DUMMYFUNCTION("""COMPUTED_VALUE"""),"")</f>
        <v/>
      </c>
      <c r="X82" s="2" t="str">
        <f ca="1">IFERROR(__xludf.DUMMYFUNCTION("""COMPUTED_VALUE"""),"")</f>
        <v/>
      </c>
      <c r="Y82" s="2" t="str">
        <f ca="1">IFERROR(__xludf.DUMMYFUNCTION("""COMPUTED_VALUE"""),"")</f>
        <v/>
      </c>
      <c r="Z82" s="2" t="str">
        <f ca="1">IFERROR(__xludf.DUMMYFUNCTION("""COMPUTED_VALUE"""),"")</f>
        <v/>
      </c>
      <c r="AA82" s="2" t="str">
        <f ca="1">IFERROR(__xludf.DUMMYFUNCTION("""COMPUTED_VALUE"""),"")</f>
        <v/>
      </c>
      <c r="AB82" s="2" t="str">
        <f ca="1">IFERROR(__xludf.DUMMYFUNCTION("""COMPUTED_VALUE"""),"")</f>
        <v/>
      </c>
      <c r="AC82" s="2" t="str">
        <f ca="1">IFERROR(__xludf.DUMMYFUNCTION("""COMPUTED_VALUE"""),"")</f>
        <v/>
      </c>
      <c r="AD82" s="2" t="str">
        <f ca="1">IFERROR(__xludf.DUMMYFUNCTION("""COMPUTED_VALUE"""),"")</f>
        <v/>
      </c>
      <c r="AE82" s="2" t="str">
        <f ca="1">IFERROR(__xludf.DUMMYFUNCTION("""COMPUTED_VALUE"""),"")</f>
        <v/>
      </c>
      <c r="AF82" s="2" t="str">
        <f ca="1">IFERROR(__xludf.DUMMYFUNCTION("""COMPUTED_VALUE"""),"")</f>
        <v/>
      </c>
      <c r="AG82" s="2" t="str">
        <f ca="1">IFERROR(__xludf.DUMMYFUNCTION("""COMPUTED_VALUE"""),"")</f>
        <v/>
      </c>
      <c r="AH82" s="2" t="str">
        <f ca="1">IFERROR(__xludf.DUMMYFUNCTION("""COMPUTED_VALUE"""),"")</f>
        <v/>
      </c>
      <c r="AI82" s="2" t="str">
        <f ca="1">IFERROR(__xludf.DUMMYFUNCTION("""COMPUTED_VALUE"""),"")</f>
        <v/>
      </c>
      <c r="AJ82" s="2" t="str">
        <f ca="1">IFERROR(__xludf.DUMMYFUNCTION("""COMPUTED_VALUE"""),"")</f>
        <v/>
      </c>
      <c r="AK82" s="2" t="str">
        <f ca="1">IFERROR(__xludf.DUMMYFUNCTION("""COMPUTED_VALUE"""),"")</f>
        <v/>
      </c>
      <c r="AL82" s="2" t="str">
        <f ca="1">IFERROR(__xludf.DUMMYFUNCTION("""COMPUTED_VALUE"""),"")</f>
        <v/>
      </c>
      <c r="AM82" s="2" t="str">
        <f ca="1">IFERROR(__xludf.DUMMYFUNCTION("""COMPUTED_VALUE"""),"")</f>
        <v/>
      </c>
      <c r="AN82" s="2" t="str">
        <f ca="1">IFERROR(__xludf.DUMMYFUNCTION("""COMPUTED_VALUE"""),"")</f>
        <v/>
      </c>
      <c r="AO82" s="2" t="str">
        <f ca="1">IFERROR(__xludf.DUMMYFUNCTION("""COMPUTED_VALUE"""),"")</f>
        <v/>
      </c>
      <c r="AP82" s="2" t="str">
        <f ca="1">IFERROR(__xludf.DUMMYFUNCTION("""COMPUTED_VALUE"""),"")</f>
        <v/>
      </c>
      <c r="AQ82" s="2" t="str">
        <f ca="1">IFERROR(__xludf.DUMMYFUNCTION("""COMPUTED_VALUE"""),"")</f>
        <v/>
      </c>
      <c r="AR82" s="2" t="str">
        <f ca="1">IFERROR(__xludf.DUMMYFUNCTION("""COMPUTED_VALUE"""),"")</f>
        <v/>
      </c>
      <c r="AS82" s="2" t="str">
        <f ca="1">IFERROR(__xludf.DUMMYFUNCTION("""COMPUTED_VALUE"""),"")</f>
        <v/>
      </c>
      <c r="AT82" s="2" t="str">
        <f ca="1">IFERROR(__xludf.DUMMYFUNCTION("""COMPUTED_VALUE"""),"")</f>
        <v/>
      </c>
      <c r="AU82" s="2" t="str">
        <f ca="1">IFERROR(__xludf.DUMMYFUNCTION("""COMPUTED_VALUE"""),"")</f>
        <v/>
      </c>
      <c r="AV82" s="2" t="str">
        <f ca="1">IFERROR(__xludf.DUMMYFUNCTION("""COMPUTED_VALUE"""),"")</f>
        <v/>
      </c>
      <c r="AW82" s="2" t="str">
        <f ca="1">IFERROR(__xludf.DUMMYFUNCTION("""COMPUTED_VALUE"""),"")</f>
        <v/>
      </c>
      <c r="AX82" s="2" t="str">
        <f ca="1">IFERROR(__xludf.DUMMYFUNCTION("""COMPUTED_VALUE"""),"")</f>
        <v/>
      </c>
      <c r="AY82" s="2" t="str">
        <f ca="1">IFERROR(__xludf.DUMMYFUNCTION("""COMPUTED_VALUE"""),"")</f>
        <v/>
      </c>
      <c r="AZ82" s="2" t="str">
        <f ca="1">IFERROR(__xludf.DUMMYFUNCTION("""COMPUTED_VALUE"""),"")</f>
        <v/>
      </c>
      <c r="BA82" s="2" t="str">
        <f ca="1">IFERROR(__xludf.DUMMYFUNCTION("""COMPUTED_VALUE"""),"")</f>
        <v/>
      </c>
      <c r="BB82" s="2" t="str">
        <f ca="1">IFERROR(__xludf.DUMMYFUNCTION("""COMPUTED_VALUE"""),"")</f>
        <v/>
      </c>
      <c r="BC82" s="2" t="str">
        <f ca="1">IFERROR(__xludf.DUMMYFUNCTION("""COMPUTED_VALUE"""),"")</f>
        <v/>
      </c>
      <c r="BD82" s="2" t="str">
        <f ca="1">IFERROR(__xludf.DUMMYFUNCTION("""COMPUTED_VALUE"""),"")</f>
        <v/>
      </c>
      <c r="BE82" s="2" t="str">
        <f ca="1">IFERROR(__xludf.DUMMYFUNCTION("""COMPUTED_VALUE"""),"")</f>
        <v/>
      </c>
      <c r="BF82" t="str">
        <f ca="1">IFERROR(__xludf.DUMMYFUNCTION("""COMPUTED_VALUE"""),"")</f>
        <v/>
      </c>
      <c r="BG82" t="str">
        <f ca="1">IFERROR(__xludf.DUMMYFUNCTION("""COMPUTED_VALUE"""),"")</f>
        <v/>
      </c>
      <c r="BH82" s="2">
        <f ca="1">IFERROR(__xludf.DUMMYFUNCTION("""COMPUTED_VALUE"""),-37.3432961)</f>
        <v>-37.343296100000003</v>
      </c>
      <c r="BI82" s="13">
        <f ca="1">IFERROR(__xludf.DUMMYFUNCTION("""COMPUTED_VALUE"""),175.1548767)</f>
        <v>175.15487669999999</v>
      </c>
      <c r="BJ82" s="9">
        <f ca="1">IFERROR(__xludf.DUMMYFUNCTION("""COMPUTED_VALUE"""),43398)</f>
        <v>43398</v>
      </c>
      <c r="BK82" s="4">
        <f ca="1">IFERROR(__xludf.DUMMYFUNCTION("""COMPUTED_VALUE"""),0.457777777777664)</f>
        <v>0.45777777777766399</v>
      </c>
    </row>
    <row r="83" spans="1:63" ht="12.5" x14ac:dyDescent="0.25">
      <c r="A83" s="7" t="str">
        <f ca="1">IFERROR(__xludf.DUMMYFUNCTION("""COMPUTED_VALUE"""),"")</f>
        <v/>
      </c>
      <c r="B83" s="8" t="str">
        <f ca="1">IFERROR(__xludf.DUMMYFUNCTION("""COMPUTED_VALUE"""),"Waikato")</f>
        <v>Waikato</v>
      </c>
      <c r="C83" s="2">
        <f ca="1">IFERROR(__xludf.DUMMYFUNCTION("""COMPUTED_VALUE"""),64)</f>
        <v>64</v>
      </c>
      <c r="D83" s="9" t="str">
        <f ca="1">IFERROR(__xludf.DUMMYFUNCTION("""COMPUTED_VALUE"""),"")</f>
        <v/>
      </c>
      <c r="E83" s="4" t="str">
        <f ca="1">IFERROR(__xludf.DUMMYFUNCTION("""COMPUTED_VALUE"""),"")</f>
        <v/>
      </c>
      <c r="F83" s="2" t="str">
        <f ca="1">IFERROR(__xludf.DUMMYFUNCTION("""COMPUTED_VALUE"""),"")</f>
        <v/>
      </c>
      <c r="G83" s="2" t="str">
        <f ca="1">IFERROR(__xludf.DUMMYFUNCTION("""COMPUTED_VALUE"""),"GPS: I converted data downloaded from ARGOS using Pinpoint software")</f>
        <v>GPS: I converted data downloaded from ARGOS using Pinpoint software</v>
      </c>
      <c r="H83" s="2" t="str">
        <f ca="1">IFERROR(__xludf.DUMMYFUNCTION("""COMPUTED_VALUE"""),"3D")</f>
        <v>3D</v>
      </c>
      <c r="I83" s="2" t="str">
        <f ca="1">IFERROR(__xludf.DUMMYFUNCTION("""COMPUTED_VALUE"""),"")</f>
        <v/>
      </c>
      <c r="J83" s="2" t="str">
        <f ca="1">IFERROR(__xludf.DUMMYFUNCTION("""COMPUTED_VALUE"""),"")</f>
        <v/>
      </c>
      <c r="K83" s="2" t="str">
        <f ca="1">IFERROR(__xludf.DUMMYFUNCTION("""COMPUTED_VALUE"""),"")</f>
        <v/>
      </c>
      <c r="L83" s="2" t="str">
        <f ca="1">IFERROR(__xludf.DUMMYFUNCTION("""COMPUTED_VALUE"""),"")</f>
        <v/>
      </c>
      <c r="M83" s="5" t="str">
        <f ca="1">IFERROR(__xludf.DUMMYFUNCTION("""COMPUTED_VALUE"""),"")</f>
        <v/>
      </c>
      <c r="N83" s="5" t="str">
        <f ca="1">IFERROR(__xludf.DUMMYFUNCTION("""COMPUTED_VALUE"""),"")</f>
        <v/>
      </c>
      <c r="O83" s="2" t="str">
        <f ca="1">IFERROR(__xludf.DUMMYFUNCTION("""COMPUTED_VALUE"""),"")</f>
        <v/>
      </c>
      <c r="P83" s="2" t="str">
        <f ca="1">IFERROR(__xludf.DUMMYFUNCTION("""COMPUTED_VALUE"""),"")</f>
        <v/>
      </c>
      <c r="Q83" s="2" t="str">
        <f ca="1">IFERROR(__xludf.DUMMYFUNCTION("""COMPUTED_VALUE"""),"")</f>
        <v/>
      </c>
      <c r="R83" s="2" t="str">
        <f ca="1">IFERROR(__xludf.DUMMYFUNCTION("""COMPUTED_VALUE"""),"")</f>
        <v/>
      </c>
      <c r="S83" s="2" t="str">
        <f ca="1">IFERROR(__xludf.DUMMYFUNCTION("""COMPUTED_VALUE"""),"")</f>
        <v/>
      </c>
      <c r="T83" s="2" t="str">
        <f ca="1">IFERROR(__xludf.DUMMYFUNCTION("""COMPUTED_VALUE"""),"")</f>
        <v/>
      </c>
      <c r="U83" s="2" t="str">
        <f ca="1">IFERROR(__xludf.DUMMYFUNCTION("""COMPUTED_VALUE"""),"")</f>
        <v/>
      </c>
      <c r="V83" s="2" t="str">
        <f ca="1">IFERROR(__xludf.DUMMYFUNCTION("""COMPUTED_VALUE"""),"")</f>
        <v/>
      </c>
      <c r="W83" s="2" t="str">
        <f ca="1">IFERROR(__xludf.DUMMYFUNCTION("""COMPUTED_VALUE"""),"")</f>
        <v/>
      </c>
      <c r="X83" s="2" t="str">
        <f ca="1">IFERROR(__xludf.DUMMYFUNCTION("""COMPUTED_VALUE"""),"")</f>
        <v/>
      </c>
      <c r="Y83" s="2" t="str">
        <f ca="1">IFERROR(__xludf.DUMMYFUNCTION("""COMPUTED_VALUE"""),"")</f>
        <v/>
      </c>
      <c r="Z83" s="2" t="str">
        <f ca="1">IFERROR(__xludf.DUMMYFUNCTION("""COMPUTED_VALUE"""),"")</f>
        <v/>
      </c>
      <c r="AA83" s="2" t="str">
        <f ca="1">IFERROR(__xludf.DUMMYFUNCTION("""COMPUTED_VALUE"""),"")</f>
        <v/>
      </c>
      <c r="AB83" s="2" t="str">
        <f ca="1">IFERROR(__xludf.DUMMYFUNCTION("""COMPUTED_VALUE"""),"")</f>
        <v/>
      </c>
      <c r="AC83" s="2" t="str">
        <f ca="1">IFERROR(__xludf.DUMMYFUNCTION("""COMPUTED_VALUE"""),"")</f>
        <v/>
      </c>
      <c r="AD83" s="2" t="str">
        <f ca="1">IFERROR(__xludf.DUMMYFUNCTION("""COMPUTED_VALUE"""),"")</f>
        <v/>
      </c>
      <c r="AE83" s="2" t="str">
        <f ca="1">IFERROR(__xludf.DUMMYFUNCTION("""COMPUTED_VALUE"""),"")</f>
        <v/>
      </c>
      <c r="AF83" s="2" t="str">
        <f ca="1">IFERROR(__xludf.DUMMYFUNCTION("""COMPUTED_VALUE"""),"")</f>
        <v/>
      </c>
      <c r="AG83" s="2" t="str">
        <f ca="1">IFERROR(__xludf.DUMMYFUNCTION("""COMPUTED_VALUE"""),"")</f>
        <v/>
      </c>
      <c r="AH83" s="2" t="str">
        <f ca="1">IFERROR(__xludf.DUMMYFUNCTION("""COMPUTED_VALUE"""),"")</f>
        <v/>
      </c>
      <c r="AI83" s="2" t="str">
        <f ca="1">IFERROR(__xludf.DUMMYFUNCTION("""COMPUTED_VALUE"""),"")</f>
        <v/>
      </c>
      <c r="AJ83" s="2" t="str">
        <f ca="1">IFERROR(__xludf.DUMMYFUNCTION("""COMPUTED_VALUE"""),"")</f>
        <v/>
      </c>
      <c r="AK83" s="2" t="str">
        <f ca="1">IFERROR(__xludf.DUMMYFUNCTION("""COMPUTED_VALUE"""),"")</f>
        <v/>
      </c>
      <c r="AL83" s="2" t="str">
        <f ca="1">IFERROR(__xludf.DUMMYFUNCTION("""COMPUTED_VALUE"""),"")</f>
        <v/>
      </c>
      <c r="AM83" s="2" t="str">
        <f ca="1">IFERROR(__xludf.DUMMYFUNCTION("""COMPUTED_VALUE"""),"")</f>
        <v/>
      </c>
      <c r="AN83" s="2" t="str">
        <f ca="1">IFERROR(__xludf.DUMMYFUNCTION("""COMPUTED_VALUE"""),"")</f>
        <v/>
      </c>
      <c r="AO83" s="2" t="str">
        <f ca="1">IFERROR(__xludf.DUMMYFUNCTION("""COMPUTED_VALUE"""),"")</f>
        <v/>
      </c>
      <c r="AP83" s="2" t="str">
        <f ca="1">IFERROR(__xludf.DUMMYFUNCTION("""COMPUTED_VALUE"""),"")</f>
        <v/>
      </c>
      <c r="AQ83" s="2" t="str">
        <f ca="1">IFERROR(__xludf.DUMMYFUNCTION("""COMPUTED_VALUE"""),"")</f>
        <v/>
      </c>
      <c r="AR83" s="2" t="str">
        <f ca="1">IFERROR(__xludf.DUMMYFUNCTION("""COMPUTED_VALUE"""),"")</f>
        <v/>
      </c>
      <c r="AS83" s="2" t="str">
        <f ca="1">IFERROR(__xludf.DUMMYFUNCTION("""COMPUTED_VALUE"""),"")</f>
        <v/>
      </c>
      <c r="AT83" s="2" t="str">
        <f ca="1">IFERROR(__xludf.DUMMYFUNCTION("""COMPUTED_VALUE"""),"")</f>
        <v/>
      </c>
      <c r="AU83" s="2" t="str">
        <f ca="1">IFERROR(__xludf.DUMMYFUNCTION("""COMPUTED_VALUE"""),"")</f>
        <v/>
      </c>
      <c r="AV83" s="2" t="str">
        <f ca="1">IFERROR(__xludf.DUMMYFUNCTION("""COMPUTED_VALUE"""),"")</f>
        <v/>
      </c>
      <c r="AW83" s="2" t="str">
        <f ca="1">IFERROR(__xludf.DUMMYFUNCTION("""COMPUTED_VALUE"""),"")</f>
        <v/>
      </c>
      <c r="AX83" s="2" t="str">
        <f ca="1">IFERROR(__xludf.DUMMYFUNCTION("""COMPUTED_VALUE"""),"")</f>
        <v/>
      </c>
      <c r="AY83" s="2" t="str">
        <f ca="1">IFERROR(__xludf.DUMMYFUNCTION("""COMPUTED_VALUE"""),"")</f>
        <v/>
      </c>
      <c r="AZ83" s="2" t="str">
        <f ca="1">IFERROR(__xludf.DUMMYFUNCTION("""COMPUTED_VALUE"""),"")</f>
        <v/>
      </c>
      <c r="BA83" s="2" t="str">
        <f ca="1">IFERROR(__xludf.DUMMYFUNCTION("""COMPUTED_VALUE"""),"")</f>
        <v/>
      </c>
      <c r="BB83" s="2" t="str">
        <f ca="1">IFERROR(__xludf.DUMMYFUNCTION("""COMPUTED_VALUE"""),"")</f>
        <v/>
      </c>
      <c r="BC83" s="2" t="str">
        <f ca="1">IFERROR(__xludf.DUMMYFUNCTION("""COMPUTED_VALUE"""),"")</f>
        <v/>
      </c>
      <c r="BD83" s="2" t="str">
        <f ca="1">IFERROR(__xludf.DUMMYFUNCTION("""COMPUTED_VALUE"""),"")</f>
        <v/>
      </c>
      <c r="BE83" s="2" t="str">
        <f ca="1">IFERROR(__xludf.DUMMYFUNCTION("""COMPUTED_VALUE"""),"")</f>
        <v/>
      </c>
      <c r="BF83" t="str">
        <f ca="1">IFERROR(__xludf.DUMMYFUNCTION("""COMPUTED_VALUE"""),"")</f>
        <v/>
      </c>
      <c r="BG83" t="str">
        <f ca="1">IFERROR(__xludf.DUMMYFUNCTION("""COMPUTED_VALUE"""),"")</f>
        <v/>
      </c>
      <c r="BH83" s="2">
        <f ca="1">IFERROR(__xludf.DUMMYFUNCTION("""COMPUTED_VALUE"""),-37.3433723)</f>
        <v>-37.343372299999999</v>
      </c>
      <c r="BI83" s="12">
        <f ca="1">IFERROR(__xludf.DUMMYFUNCTION("""COMPUTED_VALUE"""),175.155014)</f>
        <v>175.15501399999999</v>
      </c>
      <c r="BJ83" s="9">
        <f ca="1">IFERROR(__xludf.DUMMYFUNCTION("""COMPUTED_VALUE"""),43398)</f>
        <v>43398</v>
      </c>
      <c r="BK83" s="4">
        <f ca="1">IFERROR(__xludf.DUMMYFUNCTION("""COMPUTED_VALUE"""),0.958518518516939)</f>
        <v>0.95851851851693903</v>
      </c>
    </row>
    <row r="84" spans="1:63" ht="12.5" x14ac:dyDescent="0.25">
      <c r="A84" s="7" t="str">
        <f ca="1">IFERROR(__xludf.DUMMYFUNCTION("""COMPUTED_VALUE"""),"")</f>
        <v/>
      </c>
      <c r="B84" s="8" t="str">
        <f ca="1">IFERROR(__xludf.DUMMYFUNCTION("""COMPUTED_VALUE"""),"Waikato")</f>
        <v>Waikato</v>
      </c>
      <c r="C84" s="2">
        <f ca="1">IFERROR(__xludf.DUMMYFUNCTION("""COMPUTED_VALUE"""),64)</f>
        <v>64</v>
      </c>
      <c r="D84" s="9" t="str">
        <f ca="1">IFERROR(__xludf.DUMMYFUNCTION("""COMPUTED_VALUE"""),"")</f>
        <v/>
      </c>
      <c r="E84" s="4" t="str">
        <f ca="1">IFERROR(__xludf.DUMMYFUNCTION("""COMPUTED_VALUE"""),"")</f>
        <v/>
      </c>
      <c r="F84" s="2" t="str">
        <f ca="1">IFERROR(__xludf.DUMMYFUNCTION("""COMPUTED_VALUE"""),"")</f>
        <v/>
      </c>
      <c r="G84" s="2" t="str">
        <f ca="1">IFERROR(__xludf.DUMMYFUNCTION("""COMPUTED_VALUE"""),"GPS: I converted data downloaded from ARGOS using Pinpoint software")</f>
        <v>GPS: I converted data downloaded from ARGOS using Pinpoint software</v>
      </c>
      <c r="H84" s="2" t="str">
        <f ca="1">IFERROR(__xludf.DUMMYFUNCTION("""COMPUTED_VALUE"""),"3D")</f>
        <v>3D</v>
      </c>
      <c r="I84" s="2" t="str">
        <f ca="1">IFERROR(__xludf.DUMMYFUNCTION("""COMPUTED_VALUE"""),"")</f>
        <v/>
      </c>
      <c r="J84" s="2" t="str">
        <f ca="1">IFERROR(__xludf.DUMMYFUNCTION("""COMPUTED_VALUE"""),"")</f>
        <v/>
      </c>
      <c r="K84" s="2" t="str">
        <f ca="1">IFERROR(__xludf.DUMMYFUNCTION("""COMPUTED_VALUE"""),"")</f>
        <v/>
      </c>
      <c r="L84" s="2" t="str">
        <f ca="1">IFERROR(__xludf.DUMMYFUNCTION("""COMPUTED_VALUE"""),"")</f>
        <v/>
      </c>
      <c r="M84" s="5" t="str">
        <f ca="1">IFERROR(__xludf.DUMMYFUNCTION("""COMPUTED_VALUE"""),"")</f>
        <v/>
      </c>
      <c r="N84" s="5" t="str">
        <f ca="1">IFERROR(__xludf.DUMMYFUNCTION("""COMPUTED_VALUE"""),"")</f>
        <v/>
      </c>
      <c r="O84" s="2" t="str">
        <f ca="1">IFERROR(__xludf.DUMMYFUNCTION("""COMPUTED_VALUE"""),"")</f>
        <v/>
      </c>
      <c r="P84" s="2" t="str">
        <f ca="1">IFERROR(__xludf.DUMMYFUNCTION("""COMPUTED_VALUE"""),"")</f>
        <v/>
      </c>
      <c r="Q84" s="2" t="str">
        <f ca="1">IFERROR(__xludf.DUMMYFUNCTION("""COMPUTED_VALUE"""),"")</f>
        <v/>
      </c>
      <c r="R84" s="2" t="str">
        <f ca="1">IFERROR(__xludf.DUMMYFUNCTION("""COMPUTED_VALUE"""),"")</f>
        <v/>
      </c>
      <c r="S84" s="2" t="str">
        <f ca="1">IFERROR(__xludf.DUMMYFUNCTION("""COMPUTED_VALUE"""),"")</f>
        <v/>
      </c>
      <c r="T84" s="2" t="str">
        <f ca="1">IFERROR(__xludf.DUMMYFUNCTION("""COMPUTED_VALUE"""),"")</f>
        <v/>
      </c>
      <c r="U84" s="2" t="str">
        <f ca="1">IFERROR(__xludf.DUMMYFUNCTION("""COMPUTED_VALUE"""),"")</f>
        <v/>
      </c>
      <c r="V84" s="2" t="str">
        <f ca="1">IFERROR(__xludf.DUMMYFUNCTION("""COMPUTED_VALUE"""),"")</f>
        <v/>
      </c>
      <c r="W84" s="2" t="str">
        <f ca="1">IFERROR(__xludf.DUMMYFUNCTION("""COMPUTED_VALUE"""),"")</f>
        <v/>
      </c>
      <c r="X84" s="2" t="str">
        <f ca="1">IFERROR(__xludf.DUMMYFUNCTION("""COMPUTED_VALUE"""),"")</f>
        <v/>
      </c>
      <c r="Y84" s="2" t="str">
        <f ca="1">IFERROR(__xludf.DUMMYFUNCTION("""COMPUTED_VALUE"""),"")</f>
        <v/>
      </c>
      <c r="Z84" s="2" t="str">
        <f ca="1">IFERROR(__xludf.DUMMYFUNCTION("""COMPUTED_VALUE"""),"")</f>
        <v/>
      </c>
      <c r="AA84" s="2" t="str">
        <f ca="1">IFERROR(__xludf.DUMMYFUNCTION("""COMPUTED_VALUE"""),"")</f>
        <v/>
      </c>
      <c r="AB84" s="2" t="str">
        <f ca="1">IFERROR(__xludf.DUMMYFUNCTION("""COMPUTED_VALUE"""),"")</f>
        <v/>
      </c>
      <c r="AC84" s="2" t="str">
        <f ca="1">IFERROR(__xludf.DUMMYFUNCTION("""COMPUTED_VALUE"""),"")</f>
        <v/>
      </c>
      <c r="AD84" s="2" t="str">
        <f ca="1">IFERROR(__xludf.DUMMYFUNCTION("""COMPUTED_VALUE"""),"")</f>
        <v/>
      </c>
      <c r="AE84" s="2" t="str">
        <f ca="1">IFERROR(__xludf.DUMMYFUNCTION("""COMPUTED_VALUE"""),"")</f>
        <v/>
      </c>
      <c r="AF84" s="2" t="str">
        <f ca="1">IFERROR(__xludf.DUMMYFUNCTION("""COMPUTED_VALUE"""),"")</f>
        <v/>
      </c>
      <c r="AG84" s="2" t="str">
        <f ca="1">IFERROR(__xludf.DUMMYFUNCTION("""COMPUTED_VALUE"""),"")</f>
        <v/>
      </c>
      <c r="AH84" s="2" t="str">
        <f ca="1">IFERROR(__xludf.DUMMYFUNCTION("""COMPUTED_VALUE"""),"")</f>
        <v/>
      </c>
      <c r="AI84" s="2" t="str">
        <f ca="1">IFERROR(__xludf.DUMMYFUNCTION("""COMPUTED_VALUE"""),"")</f>
        <v/>
      </c>
      <c r="AJ84" s="2" t="str">
        <f ca="1">IFERROR(__xludf.DUMMYFUNCTION("""COMPUTED_VALUE"""),"")</f>
        <v/>
      </c>
      <c r="AK84" s="2" t="str">
        <f ca="1">IFERROR(__xludf.DUMMYFUNCTION("""COMPUTED_VALUE"""),"")</f>
        <v/>
      </c>
      <c r="AL84" s="2" t="str">
        <f ca="1">IFERROR(__xludf.DUMMYFUNCTION("""COMPUTED_VALUE"""),"")</f>
        <v/>
      </c>
      <c r="AM84" s="2" t="str">
        <f ca="1">IFERROR(__xludf.DUMMYFUNCTION("""COMPUTED_VALUE"""),"")</f>
        <v/>
      </c>
      <c r="AN84" s="2" t="str">
        <f ca="1">IFERROR(__xludf.DUMMYFUNCTION("""COMPUTED_VALUE"""),"")</f>
        <v/>
      </c>
      <c r="AO84" s="2" t="str">
        <f ca="1">IFERROR(__xludf.DUMMYFUNCTION("""COMPUTED_VALUE"""),"")</f>
        <v/>
      </c>
      <c r="AP84" s="2" t="str">
        <f ca="1">IFERROR(__xludf.DUMMYFUNCTION("""COMPUTED_VALUE"""),"")</f>
        <v/>
      </c>
      <c r="AQ84" s="2" t="str">
        <f ca="1">IFERROR(__xludf.DUMMYFUNCTION("""COMPUTED_VALUE"""),"")</f>
        <v/>
      </c>
      <c r="AR84" s="2" t="str">
        <f ca="1">IFERROR(__xludf.DUMMYFUNCTION("""COMPUTED_VALUE"""),"")</f>
        <v/>
      </c>
      <c r="AS84" s="2" t="str">
        <f ca="1">IFERROR(__xludf.DUMMYFUNCTION("""COMPUTED_VALUE"""),"")</f>
        <v/>
      </c>
      <c r="AT84" s="2" t="str">
        <f ca="1">IFERROR(__xludf.DUMMYFUNCTION("""COMPUTED_VALUE"""),"")</f>
        <v/>
      </c>
      <c r="AU84" s="2" t="str">
        <f ca="1">IFERROR(__xludf.DUMMYFUNCTION("""COMPUTED_VALUE"""),"")</f>
        <v/>
      </c>
      <c r="AV84" s="2" t="str">
        <f ca="1">IFERROR(__xludf.DUMMYFUNCTION("""COMPUTED_VALUE"""),"")</f>
        <v/>
      </c>
      <c r="AW84" s="2" t="str">
        <f ca="1">IFERROR(__xludf.DUMMYFUNCTION("""COMPUTED_VALUE"""),"")</f>
        <v/>
      </c>
      <c r="AX84" s="2" t="str">
        <f ca="1">IFERROR(__xludf.DUMMYFUNCTION("""COMPUTED_VALUE"""),"")</f>
        <v/>
      </c>
      <c r="AY84" s="2" t="str">
        <f ca="1">IFERROR(__xludf.DUMMYFUNCTION("""COMPUTED_VALUE"""),"")</f>
        <v/>
      </c>
      <c r="AZ84" s="2" t="str">
        <f ca="1">IFERROR(__xludf.DUMMYFUNCTION("""COMPUTED_VALUE"""),"")</f>
        <v/>
      </c>
      <c r="BA84" s="2" t="str">
        <f ca="1">IFERROR(__xludf.DUMMYFUNCTION("""COMPUTED_VALUE"""),"")</f>
        <v/>
      </c>
      <c r="BB84" s="2" t="str">
        <f ca="1">IFERROR(__xludf.DUMMYFUNCTION("""COMPUTED_VALUE"""),"")</f>
        <v/>
      </c>
      <c r="BC84" s="2" t="str">
        <f ca="1">IFERROR(__xludf.DUMMYFUNCTION("""COMPUTED_VALUE"""),"")</f>
        <v/>
      </c>
      <c r="BD84" s="2" t="str">
        <f ca="1">IFERROR(__xludf.DUMMYFUNCTION("""COMPUTED_VALUE"""),"")</f>
        <v/>
      </c>
      <c r="BE84" s="2" t="str">
        <f ca="1">IFERROR(__xludf.DUMMYFUNCTION("""COMPUTED_VALUE"""),"")</f>
        <v/>
      </c>
      <c r="BF84" t="str">
        <f ca="1">IFERROR(__xludf.DUMMYFUNCTION("""COMPUTED_VALUE"""),"")</f>
        <v/>
      </c>
      <c r="BG84" t="str">
        <f ca="1">IFERROR(__xludf.DUMMYFUNCTION("""COMPUTED_VALUE"""),"")</f>
        <v/>
      </c>
      <c r="BH84" s="2">
        <f ca="1">IFERROR(__xludf.DUMMYFUNCTION("""COMPUTED_VALUE"""),-37.3354607)</f>
        <v>-37.335460699999999</v>
      </c>
      <c r="BI84" s="13">
        <f ca="1">IFERROR(__xludf.DUMMYFUNCTION("""COMPUTED_VALUE"""),175.1653748)</f>
        <v>175.1653748</v>
      </c>
      <c r="BJ84" s="9">
        <f ca="1">IFERROR(__xludf.DUMMYFUNCTION("""COMPUTED_VALUE"""),43399)</f>
        <v>43399</v>
      </c>
      <c r="BK84" s="4">
        <f ca="1">IFERROR(__xludf.DUMMYFUNCTION("""COMPUTED_VALUE"""),0.874074074072268)</f>
        <v>0.874074074072268</v>
      </c>
    </row>
    <row r="85" spans="1:63" ht="12.5" x14ac:dyDescent="0.25">
      <c r="A85" s="7" t="str">
        <f ca="1">IFERROR(__xludf.DUMMYFUNCTION("""COMPUTED_VALUE"""),"")</f>
        <v/>
      </c>
      <c r="B85" s="8" t="str">
        <f ca="1">IFERROR(__xludf.DUMMYFUNCTION("""COMPUTED_VALUE"""),"Waikato")</f>
        <v>Waikato</v>
      </c>
      <c r="C85" s="2">
        <f ca="1">IFERROR(__xludf.DUMMYFUNCTION("""COMPUTED_VALUE"""),64)</f>
        <v>64</v>
      </c>
      <c r="D85" s="9" t="str">
        <f ca="1">IFERROR(__xludf.DUMMYFUNCTION("""COMPUTED_VALUE"""),"")</f>
        <v/>
      </c>
      <c r="E85" s="4" t="str">
        <f ca="1">IFERROR(__xludf.DUMMYFUNCTION("""COMPUTED_VALUE"""),"")</f>
        <v/>
      </c>
      <c r="F85" s="2" t="str">
        <f ca="1">IFERROR(__xludf.DUMMYFUNCTION("""COMPUTED_VALUE"""),"")</f>
        <v/>
      </c>
      <c r="G85" s="2" t="str">
        <f ca="1">IFERROR(__xludf.DUMMYFUNCTION("""COMPUTED_VALUE"""),"GPS: I converted data downloaded from ARGOS using Pinpoint software")</f>
        <v>GPS: I converted data downloaded from ARGOS using Pinpoint software</v>
      </c>
      <c r="H85" s="2" t="str">
        <f ca="1">IFERROR(__xludf.DUMMYFUNCTION("""COMPUTED_VALUE"""),"3D")</f>
        <v>3D</v>
      </c>
      <c r="I85" s="2" t="str">
        <f ca="1">IFERROR(__xludf.DUMMYFUNCTION("""COMPUTED_VALUE"""),"")</f>
        <v/>
      </c>
      <c r="J85" s="2" t="str">
        <f ca="1">IFERROR(__xludf.DUMMYFUNCTION("""COMPUTED_VALUE"""),"")</f>
        <v/>
      </c>
      <c r="K85" s="2" t="str">
        <f ca="1">IFERROR(__xludf.DUMMYFUNCTION("""COMPUTED_VALUE"""),"")</f>
        <v/>
      </c>
      <c r="L85" s="2" t="str">
        <f ca="1">IFERROR(__xludf.DUMMYFUNCTION("""COMPUTED_VALUE"""),"")</f>
        <v/>
      </c>
      <c r="M85" s="5" t="str">
        <f ca="1">IFERROR(__xludf.DUMMYFUNCTION("""COMPUTED_VALUE"""),"")</f>
        <v/>
      </c>
      <c r="N85" s="5" t="str">
        <f ca="1">IFERROR(__xludf.DUMMYFUNCTION("""COMPUTED_VALUE"""),"")</f>
        <v/>
      </c>
      <c r="O85" s="2" t="str">
        <f ca="1">IFERROR(__xludf.DUMMYFUNCTION("""COMPUTED_VALUE"""),"")</f>
        <v/>
      </c>
      <c r="P85" s="2" t="str">
        <f ca="1">IFERROR(__xludf.DUMMYFUNCTION("""COMPUTED_VALUE"""),"")</f>
        <v/>
      </c>
      <c r="Q85" s="2" t="str">
        <f ca="1">IFERROR(__xludf.DUMMYFUNCTION("""COMPUTED_VALUE"""),"")</f>
        <v/>
      </c>
      <c r="R85" s="2" t="str">
        <f ca="1">IFERROR(__xludf.DUMMYFUNCTION("""COMPUTED_VALUE"""),"")</f>
        <v/>
      </c>
      <c r="S85" s="2" t="str">
        <f ca="1">IFERROR(__xludf.DUMMYFUNCTION("""COMPUTED_VALUE"""),"")</f>
        <v/>
      </c>
      <c r="T85" s="2" t="str">
        <f ca="1">IFERROR(__xludf.DUMMYFUNCTION("""COMPUTED_VALUE"""),"")</f>
        <v/>
      </c>
      <c r="U85" s="2" t="str">
        <f ca="1">IFERROR(__xludf.DUMMYFUNCTION("""COMPUTED_VALUE"""),"")</f>
        <v/>
      </c>
      <c r="V85" s="2" t="str">
        <f ca="1">IFERROR(__xludf.DUMMYFUNCTION("""COMPUTED_VALUE"""),"")</f>
        <v/>
      </c>
      <c r="W85" s="2" t="str">
        <f ca="1">IFERROR(__xludf.DUMMYFUNCTION("""COMPUTED_VALUE"""),"")</f>
        <v/>
      </c>
      <c r="X85" s="2" t="str">
        <f ca="1">IFERROR(__xludf.DUMMYFUNCTION("""COMPUTED_VALUE"""),"")</f>
        <v/>
      </c>
      <c r="Y85" s="2" t="str">
        <f ca="1">IFERROR(__xludf.DUMMYFUNCTION("""COMPUTED_VALUE"""),"")</f>
        <v/>
      </c>
      <c r="Z85" s="2" t="str">
        <f ca="1">IFERROR(__xludf.DUMMYFUNCTION("""COMPUTED_VALUE"""),"")</f>
        <v/>
      </c>
      <c r="AA85" s="2" t="str">
        <f ca="1">IFERROR(__xludf.DUMMYFUNCTION("""COMPUTED_VALUE"""),"")</f>
        <v/>
      </c>
      <c r="AB85" s="2" t="str">
        <f ca="1">IFERROR(__xludf.DUMMYFUNCTION("""COMPUTED_VALUE"""),"")</f>
        <v/>
      </c>
      <c r="AC85" s="2" t="str">
        <f ca="1">IFERROR(__xludf.DUMMYFUNCTION("""COMPUTED_VALUE"""),"")</f>
        <v/>
      </c>
      <c r="AD85" s="2" t="str">
        <f ca="1">IFERROR(__xludf.DUMMYFUNCTION("""COMPUTED_VALUE"""),"")</f>
        <v/>
      </c>
      <c r="AE85" s="2" t="str">
        <f ca="1">IFERROR(__xludf.DUMMYFUNCTION("""COMPUTED_VALUE"""),"")</f>
        <v/>
      </c>
      <c r="AF85" s="2" t="str">
        <f ca="1">IFERROR(__xludf.DUMMYFUNCTION("""COMPUTED_VALUE"""),"")</f>
        <v/>
      </c>
      <c r="AG85" s="2" t="str">
        <f ca="1">IFERROR(__xludf.DUMMYFUNCTION("""COMPUTED_VALUE"""),"")</f>
        <v/>
      </c>
      <c r="AH85" s="2" t="str">
        <f ca="1">IFERROR(__xludf.DUMMYFUNCTION("""COMPUTED_VALUE"""),"")</f>
        <v/>
      </c>
      <c r="AI85" s="2" t="str">
        <f ca="1">IFERROR(__xludf.DUMMYFUNCTION("""COMPUTED_VALUE"""),"")</f>
        <v/>
      </c>
      <c r="AJ85" s="2" t="str">
        <f ca="1">IFERROR(__xludf.DUMMYFUNCTION("""COMPUTED_VALUE"""),"")</f>
        <v/>
      </c>
      <c r="AK85" s="2" t="str">
        <f ca="1">IFERROR(__xludf.DUMMYFUNCTION("""COMPUTED_VALUE"""),"")</f>
        <v/>
      </c>
      <c r="AL85" s="2" t="str">
        <f ca="1">IFERROR(__xludf.DUMMYFUNCTION("""COMPUTED_VALUE"""),"")</f>
        <v/>
      </c>
      <c r="AM85" s="2" t="str">
        <f ca="1">IFERROR(__xludf.DUMMYFUNCTION("""COMPUTED_VALUE"""),"")</f>
        <v/>
      </c>
      <c r="AN85" s="2" t="str">
        <f ca="1">IFERROR(__xludf.DUMMYFUNCTION("""COMPUTED_VALUE"""),"")</f>
        <v/>
      </c>
      <c r="AO85" s="2" t="str">
        <f ca="1">IFERROR(__xludf.DUMMYFUNCTION("""COMPUTED_VALUE"""),"")</f>
        <v/>
      </c>
      <c r="AP85" s="2" t="str">
        <f ca="1">IFERROR(__xludf.DUMMYFUNCTION("""COMPUTED_VALUE"""),"")</f>
        <v/>
      </c>
      <c r="AQ85" s="2" t="str">
        <f ca="1">IFERROR(__xludf.DUMMYFUNCTION("""COMPUTED_VALUE"""),"")</f>
        <v/>
      </c>
      <c r="AR85" s="2" t="str">
        <f ca="1">IFERROR(__xludf.DUMMYFUNCTION("""COMPUTED_VALUE"""),"")</f>
        <v/>
      </c>
      <c r="AS85" s="2" t="str">
        <f ca="1">IFERROR(__xludf.DUMMYFUNCTION("""COMPUTED_VALUE"""),"")</f>
        <v/>
      </c>
      <c r="AT85" s="2" t="str">
        <f ca="1">IFERROR(__xludf.DUMMYFUNCTION("""COMPUTED_VALUE"""),"")</f>
        <v/>
      </c>
      <c r="AU85" s="2" t="str">
        <f ca="1">IFERROR(__xludf.DUMMYFUNCTION("""COMPUTED_VALUE"""),"")</f>
        <v/>
      </c>
      <c r="AV85" s="2" t="str">
        <f ca="1">IFERROR(__xludf.DUMMYFUNCTION("""COMPUTED_VALUE"""),"")</f>
        <v/>
      </c>
      <c r="AW85" s="2" t="str">
        <f ca="1">IFERROR(__xludf.DUMMYFUNCTION("""COMPUTED_VALUE"""),"")</f>
        <v/>
      </c>
      <c r="AX85" s="2" t="str">
        <f ca="1">IFERROR(__xludf.DUMMYFUNCTION("""COMPUTED_VALUE"""),"")</f>
        <v/>
      </c>
      <c r="AY85" s="2" t="str">
        <f ca="1">IFERROR(__xludf.DUMMYFUNCTION("""COMPUTED_VALUE"""),"")</f>
        <v/>
      </c>
      <c r="AZ85" s="2" t="str">
        <f ca="1">IFERROR(__xludf.DUMMYFUNCTION("""COMPUTED_VALUE"""),"")</f>
        <v/>
      </c>
      <c r="BA85" s="2" t="str">
        <f ca="1">IFERROR(__xludf.DUMMYFUNCTION("""COMPUTED_VALUE"""),"")</f>
        <v/>
      </c>
      <c r="BB85" s="2" t="str">
        <f ca="1">IFERROR(__xludf.DUMMYFUNCTION("""COMPUTED_VALUE"""),"")</f>
        <v/>
      </c>
      <c r="BC85" s="2" t="str">
        <f ca="1">IFERROR(__xludf.DUMMYFUNCTION("""COMPUTED_VALUE"""),"")</f>
        <v/>
      </c>
      <c r="BD85" s="2" t="str">
        <f ca="1">IFERROR(__xludf.DUMMYFUNCTION("""COMPUTED_VALUE"""),"")</f>
        <v/>
      </c>
      <c r="BE85" s="2" t="str">
        <f ca="1">IFERROR(__xludf.DUMMYFUNCTION("""COMPUTED_VALUE"""),"")</f>
        <v/>
      </c>
      <c r="BF85" t="str">
        <f ca="1">IFERROR(__xludf.DUMMYFUNCTION("""COMPUTED_VALUE"""),"")</f>
        <v/>
      </c>
      <c r="BG85" t="str">
        <f ca="1">IFERROR(__xludf.DUMMYFUNCTION("""COMPUTED_VALUE"""),"")</f>
        <v/>
      </c>
      <c r="BH85" s="2">
        <f ca="1">IFERROR(__xludf.DUMMYFUNCTION("""COMPUTED_VALUE"""),-37.3383789)</f>
        <v>-37.338378900000002</v>
      </c>
      <c r="BI85" s="12">
        <f ca="1">IFERROR(__xludf.DUMMYFUNCTION("""COMPUTED_VALUE"""),175.1660156)</f>
        <v>175.16601560000001</v>
      </c>
      <c r="BJ85" s="9">
        <f ca="1">IFERROR(__xludf.DUMMYFUNCTION("""COMPUTED_VALUE"""),43400)</f>
        <v>43400</v>
      </c>
      <c r="BK85" s="4">
        <f ca="1">IFERROR(__xludf.DUMMYFUNCTION("""COMPUTED_VALUE"""),0.457777777777664)</f>
        <v>0.45777777777766399</v>
      </c>
    </row>
    <row r="86" spans="1:63" ht="12.5" x14ac:dyDescent="0.25">
      <c r="A86" s="7" t="str">
        <f ca="1">IFERROR(__xludf.DUMMYFUNCTION("""COMPUTED_VALUE"""),"")</f>
        <v/>
      </c>
      <c r="B86" s="8" t="str">
        <f ca="1">IFERROR(__xludf.DUMMYFUNCTION("""COMPUTED_VALUE"""),"Waikato")</f>
        <v>Waikato</v>
      </c>
      <c r="C86" s="2">
        <f ca="1">IFERROR(__xludf.DUMMYFUNCTION("""COMPUTED_VALUE"""),64)</f>
        <v>64</v>
      </c>
      <c r="D86" s="9" t="str">
        <f ca="1">IFERROR(__xludf.DUMMYFUNCTION("""COMPUTED_VALUE"""),"")</f>
        <v/>
      </c>
      <c r="E86" s="4" t="str">
        <f ca="1">IFERROR(__xludf.DUMMYFUNCTION("""COMPUTED_VALUE"""),"")</f>
        <v/>
      </c>
      <c r="F86" s="2" t="str">
        <f ca="1">IFERROR(__xludf.DUMMYFUNCTION("""COMPUTED_VALUE"""),"")</f>
        <v/>
      </c>
      <c r="G86" s="2" t="str">
        <f ca="1">IFERROR(__xludf.DUMMYFUNCTION("""COMPUTED_VALUE"""),"GPS: I converted data downloaded from ARGOS using Pinpoint software")</f>
        <v>GPS: I converted data downloaded from ARGOS using Pinpoint software</v>
      </c>
      <c r="H86" s="2" t="str">
        <f ca="1">IFERROR(__xludf.DUMMYFUNCTION("""COMPUTED_VALUE"""),"3D")</f>
        <v>3D</v>
      </c>
      <c r="I86" s="2" t="str">
        <f ca="1">IFERROR(__xludf.DUMMYFUNCTION("""COMPUTED_VALUE"""),"")</f>
        <v/>
      </c>
      <c r="J86" s="2" t="str">
        <f ca="1">IFERROR(__xludf.DUMMYFUNCTION("""COMPUTED_VALUE"""),"")</f>
        <v/>
      </c>
      <c r="K86" s="2" t="str">
        <f ca="1">IFERROR(__xludf.DUMMYFUNCTION("""COMPUTED_VALUE"""),"")</f>
        <v/>
      </c>
      <c r="L86" s="2" t="str">
        <f ca="1">IFERROR(__xludf.DUMMYFUNCTION("""COMPUTED_VALUE"""),"")</f>
        <v/>
      </c>
      <c r="M86" s="5" t="str">
        <f ca="1">IFERROR(__xludf.DUMMYFUNCTION("""COMPUTED_VALUE"""),"")</f>
        <v/>
      </c>
      <c r="N86" s="5" t="str">
        <f ca="1">IFERROR(__xludf.DUMMYFUNCTION("""COMPUTED_VALUE"""),"")</f>
        <v/>
      </c>
      <c r="O86" s="2" t="str">
        <f ca="1">IFERROR(__xludf.DUMMYFUNCTION("""COMPUTED_VALUE"""),"")</f>
        <v/>
      </c>
      <c r="P86" s="2" t="str">
        <f ca="1">IFERROR(__xludf.DUMMYFUNCTION("""COMPUTED_VALUE"""),"")</f>
        <v/>
      </c>
      <c r="Q86" s="2" t="str">
        <f ca="1">IFERROR(__xludf.DUMMYFUNCTION("""COMPUTED_VALUE"""),"")</f>
        <v/>
      </c>
      <c r="R86" s="2" t="str">
        <f ca="1">IFERROR(__xludf.DUMMYFUNCTION("""COMPUTED_VALUE"""),"")</f>
        <v/>
      </c>
      <c r="S86" s="2" t="str">
        <f ca="1">IFERROR(__xludf.DUMMYFUNCTION("""COMPUTED_VALUE"""),"")</f>
        <v/>
      </c>
      <c r="T86" s="2" t="str">
        <f ca="1">IFERROR(__xludf.DUMMYFUNCTION("""COMPUTED_VALUE"""),"")</f>
        <v/>
      </c>
      <c r="U86" s="2" t="str">
        <f ca="1">IFERROR(__xludf.DUMMYFUNCTION("""COMPUTED_VALUE"""),"")</f>
        <v/>
      </c>
      <c r="V86" s="2" t="str">
        <f ca="1">IFERROR(__xludf.DUMMYFUNCTION("""COMPUTED_VALUE"""),"")</f>
        <v/>
      </c>
      <c r="W86" s="2" t="str">
        <f ca="1">IFERROR(__xludf.DUMMYFUNCTION("""COMPUTED_VALUE"""),"")</f>
        <v/>
      </c>
      <c r="X86" s="2" t="str">
        <f ca="1">IFERROR(__xludf.DUMMYFUNCTION("""COMPUTED_VALUE"""),"")</f>
        <v/>
      </c>
      <c r="Y86" s="2" t="str">
        <f ca="1">IFERROR(__xludf.DUMMYFUNCTION("""COMPUTED_VALUE"""),"")</f>
        <v/>
      </c>
      <c r="Z86" s="2" t="str">
        <f ca="1">IFERROR(__xludf.DUMMYFUNCTION("""COMPUTED_VALUE"""),"")</f>
        <v/>
      </c>
      <c r="AA86" s="2" t="str">
        <f ca="1">IFERROR(__xludf.DUMMYFUNCTION("""COMPUTED_VALUE"""),"")</f>
        <v/>
      </c>
      <c r="AB86" s="2" t="str">
        <f ca="1">IFERROR(__xludf.DUMMYFUNCTION("""COMPUTED_VALUE"""),"")</f>
        <v/>
      </c>
      <c r="AC86" s="2" t="str">
        <f ca="1">IFERROR(__xludf.DUMMYFUNCTION("""COMPUTED_VALUE"""),"")</f>
        <v/>
      </c>
      <c r="AD86" s="2" t="str">
        <f ca="1">IFERROR(__xludf.DUMMYFUNCTION("""COMPUTED_VALUE"""),"")</f>
        <v/>
      </c>
      <c r="AE86" s="2" t="str">
        <f ca="1">IFERROR(__xludf.DUMMYFUNCTION("""COMPUTED_VALUE"""),"")</f>
        <v/>
      </c>
      <c r="AF86" s="2" t="str">
        <f ca="1">IFERROR(__xludf.DUMMYFUNCTION("""COMPUTED_VALUE"""),"")</f>
        <v/>
      </c>
      <c r="AG86" s="2" t="str">
        <f ca="1">IFERROR(__xludf.DUMMYFUNCTION("""COMPUTED_VALUE"""),"")</f>
        <v/>
      </c>
      <c r="AH86" s="2" t="str">
        <f ca="1">IFERROR(__xludf.DUMMYFUNCTION("""COMPUTED_VALUE"""),"")</f>
        <v/>
      </c>
      <c r="AI86" s="2" t="str">
        <f ca="1">IFERROR(__xludf.DUMMYFUNCTION("""COMPUTED_VALUE"""),"")</f>
        <v/>
      </c>
      <c r="AJ86" s="2" t="str">
        <f ca="1">IFERROR(__xludf.DUMMYFUNCTION("""COMPUTED_VALUE"""),"")</f>
        <v/>
      </c>
      <c r="AK86" s="2" t="str">
        <f ca="1">IFERROR(__xludf.DUMMYFUNCTION("""COMPUTED_VALUE"""),"")</f>
        <v/>
      </c>
      <c r="AL86" s="2" t="str">
        <f ca="1">IFERROR(__xludf.DUMMYFUNCTION("""COMPUTED_VALUE"""),"")</f>
        <v/>
      </c>
      <c r="AM86" s="2" t="str">
        <f ca="1">IFERROR(__xludf.DUMMYFUNCTION("""COMPUTED_VALUE"""),"")</f>
        <v/>
      </c>
      <c r="AN86" s="2" t="str">
        <f ca="1">IFERROR(__xludf.DUMMYFUNCTION("""COMPUTED_VALUE"""),"")</f>
        <v/>
      </c>
      <c r="AO86" s="2" t="str">
        <f ca="1">IFERROR(__xludf.DUMMYFUNCTION("""COMPUTED_VALUE"""),"")</f>
        <v/>
      </c>
      <c r="AP86" s="2" t="str">
        <f ca="1">IFERROR(__xludf.DUMMYFUNCTION("""COMPUTED_VALUE"""),"")</f>
        <v/>
      </c>
      <c r="AQ86" s="2" t="str">
        <f ca="1">IFERROR(__xludf.DUMMYFUNCTION("""COMPUTED_VALUE"""),"")</f>
        <v/>
      </c>
      <c r="AR86" s="2" t="str">
        <f ca="1">IFERROR(__xludf.DUMMYFUNCTION("""COMPUTED_VALUE"""),"")</f>
        <v/>
      </c>
      <c r="AS86" s="2" t="str">
        <f ca="1">IFERROR(__xludf.DUMMYFUNCTION("""COMPUTED_VALUE"""),"")</f>
        <v/>
      </c>
      <c r="AT86" s="2" t="str">
        <f ca="1">IFERROR(__xludf.DUMMYFUNCTION("""COMPUTED_VALUE"""),"")</f>
        <v/>
      </c>
      <c r="AU86" s="2" t="str">
        <f ca="1">IFERROR(__xludf.DUMMYFUNCTION("""COMPUTED_VALUE"""),"")</f>
        <v/>
      </c>
      <c r="AV86" s="2" t="str">
        <f ca="1">IFERROR(__xludf.DUMMYFUNCTION("""COMPUTED_VALUE"""),"")</f>
        <v/>
      </c>
      <c r="AW86" s="2" t="str">
        <f ca="1">IFERROR(__xludf.DUMMYFUNCTION("""COMPUTED_VALUE"""),"")</f>
        <v/>
      </c>
      <c r="AX86" s="2" t="str">
        <f ca="1">IFERROR(__xludf.DUMMYFUNCTION("""COMPUTED_VALUE"""),"")</f>
        <v/>
      </c>
      <c r="AY86" s="2" t="str">
        <f ca="1">IFERROR(__xludf.DUMMYFUNCTION("""COMPUTED_VALUE"""),"")</f>
        <v/>
      </c>
      <c r="AZ86" s="2" t="str">
        <f ca="1">IFERROR(__xludf.DUMMYFUNCTION("""COMPUTED_VALUE"""),"")</f>
        <v/>
      </c>
      <c r="BA86" s="2" t="str">
        <f ca="1">IFERROR(__xludf.DUMMYFUNCTION("""COMPUTED_VALUE"""),"")</f>
        <v/>
      </c>
      <c r="BB86" s="2" t="str">
        <f ca="1">IFERROR(__xludf.DUMMYFUNCTION("""COMPUTED_VALUE"""),"")</f>
        <v/>
      </c>
      <c r="BC86" s="2" t="str">
        <f ca="1">IFERROR(__xludf.DUMMYFUNCTION("""COMPUTED_VALUE"""),"")</f>
        <v/>
      </c>
      <c r="BD86" s="2" t="str">
        <f ca="1">IFERROR(__xludf.DUMMYFUNCTION("""COMPUTED_VALUE"""),"")</f>
        <v/>
      </c>
      <c r="BE86" s="2" t="str">
        <f ca="1">IFERROR(__xludf.DUMMYFUNCTION("""COMPUTED_VALUE"""),"")</f>
        <v/>
      </c>
      <c r="BF86" t="str">
        <f ca="1">IFERROR(__xludf.DUMMYFUNCTION("""COMPUTED_VALUE"""),"")</f>
        <v/>
      </c>
      <c r="BG86" t="str">
        <f ca="1">IFERROR(__xludf.DUMMYFUNCTION("""COMPUTED_VALUE"""),"")</f>
        <v/>
      </c>
      <c r="BH86" s="2">
        <f ca="1">IFERROR(__xludf.DUMMYFUNCTION("""COMPUTED_VALUE"""),-37.3428879)</f>
        <v>-37.342887900000001</v>
      </c>
      <c r="BI86" s="13">
        <f ca="1">IFERROR(__xludf.DUMMYFUNCTION("""COMPUTED_VALUE"""),175.1605835)</f>
        <v>175.1605835</v>
      </c>
      <c r="BJ86" s="9">
        <f ca="1">IFERROR(__xludf.DUMMYFUNCTION("""COMPUTED_VALUE"""),43400)</f>
        <v>43400</v>
      </c>
      <c r="BK86" s="4">
        <f ca="1">IFERROR(__xludf.DUMMYFUNCTION("""COMPUTED_VALUE"""),0.958518518516939)</f>
        <v>0.95851851851693903</v>
      </c>
    </row>
    <row r="87" spans="1:63" ht="12.5" x14ac:dyDescent="0.25">
      <c r="A87" s="7" t="str">
        <f ca="1">IFERROR(__xludf.DUMMYFUNCTION("""COMPUTED_VALUE"""),"")</f>
        <v/>
      </c>
      <c r="B87" s="8" t="str">
        <f ca="1">IFERROR(__xludf.DUMMYFUNCTION("""COMPUTED_VALUE"""),"Waikato")</f>
        <v>Waikato</v>
      </c>
      <c r="C87" s="2">
        <f ca="1">IFERROR(__xludf.DUMMYFUNCTION("""COMPUTED_VALUE"""),64)</f>
        <v>64</v>
      </c>
      <c r="D87" s="9" t="str">
        <f ca="1">IFERROR(__xludf.DUMMYFUNCTION("""COMPUTED_VALUE"""),"")</f>
        <v/>
      </c>
      <c r="E87" s="4" t="str">
        <f ca="1">IFERROR(__xludf.DUMMYFUNCTION("""COMPUTED_VALUE"""),"")</f>
        <v/>
      </c>
      <c r="F87" s="2" t="str">
        <f ca="1">IFERROR(__xludf.DUMMYFUNCTION("""COMPUTED_VALUE"""),"")</f>
        <v/>
      </c>
      <c r="G87" s="2" t="str">
        <f ca="1">IFERROR(__xludf.DUMMYFUNCTION("""COMPUTED_VALUE"""),"GPS: I converted data downloaded from ARGOS using Pinpoint software")</f>
        <v>GPS: I converted data downloaded from ARGOS using Pinpoint software</v>
      </c>
      <c r="H87" s="2" t="str">
        <f ca="1">IFERROR(__xludf.DUMMYFUNCTION("""COMPUTED_VALUE"""),"3D")</f>
        <v>3D</v>
      </c>
      <c r="I87" s="2" t="str">
        <f ca="1">IFERROR(__xludf.DUMMYFUNCTION("""COMPUTED_VALUE"""),"")</f>
        <v/>
      </c>
      <c r="J87" s="2" t="str">
        <f ca="1">IFERROR(__xludf.DUMMYFUNCTION("""COMPUTED_VALUE"""),"")</f>
        <v/>
      </c>
      <c r="K87" s="2" t="str">
        <f ca="1">IFERROR(__xludf.DUMMYFUNCTION("""COMPUTED_VALUE"""),"")</f>
        <v/>
      </c>
      <c r="L87" s="2" t="str">
        <f ca="1">IFERROR(__xludf.DUMMYFUNCTION("""COMPUTED_VALUE"""),"")</f>
        <v/>
      </c>
      <c r="M87" s="5" t="str">
        <f ca="1">IFERROR(__xludf.DUMMYFUNCTION("""COMPUTED_VALUE"""),"")</f>
        <v/>
      </c>
      <c r="N87" s="5" t="str">
        <f ca="1">IFERROR(__xludf.DUMMYFUNCTION("""COMPUTED_VALUE"""),"")</f>
        <v/>
      </c>
      <c r="O87" s="2" t="str">
        <f ca="1">IFERROR(__xludf.DUMMYFUNCTION("""COMPUTED_VALUE"""),"")</f>
        <v/>
      </c>
      <c r="P87" s="2" t="str">
        <f ca="1">IFERROR(__xludf.DUMMYFUNCTION("""COMPUTED_VALUE"""),"")</f>
        <v/>
      </c>
      <c r="Q87" s="2" t="str">
        <f ca="1">IFERROR(__xludf.DUMMYFUNCTION("""COMPUTED_VALUE"""),"")</f>
        <v/>
      </c>
      <c r="R87" s="2" t="str">
        <f ca="1">IFERROR(__xludf.DUMMYFUNCTION("""COMPUTED_VALUE"""),"")</f>
        <v/>
      </c>
      <c r="S87" s="2" t="str">
        <f ca="1">IFERROR(__xludf.DUMMYFUNCTION("""COMPUTED_VALUE"""),"")</f>
        <v/>
      </c>
      <c r="T87" s="2" t="str">
        <f ca="1">IFERROR(__xludf.DUMMYFUNCTION("""COMPUTED_VALUE"""),"")</f>
        <v/>
      </c>
      <c r="U87" s="2" t="str">
        <f ca="1">IFERROR(__xludf.DUMMYFUNCTION("""COMPUTED_VALUE"""),"")</f>
        <v/>
      </c>
      <c r="V87" s="2" t="str">
        <f ca="1">IFERROR(__xludf.DUMMYFUNCTION("""COMPUTED_VALUE"""),"")</f>
        <v/>
      </c>
      <c r="W87" s="2" t="str">
        <f ca="1">IFERROR(__xludf.DUMMYFUNCTION("""COMPUTED_VALUE"""),"")</f>
        <v/>
      </c>
      <c r="X87" s="2" t="str">
        <f ca="1">IFERROR(__xludf.DUMMYFUNCTION("""COMPUTED_VALUE"""),"")</f>
        <v/>
      </c>
      <c r="Y87" s="2" t="str">
        <f ca="1">IFERROR(__xludf.DUMMYFUNCTION("""COMPUTED_VALUE"""),"")</f>
        <v/>
      </c>
      <c r="Z87" s="2" t="str">
        <f ca="1">IFERROR(__xludf.DUMMYFUNCTION("""COMPUTED_VALUE"""),"")</f>
        <v/>
      </c>
      <c r="AA87" s="2" t="str">
        <f ca="1">IFERROR(__xludf.DUMMYFUNCTION("""COMPUTED_VALUE"""),"")</f>
        <v/>
      </c>
      <c r="AB87" s="2" t="str">
        <f ca="1">IFERROR(__xludf.DUMMYFUNCTION("""COMPUTED_VALUE"""),"")</f>
        <v/>
      </c>
      <c r="AC87" s="2" t="str">
        <f ca="1">IFERROR(__xludf.DUMMYFUNCTION("""COMPUTED_VALUE"""),"")</f>
        <v/>
      </c>
      <c r="AD87" s="2" t="str">
        <f ca="1">IFERROR(__xludf.DUMMYFUNCTION("""COMPUTED_VALUE"""),"")</f>
        <v/>
      </c>
      <c r="AE87" s="2" t="str">
        <f ca="1">IFERROR(__xludf.DUMMYFUNCTION("""COMPUTED_VALUE"""),"")</f>
        <v/>
      </c>
      <c r="AF87" s="2" t="str">
        <f ca="1">IFERROR(__xludf.DUMMYFUNCTION("""COMPUTED_VALUE"""),"")</f>
        <v/>
      </c>
      <c r="AG87" s="2" t="str">
        <f ca="1">IFERROR(__xludf.DUMMYFUNCTION("""COMPUTED_VALUE"""),"")</f>
        <v/>
      </c>
      <c r="AH87" s="2" t="str">
        <f ca="1">IFERROR(__xludf.DUMMYFUNCTION("""COMPUTED_VALUE"""),"")</f>
        <v/>
      </c>
      <c r="AI87" s="2" t="str">
        <f ca="1">IFERROR(__xludf.DUMMYFUNCTION("""COMPUTED_VALUE"""),"")</f>
        <v/>
      </c>
      <c r="AJ87" s="2" t="str">
        <f ca="1">IFERROR(__xludf.DUMMYFUNCTION("""COMPUTED_VALUE"""),"")</f>
        <v/>
      </c>
      <c r="AK87" s="2" t="str">
        <f ca="1">IFERROR(__xludf.DUMMYFUNCTION("""COMPUTED_VALUE"""),"")</f>
        <v/>
      </c>
      <c r="AL87" s="2" t="str">
        <f ca="1">IFERROR(__xludf.DUMMYFUNCTION("""COMPUTED_VALUE"""),"")</f>
        <v/>
      </c>
      <c r="AM87" s="2" t="str">
        <f ca="1">IFERROR(__xludf.DUMMYFUNCTION("""COMPUTED_VALUE"""),"")</f>
        <v/>
      </c>
      <c r="AN87" s="2" t="str">
        <f ca="1">IFERROR(__xludf.DUMMYFUNCTION("""COMPUTED_VALUE"""),"")</f>
        <v/>
      </c>
      <c r="AO87" s="2" t="str">
        <f ca="1">IFERROR(__xludf.DUMMYFUNCTION("""COMPUTED_VALUE"""),"")</f>
        <v/>
      </c>
      <c r="AP87" s="2" t="str">
        <f ca="1">IFERROR(__xludf.DUMMYFUNCTION("""COMPUTED_VALUE"""),"")</f>
        <v/>
      </c>
      <c r="AQ87" s="2" t="str">
        <f ca="1">IFERROR(__xludf.DUMMYFUNCTION("""COMPUTED_VALUE"""),"")</f>
        <v/>
      </c>
      <c r="AR87" s="2" t="str">
        <f ca="1">IFERROR(__xludf.DUMMYFUNCTION("""COMPUTED_VALUE"""),"")</f>
        <v/>
      </c>
      <c r="AS87" s="2" t="str">
        <f ca="1">IFERROR(__xludf.DUMMYFUNCTION("""COMPUTED_VALUE"""),"")</f>
        <v/>
      </c>
      <c r="AT87" s="2" t="str">
        <f ca="1">IFERROR(__xludf.DUMMYFUNCTION("""COMPUTED_VALUE"""),"")</f>
        <v/>
      </c>
      <c r="AU87" s="2" t="str">
        <f ca="1">IFERROR(__xludf.DUMMYFUNCTION("""COMPUTED_VALUE"""),"")</f>
        <v/>
      </c>
      <c r="AV87" s="2" t="str">
        <f ca="1">IFERROR(__xludf.DUMMYFUNCTION("""COMPUTED_VALUE"""),"")</f>
        <v/>
      </c>
      <c r="AW87" s="2" t="str">
        <f ca="1">IFERROR(__xludf.DUMMYFUNCTION("""COMPUTED_VALUE"""),"")</f>
        <v/>
      </c>
      <c r="AX87" s="2" t="str">
        <f ca="1">IFERROR(__xludf.DUMMYFUNCTION("""COMPUTED_VALUE"""),"")</f>
        <v/>
      </c>
      <c r="AY87" s="2" t="str">
        <f ca="1">IFERROR(__xludf.DUMMYFUNCTION("""COMPUTED_VALUE"""),"")</f>
        <v/>
      </c>
      <c r="AZ87" s="2" t="str">
        <f ca="1">IFERROR(__xludf.DUMMYFUNCTION("""COMPUTED_VALUE"""),"")</f>
        <v/>
      </c>
      <c r="BA87" s="2" t="str">
        <f ca="1">IFERROR(__xludf.DUMMYFUNCTION("""COMPUTED_VALUE"""),"")</f>
        <v/>
      </c>
      <c r="BB87" s="2" t="str">
        <f ca="1">IFERROR(__xludf.DUMMYFUNCTION("""COMPUTED_VALUE"""),"")</f>
        <v/>
      </c>
      <c r="BC87" s="2" t="str">
        <f ca="1">IFERROR(__xludf.DUMMYFUNCTION("""COMPUTED_VALUE"""),"")</f>
        <v/>
      </c>
      <c r="BD87" s="2" t="str">
        <f ca="1">IFERROR(__xludf.DUMMYFUNCTION("""COMPUTED_VALUE"""),"")</f>
        <v/>
      </c>
      <c r="BE87" s="2" t="str">
        <f ca="1">IFERROR(__xludf.DUMMYFUNCTION("""COMPUTED_VALUE"""),"")</f>
        <v/>
      </c>
      <c r="BF87" t="str">
        <f ca="1">IFERROR(__xludf.DUMMYFUNCTION("""COMPUTED_VALUE"""),"")</f>
        <v/>
      </c>
      <c r="BG87" t="str">
        <f ca="1">IFERROR(__xludf.DUMMYFUNCTION("""COMPUTED_VALUE"""),"")</f>
        <v/>
      </c>
      <c r="BH87" s="2">
        <f ca="1">IFERROR(__xludf.DUMMYFUNCTION("""COMPUTED_VALUE"""),-37.3434753)</f>
        <v>-37.343475300000001</v>
      </c>
      <c r="BI87" s="12">
        <f ca="1">IFERROR(__xludf.DUMMYFUNCTION("""COMPUTED_VALUE"""),175.1560364)</f>
        <v>175.1560364</v>
      </c>
      <c r="BJ87" s="9">
        <f ca="1">IFERROR(__xludf.DUMMYFUNCTION("""COMPUTED_VALUE"""),43402)</f>
        <v>43402</v>
      </c>
      <c r="BK87" s="4">
        <f ca="1">IFERROR(__xludf.DUMMYFUNCTION("""COMPUTED_VALUE"""),0.457777777777664)</f>
        <v>0.45777777777766399</v>
      </c>
    </row>
    <row r="88" spans="1:63" ht="12.5" x14ac:dyDescent="0.25">
      <c r="A88" s="7" t="str">
        <f ca="1">IFERROR(__xludf.DUMMYFUNCTION("""COMPUTED_VALUE"""),"")</f>
        <v/>
      </c>
      <c r="B88" s="8" t="str">
        <f ca="1">IFERROR(__xludf.DUMMYFUNCTION("""COMPUTED_VALUE"""),"Waikato")</f>
        <v>Waikato</v>
      </c>
      <c r="C88" s="2">
        <f ca="1">IFERROR(__xludf.DUMMYFUNCTION("""COMPUTED_VALUE"""),64)</f>
        <v>64</v>
      </c>
      <c r="D88" s="9" t="str">
        <f ca="1">IFERROR(__xludf.DUMMYFUNCTION("""COMPUTED_VALUE"""),"")</f>
        <v/>
      </c>
      <c r="E88" s="4" t="str">
        <f ca="1">IFERROR(__xludf.DUMMYFUNCTION("""COMPUTED_VALUE"""),"")</f>
        <v/>
      </c>
      <c r="F88" s="2" t="str">
        <f ca="1">IFERROR(__xludf.DUMMYFUNCTION("""COMPUTED_VALUE"""),"")</f>
        <v/>
      </c>
      <c r="G88" s="2" t="str">
        <f ca="1">IFERROR(__xludf.DUMMYFUNCTION("""COMPUTED_VALUE"""),"GPS: I converted data downloaded from ARGOS using Pinpoint software")</f>
        <v>GPS: I converted data downloaded from ARGOS using Pinpoint software</v>
      </c>
      <c r="H88" s="2" t="str">
        <f ca="1">IFERROR(__xludf.DUMMYFUNCTION("""COMPUTED_VALUE"""),"3D")</f>
        <v>3D</v>
      </c>
      <c r="I88" s="2" t="str">
        <f ca="1">IFERROR(__xludf.DUMMYFUNCTION("""COMPUTED_VALUE"""),"")</f>
        <v/>
      </c>
      <c r="J88" s="2" t="str">
        <f ca="1">IFERROR(__xludf.DUMMYFUNCTION("""COMPUTED_VALUE"""),"")</f>
        <v/>
      </c>
      <c r="K88" s="2" t="str">
        <f ca="1">IFERROR(__xludf.DUMMYFUNCTION("""COMPUTED_VALUE"""),"")</f>
        <v/>
      </c>
      <c r="L88" s="2" t="str">
        <f ca="1">IFERROR(__xludf.DUMMYFUNCTION("""COMPUTED_VALUE"""),"")</f>
        <v/>
      </c>
      <c r="M88" s="5" t="str">
        <f ca="1">IFERROR(__xludf.DUMMYFUNCTION("""COMPUTED_VALUE"""),"")</f>
        <v/>
      </c>
      <c r="N88" s="5" t="str">
        <f ca="1">IFERROR(__xludf.DUMMYFUNCTION("""COMPUTED_VALUE"""),"")</f>
        <v/>
      </c>
      <c r="O88" s="2" t="str">
        <f ca="1">IFERROR(__xludf.DUMMYFUNCTION("""COMPUTED_VALUE"""),"")</f>
        <v/>
      </c>
      <c r="P88" s="2" t="str">
        <f ca="1">IFERROR(__xludf.DUMMYFUNCTION("""COMPUTED_VALUE"""),"")</f>
        <v/>
      </c>
      <c r="Q88" s="2" t="str">
        <f ca="1">IFERROR(__xludf.DUMMYFUNCTION("""COMPUTED_VALUE"""),"")</f>
        <v/>
      </c>
      <c r="R88" s="2" t="str">
        <f ca="1">IFERROR(__xludf.DUMMYFUNCTION("""COMPUTED_VALUE"""),"")</f>
        <v/>
      </c>
      <c r="S88" s="2" t="str">
        <f ca="1">IFERROR(__xludf.DUMMYFUNCTION("""COMPUTED_VALUE"""),"")</f>
        <v/>
      </c>
      <c r="T88" s="2" t="str">
        <f ca="1">IFERROR(__xludf.DUMMYFUNCTION("""COMPUTED_VALUE"""),"")</f>
        <v/>
      </c>
      <c r="U88" s="2" t="str">
        <f ca="1">IFERROR(__xludf.DUMMYFUNCTION("""COMPUTED_VALUE"""),"")</f>
        <v/>
      </c>
      <c r="V88" s="2" t="str">
        <f ca="1">IFERROR(__xludf.DUMMYFUNCTION("""COMPUTED_VALUE"""),"")</f>
        <v/>
      </c>
      <c r="W88" s="2" t="str">
        <f ca="1">IFERROR(__xludf.DUMMYFUNCTION("""COMPUTED_VALUE"""),"")</f>
        <v/>
      </c>
      <c r="X88" s="2" t="str">
        <f ca="1">IFERROR(__xludf.DUMMYFUNCTION("""COMPUTED_VALUE"""),"")</f>
        <v/>
      </c>
      <c r="Y88" s="2" t="str">
        <f ca="1">IFERROR(__xludf.DUMMYFUNCTION("""COMPUTED_VALUE"""),"")</f>
        <v/>
      </c>
      <c r="Z88" s="2" t="str">
        <f ca="1">IFERROR(__xludf.DUMMYFUNCTION("""COMPUTED_VALUE"""),"")</f>
        <v/>
      </c>
      <c r="AA88" s="2" t="str">
        <f ca="1">IFERROR(__xludf.DUMMYFUNCTION("""COMPUTED_VALUE"""),"")</f>
        <v/>
      </c>
      <c r="AB88" s="2" t="str">
        <f ca="1">IFERROR(__xludf.DUMMYFUNCTION("""COMPUTED_VALUE"""),"")</f>
        <v/>
      </c>
      <c r="AC88" s="2" t="str">
        <f ca="1">IFERROR(__xludf.DUMMYFUNCTION("""COMPUTED_VALUE"""),"")</f>
        <v/>
      </c>
      <c r="AD88" s="2" t="str">
        <f ca="1">IFERROR(__xludf.DUMMYFUNCTION("""COMPUTED_VALUE"""),"")</f>
        <v/>
      </c>
      <c r="AE88" s="2" t="str">
        <f ca="1">IFERROR(__xludf.DUMMYFUNCTION("""COMPUTED_VALUE"""),"")</f>
        <v/>
      </c>
      <c r="AF88" s="2" t="str">
        <f ca="1">IFERROR(__xludf.DUMMYFUNCTION("""COMPUTED_VALUE"""),"")</f>
        <v/>
      </c>
      <c r="AG88" s="2" t="str">
        <f ca="1">IFERROR(__xludf.DUMMYFUNCTION("""COMPUTED_VALUE"""),"")</f>
        <v/>
      </c>
      <c r="AH88" s="2" t="str">
        <f ca="1">IFERROR(__xludf.DUMMYFUNCTION("""COMPUTED_VALUE"""),"")</f>
        <v/>
      </c>
      <c r="AI88" s="2" t="str">
        <f ca="1">IFERROR(__xludf.DUMMYFUNCTION("""COMPUTED_VALUE"""),"")</f>
        <v/>
      </c>
      <c r="AJ88" s="2" t="str">
        <f ca="1">IFERROR(__xludf.DUMMYFUNCTION("""COMPUTED_VALUE"""),"")</f>
        <v/>
      </c>
      <c r="AK88" s="2" t="str">
        <f ca="1">IFERROR(__xludf.DUMMYFUNCTION("""COMPUTED_VALUE"""),"")</f>
        <v/>
      </c>
      <c r="AL88" s="2" t="str">
        <f ca="1">IFERROR(__xludf.DUMMYFUNCTION("""COMPUTED_VALUE"""),"")</f>
        <v/>
      </c>
      <c r="AM88" s="2" t="str">
        <f ca="1">IFERROR(__xludf.DUMMYFUNCTION("""COMPUTED_VALUE"""),"")</f>
        <v/>
      </c>
      <c r="AN88" s="2" t="str">
        <f ca="1">IFERROR(__xludf.DUMMYFUNCTION("""COMPUTED_VALUE"""),"")</f>
        <v/>
      </c>
      <c r="AO88" s="2" t="str">
        <f ca="1">IFERROR(__xludf.DUMMYFUNCTION("""COMPUTED_VALUE"""),"")</f>
        <v/>
      </c>
      <c r="AP88" s="2" t="str">
        <f ca="1">IFERROR(__xludf.DUMMYFUNCTION("""COMPUTED_VALUE"""),"")</f>
        <v/>
      </c>
      <c r="AQ88" s="2" t="str">
        <f ca="1">IFERROR(__xludf.DUMMYFUNCTION("""COMPUTED_VALUE"""),"")</f>
        <v/>
      </c>
      <c r="AR88" s="2" t="str">
        <f ca="1">IFERROR(__xludf.DUMMYFUNCTION("""COMPUTED_VALUE"""),"")</f>
        <v/>
      </c>
      <c r="AS88" s="2" t="str">
        <f ca="1">IFERROR(__xludf.DUMMYFUNCTION("""COMPUTED_VALUE"""),"")</f>
        <v/>
      </c>
      <c r="AT88" s="2" t="str">
        <f ca="1">IFERROR(__xludf.DUMMYFUNCTION("""COMPUTED_VALUE"""),"")</f>
        <v/>
      </c>
      <c r="AU88" s="2" t="str">
        <f ca="1">IFERROR(__xludf.DUMMYFUNCTION("""COMPUTED_VALUE"""),"")</f>
        <v/>
      </c>
      <c r="AV88" s="2" t="str">
        <f ca="1">IFERROR(__xludf.DUMMYFUNCTION("""COMPUTED_VALUE"""),"")</f>
        <v/>
      </c>
      <c r="AW88" s="2" t="str">
        <f ca="1">IFERROR(__xludf.DUMMYFUNCTION("""COMPUTED_VALUE"""),"")</f>
        <v/>
      </c>
      <c r="AX88" s="2" t="str">
        <f ca="1">IFERROR(__xludf.DUMMYFUNCTION("""COMPUTED_VALUE"""),"")</f>
        <v/>
      </c>
      <c r="AY88" s="2" t="str">
        <f ca="1">IFERROR(__xludf.DUMMYFUNCTION("""COMPUTED_VALUE"""),"")</f>
        <v/>
      </c>
      <c r="AZ88" s="2" t="str">
        <f ca="1">IFERROR(__xludf.DUMMYFUNCTION("""COMPUTED_VALUE"""),"")</f>
        <v/>
      </c>
      <c r="BA88" s="2" t="str">
        <f ca="1">IFERROR(__xludf.DUMMYFUNCTION("""COMPUTED_VALUE"""),"")</f>
        <v/>
      </c>
      <c r="BB88" s="2" t="str">
        <f ca="1">IFERROR(__xludf.DUMMYFUNCTION("""COMPUTED_VALUE"""),"")</f>
        <v/>
      </c>
      <c r="BC88" s="2" t="str">
        <f ca="1">IFERROR(__xludf.DUMMYFUNCTION("""COMPUTED_VALUE"""),"")</f>
        <v/>
      </c>
      <c r="BD88" s="2" t="str">
        <f ca="1">IFERROR(__xludf.DUMMYFUNCTION("""COMPUTED_VALUE"""),"")</f>
        <v/>
      </c>
      <c r="BE88" s="2" t="str">
        <f ca="1">IFERROR(__xludf.DUMMYFUNCTION("""COMPUTED_VALUE"""),"")</f>
        <v/>
      </c>
      <c r="BF88" t="str">
        <f ca="1">IFERROR(__xludf.DUMMYFUNCTION("""COMPUTED_VALUE"""),"")</f>
        <v/>
      </c>
      <c r="BG88" t="str">
        <f ca="1">IFERROR(__xludf.DUMMYFUNCTION("""COMPUTED_VALUE"""),"")</f>
        <v/>
      </c>
      <c r="BH88" s="2">
        <f ca="1">IFERROR(__xludf.DUMMYFUNCTION("""COMPUTED_VALUE"""),-37.343399)</f>
        <v>-37.343398999999998</v>
      </c>
      <c r="BI88" s="13">
        <f ca="1">IFERROR(__xludf.DUMMYFUNCTION("""COMPUTED_VALUE"""),175.1555176)</f>
        <v>175.1555176</v>
      </c>
      <c r="BJ88" s="9">
        <f ca="1">IFERROR(__xludf.DUMMYFUNCTION("""COMPUTED_VALUE"""),43402)</f>
        <v>43402</v>
      </c>
      <c r="BK88" s="4">
        <f ca="1">IFERROR(__xludf.DUMMYFUNCTION("""COMPUTED_VALUE"""),0.958518518516939)</f>
        <v>0.95851851851693903</v>
      </c>
    </row>
    <row r="89" spans="1:63" ht="12.5" x14ac:dyDescent="0.25">
      <c r="A89" s="7" t="str">
        <f ca="1">IFERROR(__xludf.DUMMYFUNCTION("""COMPUTED_VALUE"""),"")</f>
        <v/>
      </c>
      <c r="B89" s="8" t="str">
        <f ca="1">IFERROR(__xludf.DUMMYFUNCTION("""COMPUTED_VALUE"""),"Waikato")</f>
        <v>Waikato</v>
      </c>
      <c r="C89" s="2">
        <f ca="1">IFERROR(__xludf.DUMMYFUNCTION("""COMPUTED_VALUE"""),64)</f>
        <v>64</v>
      </c>
      <c r="D89" s="9" t="str">
        <f ca="1">IFERROR(__xludf.DUMMYFUNCTION("""COMPUTED_VALUE"""),"")</f>
        <v/>
      </c>
      <c r="E89" s="4" t="str">
        <f ca="1">IFERROR(__xludf.DUMMYFUNCTION("""COMPUTED_VALUE"""),"")</f>
        <v/>
      </c>
      <c r="F89" s="2" t="str">
        <f ca="1">IFERROR(__xludf.DUMMYFUNCTION("""COMPUTED_VALUE"""),"")</f>
        <v/>
      </c>
      <c r="G89" s="2" t="str">
        <f ca="1">IFERROR(__xludf.DUMMYFUNCTION("""COMPUTED_VALUE"""),"GPS: I converted data downloaded from ARGOS using Pinpoint software")</f>
        <v>GPS: I converted data downloaded from ARGOS using Pinpoint software</v>
      </c>
      <c r="H89" s="2" t="str">
        <f ca="1">IFERROR(__xludf.DUMMYFUNCTION("""COMPUTED_VALUE"""),"3D")</f>
        <v>3D</v>
      </c>
      <c r="I89" s="2" t="str">
        <f ca="1">IFERROR(__xludf.DUMMYFUNCTION("""COMPUTED_VALUE"""),"")</f>
        <v/>
      </c>
      <c r="J89" s="2" t="str">
        <f ca="1">IFERROR(__xludf.DUMMYFUNCTION("""COMPUTED_VALUE"""),"")</f>
        <v/>
      </c>
      <c r="K89" s="2" t="str">
        <f ca="1">IFERROR(__xludf.DUMMYFUNCTION("""COMPUTED_VALUE"""),"")</f>
        <v/>
      </c>
      <c r="L89" s="2" t="str">
        <f ca="1">IFERROR(__xludf.DUMMYFUNCTION("""COMPUTED_VALUE"""),"")</f>
        <v/>
      </c>
      <c r="M89" s="5" t="str">
        <f ca="1">IFERROR(__xludf.DUMMYFUNCTION("""COMPUTED_VALUE"""),"")</f>
        <v/>
      </c>
      <c r="N89" s="5" t="str">
        <f ca="1">IFERROR(__xludf.DUMMYFUNCTION("""COMPUTED_VALUE"""),"")</f>
        <v/>
      </c>
      <c r="O89" s="2" t="str">
        <f ca="1">IFERROR(__xludf.DUMMYFUNCTION("""COMPUTED_VALUE"""),"")</f>
        <v/>
      </c>
      <c r="P89" s="2" t="str">
        <f ca="1">IFERROR(__xludf.DUMMYFUNCTION("""COMPUTED_VALUE"""),"")</f>
        <v/>
      </c>
      <c r="Q89" s="2" t="str">
        <f ca="1">IFERROR(__xludf.DUMMYFUNCTION("""COMPUTED_VALUE"""),"")</f>
        <v/>
      </c>
      <c r="R89" s="2" t="str">
        <f ca="1">IFERROR(__xludf.DUMMYFUNCTION("""COMPUTED_VALUE"""),"")</f>
        <v/>
      </c>
      <c r="S89" s="2" t="str">
        <f ca="1">IFERROR(__xludf.DUMMYFUNCTION("""COMPUTED_VALUE"""),"")</f>
        <v/>
      </c>
      <c r="T89" s="2" t="str">
        <f ca="1">IFERROR(__xludf.DUMMYFUNCTION("""COMPUTED_VALUE"""),"")</f>
        <v/>
      </c>
      <c r="U89" s="2" t="str">
        <f ca="1">IFERROR(__xludf.DUMMYFUNCTION("""COMPUTED_VALUE"""),"")</f>
        <v/>
      </c>
      <c r="V89" s="2" t="str">
        <f ca="1">IFERROR(__xludf.DUMMYFUNCTION("""COMPUTED_VALUE"""),"")</f>
        <v/>
      </c>
      <c r="W89" s="2" t="str">
        <f ca="1">IFERROR(__xludf.DUMMYFUNCTION("""COMPUTED_VALUE"""),"")</f>
        <v/>
      </c>
      <c r="X89" s="2" t="str">
        <f ca="1">IFERROR(__xludf.DUMMYFUNCTION("""COMPUTED_VALUE"""),"")</f>
        <v/>
      </c>
      <c r="Y89" s="2" t="str">
        <f ca="1">IFERROR(__xludf.DUMMYFUNCTION("""COMPUTED_VALUE"""),"")</f>
        <v/>
      </c>
      <c r="Z89" s="2" t="str">
        <f ca="1">IFERROR(__xludf.DUMMYFUNCTION("""COMPUTED_VALUE"""),"")</f>
        <v/>
      </c>
      <c r="AA89" s="2" t="str">
        <f ca="1">IFERROR(__xludf.DUMMYFUNCTION("""COMPUTED_VALUE"""),"")</f>
        <v/>
      </c>
      <c r="AB89" s="2" t="str">
        <f ca="1">IFERROR(__xludf.DUMMYFUNCTION("""COMPUTED_VALUE"""),"")</f>
        <v/>
      </c>
      <c r="AC89" s="2" t="str">
        <f ca="1">IFERROR(__xludf.DUMMYFUNCTION("""COMPUTED_VALUE"""),"")</f>
        <v/>
      </c>
      <c r="AD89" s="2" t="str">
        <f ca="1">IFERROR(__xludf.DUMMYFUNCTION("""COMPUTED_VALUE"""),"")</f>
        <v/>
      </c>
      <c r="AE89" s="2" t="str">
        <f ca="1">IFERROR(__xludf.DUMMYFUNCTION("""COMPUTED_VALUE"""),"")</f>
        <v/>
      </c>
      <c r="AF89" s="2" t="str">
        <f ca="1">IFERROR(__xludf.DUMMYFUNCTION("""COMPUTED_VALUE"""),"")</f>
        <v/>
      </c>
      <c r="AG89" s="2" t="str">
        <f ca="1">IFERROR(__xludf.DUMMYFUNCTION("""COMPUTED_VALUE"""),"")</f>
        <v/>
      </c>
      <c r="AH89" s="2" t="str">
        <f ca="1">IFERROR(__xludf.DUMMYFUNCTION("""COMPUTED_VALUE"""),"")</f>
        <v/>
      </c>
      <c r="AI89" s="2" t="str">
        <f ca="1">IFERROR(__xludf.DUMMYFUNCTION("""COMPUTED_VALUE"""),"")</f>
        <v/>
      </c>
      <c r="AJ89" s="2" t="str">
        <f ca="1">IFERROR(__xludf.DUMMYFUNCTION("""COMPUTED_VALUE"""),"")</f>
        <v/>
      </c>
      <c r="AK89" s="2" t="str">
        <f ca="1">IFERROR(__xludf.DUMMYFUNCTION("""COMPUTED_VALUE"""),"")</f>
        <v/>
      </c>
      <c r="AL89" s="2" t="str">
        <f ca="1">IFERROR(__xludf.DUMMYFUNCTION("""COMPUTED_VALUE"""),"")</f>
        <v/>
      </c>
      <c r="AM89" s="2" t="str">
        <f ca="1">IFERROR(__xludf.DUMMYFUNCTION("""COMPUTED_VALUE"""),"")</f>
        <v/>
      </c>
      <c r="AN89" s="2" t="str">
        <f ca="1">IFERROR(__xludf.DUMMYFUNCTION("""COMPUTED_VALUE"""),"")</f>
        <v/>
      </c>
      <c r="AO89" s="2" t="str">
        <f ca="1">IFERROR(__xludf.DUMMYFUNCTION("""COMPUTED_VALUE"""),"")</f>
        <v/>
      </c>
      <c r="AP89" s="2" t="str">
        <f ca="1">IFERROR(__xludf.DUMMYFUNCTION("""COMPUTED_VALUE"""),"")</f>
        <v/>
      </c>
      <c r="AQ89" s="2" t="str">
        <f ca="1">IFERROR(__xludf.DUMMYFUNCTION("""COMPUTED_VALUE"""),"")</f>
        <v/>
      </c>
      <c r="AR89" s="2" t="str">
        <f ca="1">IFERROR(__xludf.DUMMYFUNCTION("""COMPUTED_VALUE"""),"")</f>
        <v/>
      </c>
      <c r="AS89" s="2" t="str">
        <f ca="1">IFERROR(__xludf.DUMMYFUNCTION("""COMPUTED_VALUE"""),"")</f>
        <v/>
      </c>
      <c r="AT89" s="2" t="str">
        <f ca="1">IFERROR(__xludf.DUMMYFUNCTION("""COMPUTED_VALUE"""),"")</f>
        <v/>
      </c>
      <c r="AU89" s="2" t="str">
        <f ca="1">IFERROR(__xludf.DUMMYFUNCTION("""COMPUTED_VALUE"""),"")</f>
        <v/>
      </c>
      <c r="AV89" s="2" t="str">
        <f ca="1">IFERROR(__xludf.DUMMYFUNCTION("""COMPUTED_VALUE"""),"")</f>
        <v/>
      </c>
      <c r="AW89" s="2" t="str">
        <f ca="1">IFERROR(__xludf.DUMMYFUNCTION("""COMPUTED_VALUE"""),"")</f>
        <v/>
      </c>
      <c r="AX89" s="2" t="str">
        <f ca="1">IFERROR(__xludf.DUMMYFUNCTION("""COMPUTED_VALUE"""),"")</f>
        <v/>
      </c>
      <c r="AY89" s="2" t="str">
        <f ca="1">IFERROR(__xludf.DUMMYFUNCTION("""COMPUTED_VALUE"""),"")</f>
        <v/>
      </c>
      <c r="AZ89" s="2" t="str">
        <f ca="1">IFERROR(__xludf.DUMMYFUNCTION("""COMPUTED_VALUE"""),"")</f>
        <v/>
      </c>
      <c r="BA89" s="2" t="str">
        <f ca="1">IFERROR(__xludf.DUMMYFUNCTION("""COMPUTED_VALUE"""),"")</f>
        <v/>
      </c>
      <c r="BB89" s="2" t="str">
        <f ca="1">IFERROR(__xludf.DUMMYFUNCTION("""COMPUTED_VALUE"""),"")</f>
        <v/>
      </c>
      <c r="BC89" s="2" t="str">
        <f ca="1">IFERROR(__xludf.DUMMYFUNCTION("""COMPUTED_VALUE"""),"")</f>
        <v/>
      </c>
      <c r="BD89" s="2" t="str">
        <f ca="1">IFERROR(__xludf.DUMMYFUNCTION("""COMPUTED_VALUE"""),"")</f>
        <v/>
      </c>
      <c r="BE89" s="2" t="str">
        <f ca="1">IFERROR(__xludf.DUMMYFUNCTION("""COMPUTED_VALUE"""),"")</f>
        <v/>
      </c>
      <c r="BF89" t="str">
        <f ca="1">IFERROR(__xludf.DUMMYFUNCTION("""COMPUTED_VALUE"""),"")</f>
        <v/>
      </c>
      <c r="BG89" t="str">
        <f ca="1">IFERROR(__xludf.DUMMYFUNCTION("""COMPUTED_VALUE"""),"")</f>
        <v/>
      </c>
      <c r="BH89" s="2">
        <f ca="1">IFERROR(__xludf.DUMMYFUNCTION("""COMPUTED_VALUE"""),-37.343399)</f>
        <v>-37.343398999999998</v>
      </c>
      <c r="BI89" s="12">
        <f ca="1">IFERROR(__xludf.DUMMYFUNCTION("""COMPUTED_VALUE"""),175.1560059)</f>
        <v>175.1560059</v>
      </c>
      <c r="BJ89" s="9">
        <f ca="1">IFERROR(__xludf.DUMMYFUNCTION("""COMPUTED_VALUE"""),43404)</f>
        <v>43404</v>
      </c>
      <c r="BK89" s="4">
        <f ca="1">IFERROR(__xludf.DUMMYFUNCTION("""COMPUTED_VALUE"""),0.457777777777664)</f>
        <v>0.45777777777766399</v>
      </c>
    </row>
    <row r="90" spans="1:63" ht="12.5" x14ac:dyDescent="0.25">
      <c r="A90" s="7" t="str">
        <f ca="1">IFERROR(__xludf.DUMMYFUNCTION("""COMPUTED_VALUE"""),"")</f>
        <v/>
      </c>
      <c r="B90" s="8" t="str">
        <f ca="1">IFERROR(__xludf.DUMMYFUNCTION("""COMPUTED_VALUE"""),"Waikato")</f>
        <v>Waikato</v>
      </c>
      <c r="C90" s="2">
        <f ca="1">IFERROR(__xludf.DUMMYFUNCTION("""COMPUTED_VALUE"""),64)</f>
        <v>64</v>
      </c>
      <c r="D90" s="9" t="str">
        <f ca="1">IFERROR(__xludf.DUMMYFUNCTION("""COMPUTED_VALUE"""),"")</f>
        <v/>
      </c>
      <c r="E90" s="4" t="str">
        <f ca="1">IFERROR(__xludf.DUMMYFUNCTION("""COMPUTED_VALUE"""),"")</f>
        <v/>
      </c>
      <c r="F90" s="2" t="str">
        <f ca="1">IFERROR(__xludf.DUMMYFUNCTION("""COMPUTED_VALUE"""),"")</f>
        <v/>
      </c>
      <c r="G90" s="2" t="str">
        <f ca="1">IFERROR(__xludf.DUMMYFUNCTION("""COMPUTED_VALUE"""),"GPS: I converted data downloaded from ARGOS using Pinpoint software")</f>
        <v>GPS: I converted data downloaded from ARGOS using Pinpoint software</v>
      </c>
      <c r="H90" s="2" t="str">
        <f ca="1">IFERROR(__xludf.DUMMYFUNCTION("""COMPUTED_VALUE"""),"3D")</f>
        <v>3D</v>
      </c>
      <c r="I90" s="2" t="str">
        <f ca="1">IFERROR(__xludf.DUMMYFUNCTION("""COMPUTED_VALUE"""),"")</f>
        <v/>
      </c>
      <c r="J90" s="2" t="str">
        <f ca="1">IFERROR(__xludf.DUMMYFUNCTION("""COMPUTED_VALUE"""),"")</f>
        <v/>
      </c>
      <c r="K90" s="2" t="str">
        <f ca="1">IFERROR(__xludf.DUMMYFUNCTION("""COMPUTED_VALUE"""),"")</f>
        <v/>
      </c>
      <c r="L90" s="2" t="str">
        <f ca="1">IFERROR(__xludf.DUMMYFUNCTION("""COMPUTED_VALUE"""),"")</f>
        <v/>
      </c>
      <c r="M90" s="5" t="str">
        <f ca="1">IFERROR(__xludf.DUMMYFUNCTION("""COMPUTED_VALUE"""),"")</f>
        <v/>
      </c>
      <c r="N90" s="5" t="str">
        <f ca="1">IFERROR(__xludf.DUMMYFUNCTION("""COMPUTED_VALUE"""),"")</f>
        <v/>
      </c>
      <c r="O90" s="2" t="str">
        <f ca="1">IFERROR(__xludf.DUMMYFUNCTION("""COMPUTED_VALUE"""),"")</f>
        <v/>
      </c>
      <c r="P90" s="2" t="str">
        <f ca="1">IFERROR(__xludf.DUMMYFUNCTION("""COMPUTED_VALUE"""),"")</f>
        <v/>
      </c>
      <c r="Q90" s="2" t="str">
        <f ca="1">IFERROR(__xludf.DUMMYFUNCTION("""COMPUTED_VALUE"""),"")</f>
        <v/>
      </c>
      <c r="R90" s="2" t="str">
        <f ca="1">IFERROR(__xludf.DUMMYFUNCTION("""COMPUTED_VALUE"""),"")</f>
        <v/>
      </c>
      <c r="S90" s="2" t="str">
        <f ca="1">IFERROR(__xludf.DUMMYFUNCTION("""COMPUTED_VALUE"""),"")</f>
        <v/>
      </c>
      <c r="T90" s="2" t="str">
        <f ca="1">IFERROR(__xludf.DUMMYFUNCTION("""COMPUTED_VALUE"""),"")</f>
        <v/>
      </c>
      <c r="U90" s="2" t="str">
        <f ca="1">IFERROR(__xludf.DUMMYFUNCTION("""COMPUTED_VALUE"""),"")</f>
        <v/>
      </c>
      <c r="V90" s="2" t="str">
        <f ca="1">IFERROR(__xludf.DUMMYFUNCTION("""COMPUTED_VALUE"""),"")</f>
        <v/>
      </c>
      <c r="W90" s="2" t="str">
        <f ca="1">IFERROR(__xludf.DUMMYFUNCTION("""COMPUTED_VALUE"""),"")</f>
        <v/>
      </c>
      <c r="X90" s="2" t="str">
        <f ca="1">IFERROR(__xludf.DUMMYFUNCTION("""COMPUTED_VALUE"""),"")</f>
        <v/>
      </c>
      <c r="Y90" s="2" t="str">
        <f ca="1">IFERROR(__xludf.DUMMYFUNCTION("""COMPUTED_VALUE"""),"")</f>
        <v/>
      </c>
      <c r="Z90" s="2" t="str">
        <f ca="1">IFERROR(__xludf.DUMMYFUNCTION("""COMPUTED_VALUE"""),"")</f>
        <v/>
      </c>
      <c r="AA90" s="2" t="str">
        <f ca="1">IFERROR(__xludf.DUMMYFUNCTION("""COMPUTED_VALUE"""),"")</f>
        <v/>
      </c>
      <c r="AB90" s="2" t="str">
        <f ca="1">IFERROR(__xludf.DUMMYFUNCTION("""COMPUTED_VALUE"""),"")</f>
        <v/>
      </c>
      <c r="AC90" s="2" t="str">
        <f ca="1">IFERROR(__xludf.DUMMYFUNCTION("""COMPUTED_VALUE"""),"")</f>
        <v/>
      </c>
      <c r="AD90" s="2" t="str">
        <f ca="1">IFERROR(__xludf.DUMMYFUNCTION("""COMPUTED_VALUE"""),"")</f>
        <v/>
      </c>
      <c r="AE90" s="2" t="str">
        <f ca="1">IFERROR(__xludf.DUMMYFUNCTION("""COMPUTED_VALUE"""),"")</f>
        <v/>
      </c>
      <c r="AF90" s="2" t="str">
        <f ca="1">IFERROR(__xludf.DUMMYFUNCTION("""COMPUTED_VALUE"""),"")</f>
        <v/>
      </c>
      <c r="AG90" s="2" t="str">
        <f ca="1">IFERROR(__xludf.DUMMYFUNCTION("""COMPUTED_VALUE"""),"")</f>
        <v/>
      </c>
      <c r="AH90" s="2" t="str">
        <f ca="1">IFERROR(__xludf.DUMMYFUNCTION("""COMPUTED_VALUE"""),"")</f>
        <v/>
      </c>
      <c r="AI90" s="2" t="str">
        <f ca="1">IFERROR(__xludf.DUMMYFUNCTION("""COMPUTED_VALUE"""),"")</f>
        <v/>
      </c>
      <c r="AJ90" s="2" t="str">
        <f ca="1">IFERROR(__xludf.DUMMYFUNCTION("""COMPUTED_VALUE"""),"")</f>
        <v/>
      </c>
      <c r="AK90" s="2" t="str">
        <f ca="1">IFERROR(__xludf.DUMMYFUNCTION("""COMPUTED_VALUE"""),"")</f>
        <v/>
      </c>
      <c r="AL90" s="2" t="str">
        <f ca="1">IFERROR(__xludf.DUMMYFUNCTION("""COMPUTED_VALUE"""),"")</f>
        <v/>
      </c>
      <c r="AM90" s="2" t="str">
        <f ca="1">IFERROR(__xludf.DUMMYFUNCTION("""COMPUTED_VALUE"""),"")</f>
        <v/>
      </c>
      <c r="AN90" s="2" t="str">
        <f ca="1">IFERROR(__xludf.DUMMYFUNCTION("""COMPUTED_VALUE"""),"")</f>
        <v/>
      </c>
      <c r="AO90" s="2" t="str">
        <f ca="1">IFERROR(__xludf.DUMMYFUNCTION("""COMPUTED_VALUE"""),"")</f>
        <v/>
      </c>
      <c r="AP90" s="2" t="str">
        <f ca="1">IFERROR(__xludf.DUMMYFUNCTION("""COMPUTED_VALUE"""),"")</f>
        <v/>
      </c>
      <c r="AQ90" s="2" t="str">
        <f ca="1">IFERROR(__xludf.DUMMYFUNCTION("""COMPUTED_VALUE"""),"")</f>
        <v/>
      </c>
      <c r="AR90" s="2" t="str">
        <f ca="1">IFERROR(__xludf.DUMMYFUNCTION("""COMPUTED_VALUE"""),"")</f>
        <v/>
      </c>
      <c r="AS90" s="2" t="str">
        <f ca="1">IFERROR(__xludf.DUMMYFUNCTION("""COMPUTED_VALUE"""),"")</f>
        <v/>
      </c>
      <c r="AT90" s="2" t="str">
        <f ca="1">IFERROR(__xludf.DUMMYFUNCTION("""COMPUTED_VALUE"""),"")</f>
        <v/>
      </c>
      <c r="AU90" s="2" t="str">
        <f ca="1">IFERROR(__xludf.DUMMYFUNCTION("""COMPUTED_VALUE"""),"")</f>
        <v/>
      </c>
      <c r="AV90" s="2" t="str">
        <f ca="1">IFERROR(__xludf.DUMMYFUNCTION("""COMPUTED_VALUE"""),"")</f>
        <v/>
      </c>
      <c r="AW90" s="2" t="str">
        <f ca="1">IFERROR(__xludf.DUMMYFUNCTION("""COMPUTED_VALUE"""),"")</f>
        <v/>
      </c>
      <c r="AX90" s="2" t="str">
        <f ca="1">IFERROR(__xludf.DUMMYFUNCTION("""COMPUTED_VALUE"""),"")</f>
        <v/>
      </c>
      <c r="AY90" s="2" t="str">
        <f ca="1">IFERROR(__xludf.DUMMYFUNCTION("""COMPUTED_VALUE"""),"")</f>
        <v/>
      </c>
      <c r="AZ90" s="2" t="str">
        <f ca="1">IFERROR(__xludf.DUMMYFUNCTION("""COMPUTED_VALUE"""),"")</f>
        <v/>
      </c>
      <c r="BA90" s="2" t="str">
        <f ca="1">IFERROR(__xludf.DUMMYFUNCTION("""COMPUTED_VALUE"""),"")</f>
        <v/>
      </c>
      <c r="BB90" s="2" t="str">
        <f ca="1">IFERROR(__xludf.DUMMYFUNCTION("""COMPUTED_VALUE"""),"")</f>
        <v/>
      </c>
      <c r="BC90" s="2" t="str">
        <f ca="1">IFERROR(__xludf.DUMMYFUNCTION("""COMPUTED_VALUE"""),"")</f>
        <v/>
      </c>
      <c r="BD90" s="2" t="str">
        <f ca="1">IFERROR(__xludf.DUMMYFUNCTION("""COMPUTED_VALUE"""),"")</f>
        <v/>
      </c>
      <c r="BE90" s="2" t="str">
        <f ca="1">IFERROR(__xludf.DUMMYFUNCTION("""COMPUTED_VALUE"""),"")</f>
        <v/>
      </c>
      <c r="BF90" t="str">
        <f ca="1">IFERROR(__xludf.DUMMYFUNCTION("""COMPUTED_VALUE"""),"")</f>
        <v/>
      </c>
      <c r="BG90" t="str">
        <f ca="1">IFERROR(__xludf.DUMMYFUNCTION("""COMPUTED_VALUE"""),"")</f>
        <v/>
      </c>
      <c r="BH90" s="2">
        <f ca="1">IFERROR(__xludf.DUMMYFUNCTION("""COMPUTED_VALUE"""),-37.317543)</f>
        <v>-37.317543000000001</v>
      </c>
      <c r="BI90" s="13">
        <f ca="1">IFERROR(__xludf.DUMMYFUNCTION("""COMPUTED_VALUE"""),175.1600494)</f>
        <v>175.16004939999999</v>
      </c>
      <c r="BJ90" s="9">
        <f ca="1">IFERROR(__xludf.DUMMYFUNCTION("""COMPUTED_VALUE"""),43404)</f>
        <v>43404</v>
      </c>
      <c r="BK90" s="4">
        <f ca="1">IFERROR(__xludf.DUMMYFUNCTION("""COMPUTED_VALUE"""),0.958518518516939)</f>
        <v>0.95851851851693903</v>
      </c>
    </row>
    <row r="91" spans="1:63" ht="12.5" x14ac:dyDescent="0.25">
      <c r="A91" s="7" t="str">
        <f ca="1">IFERROR(__xludf.DUMMYFUNCTION("""COMPUTED_VALUE"""),"")</f>
        <v/>
      </c>
      <c r="B91" s="8" t="str">
        <f ca="1">IFERROR(__xludf.DUMMYFUNCTION("""COMPUTED_VALUE"""),"Waikato")</f>
        <v>Waikato</v>
      </c>
      <c r="C91" s="2">
        <f ca="1">IFERROR(__xludf.DUMMYFUNCTION("""COMPUTED_VALUE"""),64)</f>
        <v>64</v>
      </c>
      <c r="D91" s="9" t="str">
        <f ca="1">IFERROR(__xludf.DUMMYFUNCTION("""COMPUTED_VALUE"""),"")</f>
        <v/>
      </c>
      <c r="E91" s="4" t="str">
        <f ca="1">IFERROR(__xludf.DUMMYFUNCTION("""COMPUTED_VALUE"""),"")</f>
        <v/>
      </c>
      <c r="F91" s="2" t="str">
        <f ca="1">IFERROR(__xludf.DUMMYFUNCTION("""COMPUTED_VALUE"""),"")</f>
        <v/>
      </c>
      <c r="G91" s="2" t="str">
        <f ca="1">IFERROR(__xludf.DUMMYFUNCTION("""COMPUTED_VALUE"""),"GPS: I converted data downloaded from ARGOS using Pinpoint software")</f>
        <v>GPS: I converted data downloaded from ARGOS using Pinpoint software</v>
      </c>
      <c r="H91" s="2" t="str">
        <f ca="1">IFERROR(__xludf.DUMMYFUNCTION("""COMPUTED_VALUE"""),"3D")</f>
        <v>3D</v>
      </c>
      <c r="I91" s="2" t="str">
        <f ca="1">IFERROR(__xludf.DUMMYFUNCTION("""COMPUTED_VALUE"""),"")</f>
        <v/>
      </c>
      <c r="J91" s="2" t="str">
        <f ca="1">IFERROR(__xludf.DUMMYFUNCTION("""COMPUTED_VALUE"""),"")</f>
        <v/>
      </c>
      <c r="K91" s="2" t="str">
        <f ca="1">IFERROR(__xludf.DUMMYFUNCTION("""COMPUTED_VALUE"""),"")</f>
        <v/>
      </c>
      <c r="L91" s="2" t="str">
        <f ca="1">IFERROR(__xludf.DUMMYFUNCTION("""COMPUTED_VALUE"""),"")</f>
        <v/>
      </c>
      <c r="M91" s="5" t="str">
        <f ca="1">IFERROR(__xludf.DUMMYFUNCTION("""COMPUTED_VALUE"""),"")</f>
        <v/>
      </c>
      <c r="N91" s="5" t="str">
        <f ca="1">IFERROR(__xludf.DUMMYFUNCTION("""COMPUTED_VALUE"""),"")</f>
        <v/>
      </c>
      <c r="O91" s="2" t="str">
        <f ca="1">IFERROR(__xludf.DUMMYFUNCTION("""COMPUTED_VALUE"""),"")</f>
        <v/>
      </c>
      <c r="P91" s="2" t="str">
        <f ca="1">IFERROR(__xludf.DUMMYFUNCTION("""COMPUTED_VALUE"""),"")</f>
        <v/>
      </c>
      <c r="Q91" s="2" t="str">
        <f ca="1">IFERROR(__xludf.DUMMYFUNCTION("""COMPUTED_VALUE"""),"")</f>
        <v/>
      </c>
      <c r="R91" s="2" t="str">
        <f ca="1">IFERROR(__xludf.DUMMYFUNCTION("""COMPUTED_VALUE"""),"")</f>
        <v/>
      </c>
      <c r="S91" s="2" t="str">
        <f ca="1">IFERROR(__xludf.DUMMYFUNCTION("""COMPUTED_VALUE"""),"")</f>
        <v/>
      </c>
      <c r="T91" s="2" t="str">
        <f ca="1">IFERROR(__xludf.DUMMYFUNCTION("""COMPUTED_VALUE"""),"")</f>
        <v/>
      </c>
      <c r="U91" s="2" t="str">
        <f ca="1">IFERROR(__xludf.DUMMYFUNCTION("""COMPUTED_VALUE"""),"")</f>
        <v/>
      </c>
      <c r="V91" s="2" t="str">
        <f ca="1">IFERROR(__xludf.DUMMYFUNCTION("""COMPUTED_VALUE"""),"")</f>
        <v/>
      </c>
      <c r="W91" s="2" t="str">
        <f ca="1">IFERROR(__xludf.DUMMYFUNCTION("""COMPUTED_VALUE"""),"")</f>
        <v/>
      </c>
      <c r="X91" s="2" t="str">
        <f ca="1">IFERROR(__xludf.DUMMYFUNCTION("""COMPUTED_VALUE"""),"")</f>
        <v/>
      </c>
      <c r="Y91" s="2" t="str">
        <f ca="1">IFERROR(__xludf.DUMMYFUNCTION("""COMPUTED_VALUE"""),"")</f>
        <v/>
      </c>
      <c r="Z91" s="2" t="str">
        <f ca="1">IFERROR(__xludf.DUMMYFUNCTION("""COMPUTED_VALUE"""),"")</f>
        <v/>
      </c>
      <c r="AA91" s="2" t="str">
        <f ca="1">IFERROR(__xludf.DUMMYFUNCTION("""COMPUTED_VALUE"""),"")</f>
        <v/>
      </c>
      <c r="AB91" s="2" t="str">
        <f ca="1">IFERROR(__xludf.DUMMYFUNCTION("""COMPUTED_VALUE"""),"")</f>
        <v/>
      </c>
      <c r="AC91" s="2" t="str">
        <f ca="1">IFERROR(__xludf.DUMMYFUNCTION("""COMPUTED_VALUE"""),"")</f>
        <v/>
      </c>
      <c r="AD91" s="2" t="str">
        <f ca="1">IFERROR(__xludf.DUMMYFUNCTION("""COMPUTED_VALUE"""),"")</f>
        <v/>
      </c>
      <c r="AE91" s="2" t="str">
        <f ca="1">IFERROR(__xludf.DUMMYFUNCTION("""COMPUTED_VALUE"""),"")</f>
        <v/>
      </c>
      <c r="AF91" s="2" t="str">
        <f ca="1">IFERROR(__xludf.DUMMYFUNCTION("""COMPUTED_VALUE"""),"")</f>
        <v/>
      </c>
      <c r="AG91" s="2" t="str">
        <f ca="1">IFERROR(__xludf.DUMMYFUNCTION("""COMPUTED_VALUE"""),"")</f>
        <v/>
      </c>
      <c r="AH91" s="2" t="str">
        <f ca="1">IFERROR(__xludf.DUMMYFUNCTION("""COMPUTED_VALUE"""),"")</f>
        <v/>
      </c>
      <c r="AI91" s="2" t="str">
        <f ca="1">IFERROR(__xludf.DUMMYFUNCTION("""COMPUTED_VALUE"""),"")</f>
        <v/>
      </c>
      <c r="AJ91" s="2" t="str">
        <f ca="1">IFERROR(__xludf.DUMMYFUNCTION("""COMPUTED_VALUE"""),"")</f>
        <v/>
      </c>
      <c r="AK91" s="2" t="str">
        <f ca="1">IFERROR(__xludf.DUMMYFUNCTION("""COMPUTED_VALUE"""),"")</f>
        <v/>
      </c>
      <c r="AL91" s="2" t="str">
        <f ca="1">IFERROR(__xludf.DUMMYFUNCTION("""COMPUTED_VALUE"""),"")</f>
        <v/>
      </c>
      <c r="AM91" s="2" t="str">
        <f ca="1">IFERROR(__xludf.DUMMYFUNCTION("""COMPUTED_VALUE"""),"")</f>
        <v/>
      </c>
      <c r="AN91" s="2" t="str">
        <f ca="1">IFERROR(__xludf.DUMMYFUNCTION("""COMPUTED_VALUE"""),"")</f>
        <v/>
      </c>
      <c r="AO91" s="2" t="str">
        <f ca="1">IFERROR(__xludf.DUMMYFUNCTION("""COMPUTED_VALUE"""),"")</f>
        <v/>
      </c>
      <c r="AP91" s="2" t="str">
        <f ca="1">IFERROR(__xludf.DUMMYFUNCTION("""COMPUTED_VALUE"""),"")</f>
        <v/>
      </c>
      <c r="AQ91" s="2" t="str">
        <f ca="1">IFERROR(__xludf.DUMMYFUNCTION("""COMPUTED_VALUE"""),"")</f>
        <v/>
      </c>
      <c r="AR91" s="2" t="str">
        <f ca="1">IFERROR(__xludf.DUMMYFUNCTION("""COMPUTED_VALUE"""),"")</f>
        <v/>
      </c>
      <c r="AS91" s="2" t="str">
        <f ca="1">IFERROR(__xludf.DUMMYFUNCTION("""COMPUTED_VALUE"""),"")</f>
        <v/>
      </c>
      <c r="AT91" s="2" t="str">
        <f ca="1">IFERROR(__xludf.DUMMYFUNCTION("""COMPUTED_VALUE"""),"")</f>
        <v/>
      </c>
      <c r="AU91" s="2" t="str">
        <f ca="1">IFERROR(__xludf.DUMMYFUNCTION("""COMPUTED_VALUE"""),"")</f>
        <v/>
      </c>
      <c r="AV91" s="2" t="str">
        <f ca="1">IFERROR(__xludf.DUMMYFUNCTION("""COMPUTED_VALUE"""),"")</f>
        <v/>
      </c>
      <c r="AW91" s="2" t="str">
        <f ca="1">IFERROR(__xludf.DUMMYFUNCTION("""COMPUTED_VALUE"""),"")</f>
        <v/>
      </c>
      <c r="AX91" s="2" t="str">
        <f ca="1">IFERROR(__xludf.DUMMYFUNCTION("""COMPUTED_VALUE"""),"")</f>
        <v/>
      </c>
      <c r="AY91" s="2" t="str">
        <f ca="1">IFERROR(__xludf.DUMMYFUNCTION("""COMPUTED_VALUE"""),"")</f>
        <v/>
      </c>
      <c r="AZ91" s="2" t="str">
        <f ca="1">IFERROR(__xludf.DUMMYFUNCTION("""COMPUTED_VALUE"""),"")</f>
        <v/>
      </c>
      <c r="BA91" s="2" t="str">
        <f ca="1">IFERROR(__xludf.DUMMYFUNCTION("""COMPUTED_VALUE"""),"")</f>
        <v/>
      </c>
      <c r="BB91" s="2" t="str">
        <f ca="1">IFERROR(__xludf.DUMMYFUNCTION("""COMPUTED_VALUE"""),"")</f>
        <v/>
      </c>
      <c r="BC91" s="2" t="str">
        <f ca="1">IFERROR(__xludf.DUMMYFUNCTION("""COMPUTED_VALUE"""),"")</f>
        <v/>
      </c>
      <c r="BD91" s="2" t="str">
        <f ca="1">IFERROR(__xludf.DUMMYFUNCTION("""COMPUTED_VALUE"""),"")</f>
        <v/>
      </c>
      <c r="BE91" s="2" t="str">
        <f ca="1">IFERROR(__xludf.DUMMYFUNCTION("""COMPUTED_VALUE"""),"")</f>
        <v/>
      </c>
      <c r="BF91" t="str">
        <f ca="1">IFERROR(__xludf.DUMMYFUNCTION("""COMPUTED_VALUE"""),"")</f>
        <v/>
      </c>
      <c r="BG91" t="str">
        <f ca="1">IFERROR(__xludf.DUMMYFUNCTION("""COMPUTED_VALUE"""),"")</f>
        <v/>
      </c>
      <c r="BH91" s="2">
        <f ca="1">IFERROR(__xludf.DUMMYFUNCTION("""COMPUTED_VALUE"""),-37.3313408)</f>
        <v>-37.3313408</v>
      </c>
      <c r="BI91" s="12">
        <f ca="1">IFERROR(__xludf.DUMMYFUNCTION("""COMPUTED_VALUE"""),175.1698761)</f>
        <v>175.16987610000001</v>
      </c>
      <c r="BJ91" s="9">
        <f ca="1">IFERROR(__xludf.DUMMYFUNCTION("""COMPUTED_VALUE"""),43406)</f>
        <v>43406</v>
      </c>
      <c r="BK91" s="4">
        <f ca="1">IFERROR(__xludf.DUMMYFUNCTION("""COMPUTED_VALUE"""),0.457777777777664)</f>
        <v>0.45777777777766399</v>
      </c>
    </row>
    <row r="92" spans="1:63" ht="12.5" x14ac:dyDescent="0.25">
      <c r="A92" s="7" t="str">
        <f ca="1">IFERROR(__xludf.DUMMYFUNCTION("""COMPUTED_VALUE"""),"")</f>
        <v/>
      </c>
      <c r="B92" s="8" t="str">
        <f ca="1">IFERROR(__xludf.DUMMYFUNCTION("""COMPUTED_VALUE"""),"Waikato")</f>
        <v>Waikato</v>
      </c>
      <c r="C92" s="2">
        <f ca="1">IFERROR(__xludf.DUMMYFUNCTION("""COMPUTED_VALUE"""),64)</f>
        <v>64</v>
      </c>
      <c r="D92" s="9" t="str">
        <f ca="1">IFERROR(__xludf.DUMMYFUNCTION("""COMPUTED_VALUE"""),"")</f>
        <v/>
      </c>
      <c r="E92" s="4" t="str">
        <f ca="1">IFERROR(__xludf.DUMMYFUNCTION("""COMPUTED_VALUE"""),"")</f>
        <v/>
      </c>
      <c r="F92" s="2" t="str">
        <f ca="1">IFERROR(__xludf.DUMMYFUNCTION("""COMPUTED_VALUE"""),"")</f>
        <v/>
      </c>
      <c r="G92" s="2" t="str">
        <f ca="1">IFERROR(__xludf.DUMMYFUNCTION("""COMPUTED_VALUE"""),"GPS: I converted data downloaded from ARGOS using Pinpoint software")</f>
        <v>GPS: I converted data downloaded from ARGOS using Pinpoint software</v>
      </c>
      <c r="H92" s="2" t="str">
        <f ca="1">IFERROR(__xludf.DUMMYFUNCTION("""COMPUTED_VALUE"""),"3D")</f>
        <v>3D</v>
      </c>
      <c r="I92" s="2" t="str">
        <f ca="1">IFERROR(__xludf.DUMMYFUNCTION("""COMPUTED_VALUE"""),"")</f>
        <v/>
      </c>
      <c r="J92" s="2" t="str">
        <f ca="1">IFERROR(__xludf.DUMMYFUNCTION("""COMPUTED_VALUE"""),"")</f>
        <v/>
      </c>
      <c r="K92" s="2" t="str">
        <f ca="1">IFERROR(__xludf.DUMMYFUNCTION("""COMPUTED_VALUE"""),"")</f>
        <v/>
      </c>
      <c r="L92" s="2" t="str">
        <f ca="1">IFERROR(__xludf.DUMMYFUNCTION("""COMPUTED_VALUE"""),"")</f>
        <v/>
      </c>
      <c r="M92" s="5" t="str">
        <f ca="1">IFERROR(__xludf.DUMMYFUNCTION("""COMPUTED_VALUE"""),"")</f>
        <v/>
      </c>
      <c r="N92" s="5" t="str">
        <f ca="1">IFERROR(__xludf.DUMMYFUNCTION("""COMPUTED_VALUE"""),"")</f>
        <v/>
      </c>
      <c r="O92" s="2" t="str">
        <f ca="1">IFERROR(__xludf.DUMMYFUNCTION("""COMPUTED_VALUE"""),"")</f>
        <v/>
      </c>
      <c r="P92" s="2" t="str">
        <f ca="1">IFERROR(__xludf.DUMMYFUNCTION("""COMPUTED_VALUE"""),"")</f>
        <v/>
      </c>
      <c r="Q92" s="2" t="str">
        <f ca="1">IFERROR(__xludf.DUMMYFUNCTION("""COMPUTED_VALUE"""),"")</f>
        <v/>
      </c>
      <c r="R92" s="2" t="str">
        <f ca="1">IFERROR(__xludf.DUMMYFUNCTION("""COMPUTED_VALUE"""),"")</f>
        <v/>
      </c>
      <c r="S92" s="2" t="str">
        <f ca="1">IFERROR(__xludf.DUMMYFUNCTION("""COMPUTED_VALUE"""),"")</f>
        <v/>
      </c>
      <c r="T92" s="2" t="str">
        <f ca="1">IFERROR(__xludf.DUMMYFUNCTION("""COMPUTED_VALUE"""),"")</f>
        <v/>
      </c>
      <c r="U92" s="2" t="str">
        <f ca="1">IFERROR(__xludf.DUMMYFUNCTION("""COMPUTED_VALUE"""),"")</f>
        <v/>
      </c>
      <c r="V92" s="2" t="str">
        <f ca="1">IFERROR(__xludf.DUMMYFUNCTION("""COMPUTED_VALUE"""),"")</f>
        <v/>
      </c>
      <c r="W92" s="2" t="str">
        <f ca="1">IFERROR(__xludf.DUMMYFUNCTION("""COMPUTED_VALUE"""),"")</f>
        <v/>
      </c>
      <c r="X92" s="2" t="str">
        <f ca="1">IFERROR(__xludf.DUMMYFUNCTION("""COMPUTED_VALUE"""),"")</f>
        <v/>
      </c>
      <c r="Y92" s="2" t="str">
        <f ca="1">IFERROR(__xludf.DUMMYFUNCTION("""COMPUTED_VALUE"""),"")</f>
        <v/>
      </c>
      <c r="Z92" s="2" t="str">
        <f ca="1">IFERROR(__xludf.DUMMYFUNCTION("""COMPUTED_VALUE"""),"")</f>
        <v/>
      </c>
      <c r="AA92" s="2" t="str">
        <f ca="1">IFERROR(__xludf.DUMMYFUNCTION("""COMPUTED_VALUE"""),"")</f>
        <v/>
      </c>
      <c r="AB92" s="2" t="str">
        <f ca="1">IFERROR(__xludf.DUMMYFUNCTION("""COMPUTED_VALUE"""),"")</f>
        <v/>
      </c>
      <c r="AC92" s="2" t="str">
        <f ca="1">IFERROR(__xludf.DUMMYFUNCTION("""COMPUTED_VALUE"""),"")</f>
        <v/>
      </c>
      <c r="AD92" s="2" t="str">
        <f ca="1">IFERROR(__xludf.DUMMYFUNCTION("""COMPUTED_VALUE"""),"")</f>
        <v/>
      </c>
      <c r="AE92" s="2" t="str">
        <f ca="1">IFERROR(__xludf.DUMMYFUNCTION("""COMPUTED_VALUE"""),"")</f>
        <v/>
      </c>
      <c r="AF92" s="2" t="str">
        <f ca="1">IFERROR(__xludf.DUMMYFUNCTION("""COMPUTED_VALUE"""),"")</f>
        <v/>
      </c>
      <c r="AG92" s="2" t="str">
        <f ca="1">IFERROR(__xludf.DUMMYFUNCTION("""COMPUTED_VALUE"""),"")</f>
        <v/>
      </c>
      <c r="AH92" s="2" t="str">
        <f ca="1">IFERROR(__xludf.DUMMYFUNCTION("""COMPUTED_VALUE"""),"")</f>
        <v/>
      </c>
      <c r="AI92" s="2" t="str">
        <f ca="1">IFERROR(__xludf.DUMMYFUNCTION("""COMPUTED_VALUE"""),"")</f>
        <v/>
      </c>
      <c r="AJ92" s="2" t="str">
        <f ca="1">IFERROR(__xludf.DUMMYFUNCTION("""COMPUTED_VALUE"""),"")</f>
        <v/>
      </c>
      <c r="AK92" s="2" t="str">
        <f ca="1">IFERROR(__xludf.DUMMYFUNCTION("""COMPUTED_VALUE"""),"")</f>
        <v/>
      </c>
      <c r="AL92" s="2" t="str">
        <f ca="1">IFERROR(__xludf.DUMMYFUNCTION("""COMPUTED_VALUE"""),"")</f>
        <v/>
      </c>
      <c r="AM92" s="2" t="str">
        <f ca="1">IFERROR(__xludf.DUMMYFUNCTION("""COMPUTED_VALUE"""),"")</f>
        <v/>
      </c>
      <c r="AN92" s="2" t="str">
        <f ca="1">IFERROR(__xludf.DUMMYFUNCTION("""COMPUTED_VALUE"""),"")</f>
        <v/>
      </c>
      <c r="AO92" s="2" t="str">
        <f ca="1">IFERROR(__xludf.DUMMYFUNCTION("""COMPUTED_VALUE"""),"")</f>
        <v/>
      </c>
      <c r="AP92" s="2" t="str">
        <f ca="1">IFERROR(__xludf.DUMMYFUNCTION("""COMPUTED_VALUE"""),"")</f>
        <v/>
      </c>
      <c r="AQ92" s="2" t="str">
        <f ca="1">IFERROR(__xludf.DUMMYFUNCTION("""COMPUTED_VALUE"""),"")</f>
        <v/>
      </c>
      <c r="AR92" s="2" t="str">
        <f ca="1">IFERROR(__xludf.DUMMYFUNCTION("""COMPUTED_VALUE"""),"")</f>
        <v/>
      </c>
      <c r="AS92" s="2" t="str">
        <f ca="1">IFERROR(__xludf.DUMMYFUNCTION("""COMPUTED_VALUE"""),"")</f>
        <v/>
      </c>
      <c r="AT92" s="2" t="str">
        <f ca="1">IFERROR(__xludf.DUMMYFUNCTION("""COMPUTED_VALUE"""),"")</f>
        <v/>
      </c>
      <c r="AU92" s="2" t="str">
        <f ca="1">IFERROR(__xludf.DUMMYFUNCTION("""COMPUTED_VALUE"""),"")</f>
        <v/>
      </c>
      <c r="AV92" s="2" t="str">
        <f ca="1">IFERROR(__xludf.DUMMYFUNCTION("""COMPUTED_VALUE"""),"")</f>
        <v/>
      </c>
      <c r="AW92" s="2" t="str">
        <f ca="1">IFERROR(__xludf.DUMMYFUNCTION("""COMPUTED_VALUE"""),"")</f>
        <v/>
      </c>
      <c r="AX92" s="2" t="str">
        <f ca="1">IFERROR(__xludf.DUMMYFUNCTION("""COMPUTED_VALUE"""),"")</f>
        <v/>
      </c>
      <c r="AY92" s="2" t="str">
        <f ca="1">IFERROR(__xludf.DUMMYFUNCTION("""COMPUTED_VALUE"""),"")</f>
        <v/>
      </c>
      <c r="AZ92" s="2" t="str">
        <f ca="1">IFERROR(__xludf.DUMMYFUNCTION("""COMPUTED_VALUE"""),"")</f>
        <v/>
      </c>
      <c r="BA92" s="2" t="str">
        <f ca="1">IFERROR(__xludf.DUMMYFUNCTION("""COMPUTED_VALUE"""),"")</f>
        <v/>
      </c>
      <c r="BB92" s="2" t="str">
        <f ca="1">IFERROR(__xludf.DUMMYFUNCTION("""COMPUTED_VALUE"""),"")</f>
        <v/>
      </c>
      <c r="BC92" s="2" t="str">
        <f ca="1">IFERROR(__xludf.DUMMYFUNCTION("""COMPUTED_VALUE"""),"")</f>
        <v/>
      </c>
      <c r="BD92" s="2" t="str">
        <f ca="1">IFERROR(__xludf.DUMMYFUNCTION("""COMPUTED_VALUE"""),"")</f>
        <v/>
      </c>
      <c r="BE92" s="2" t="str">
        <f ca="1">IFERROR(__xludf.DUMMYFUNCTION("""COMPUTED_VALUE"""),"")</f>
        <v/>
      </c>
      <c r="BF92" t="str">
        <f ca="1">IFERROR(__xludf.DUMMYFUNCTION("""COMPUTED_VALUE"""),"")</f>
        <v/>
      </c>
      <c r="BG92" t="str">
        <f ca="1">IFERROR(__xludf.DUMMYFUNCTION("""COMPUTED_VALUE"""),"")</f>
        <v/>
      </c>
      <c r="BH92" s="2">
        <f ca="1">IFERROR(__xludf.DUMMYFUNCTION("""COMPUTED_VALUE"""),-37.3433723)</f>
        <v>-37.343372299999999</v>
      </c>
      <c r="BI92" s="13">
        <f ca="1">IFERROR(__xludf.DUMMYFUNCTION("""COMPUTED_VALUE"""),175.1568451)</f>
        <v>175.1568451</v>
      </c>
      <c r="BJ92" s="9">
        <f ca="1">IFERROR(__xludf.DUMMYFUNCTION("""COMPUTED_VALUE"""),43406)</f>
        <v>43406</v>
      </c>
      <c r="BK92" s="4">
        <f ca="1">IFERROR(__xludf.DUMMYFUNCTION("""COMPUTED_VALUE"""),0.875555555554456)</f>
        <v>0.87555555555445597</v>
      </c>
    </row>
    <row r="93" spans="1:63" ht="12.5" x14ac:dyDescent="0.25">
      <c r="A93" s="7" t="str">
        <f ca="1">IFERROR(__xludf.DUMMYFUNCTION("""COMPUTED_VALUE"""),"")</f>
        <v/>
      </c>
      <c r="B93" s="8" t="str">
        <f ca="1">IFERROR(__xludf.DUMMYFUNCTION("""COMPUTED_VALUE"""),"Waikato")</f>
        <v>Waikato</v>
      </c>
      <c r="C93" s="2">
        <f ca="1">IFERROR(__xludf.DUMMYFUNCTION("""COMPUTED_VALUE"""),64)</f>
        <v>64</v>
      </c>
      <c r="D93" s="9" t="str">
        <f ca="1">IFERROR(__xludf.DUMMYFUNCTION("""COMPUTED_VALUE"""),"")</f>
        <v/>
      </c>
      <c r="E93" s="4" t="str">
        <f ca="1">IFERROR(__xludf.DUMMYFUNCTION("""COMPUTED_VALUE"""),"")</f>
        <v/>
      </c>
      <c r="F93" s="2" t="str">
        <f ca="1">IFERROR(__xludf.DUMMYFUNCTION("""COMPUTED_VALUE"""),"")</f>
        <v/>
      </c>
      <c r="G93" s="2" t="str">
        <f ca="1">IFERROR(__xludf.DUMMYFUNCTION("""COMPUTED_VALUE"""),"GPS: I converted data downloaded from ARGOS using Pinpoint software")</f>
        <v>GPS: I converted data downloaded from ARGOS using Pinpoint software</v>
      </c>
      <c r="H93" s="2" t="str">
        <f ca="1">IFERROR(__xludf.DUMMYFUNCTION("""COMPUTED_VALUE"""),"3D")</f>
        <v>3D</v>
      </c>
      <c r="I93" s="2" t="str">
        <f ca="1">IFERROR(__xludf.DUMMYFUNCTION("""COMPUTED_VALUE"""),"")</f>
        <v/>
      </c>
      <c r="J93" s="2" t="str">
        <f ca="1">IFERROR(__xludf.DUMMYFUNCTION("""COMPUTED_VALUE"""),"")</f>
        <v/>
      </c>
      <c r="K93" s="2" t="str">
        <f ca="1">IFERROR(__xludf.DUMMYFUNCTION("""COMPUTED_VALUE"""),"")</f>
        <v/>
      </c>
      <c r="L93" s="2" t="str">
        <f ca="1">IFERROR(__xludf.DUMMYFUNCTION("""COMPUTED_VALUE"""),"")</f>
        <v/>
      </c>
      <c r="M93" s="5" t="str">
        <f ca="1">IFERROR(__xludf.DUMMYFUNCTION("""COMPUTED_VALUE"""),"")</f>
        <v/>
      </c>
      <c r="N93" s="5" t="str">
        <f ca="1">IFERROR(__xludf.DUMMYFUNCTION("""COMPUTED_VALUE"""),"")</f>
        <v/>
      </c>
      <c r="O93" s="2" t="str">
        <f ca="1">IFERROR(__xludf.DUMMYFUNCTION("""COMPUTED_VALUE"""),"")</f>
        <v/>
      </c>
      <c r="P93" s="2" t="str">
        <f ca="1">IFERROR(__xludf.DUMMYFUNCTION("""COMPUTED_VALUE"""),"")</f>
        <v/>
      </c>
      <c r="Q93" s="2" t="str">
        <f ca="1">IFERROR(__xludf.DUMMYFUNCTION("""COMPUTED_VALUE"""),"")</f>
        <v/>
      </c>
      <c r="R93" s="2" t="str">
        <f ca="1">IFERROR(__xludf.DUMMYFUNCTION("""COMPUTED_VALUE"""),"")</f>
        <v/>
      </c>
      <c r="S93" s="2" t="str">
        <f ca="1">IFERROR(__xludf.DUMMYFUNCTION("""COMPUTED_VALUE"""),"")</f>
        <v/>
      </c>
      <c r="T93" s="2" t="str">
        <f ca="1">IFERROR(__xludf.DUMMYFUNCTION("""COMPUTED_VALUE"""),"")</f>
        <v/>
      </c>
      <c r="U93" s="2" t="str">
        <f ca="1">IFERROR(__xludf.DUMMYFUNCTION("""COMPUTED_VALUE"""),"")</f>
        <v/>
      </c>
      <c r="V93" s="2" t="str">
        <f ca="1">IFERROR(__xludf.DUMMYFUNCTION("""COMPUTED_VALUE"""),"")</f>
        <v/>
      </c>
      <c r="W93" s="2" t="str">
        <f ca="1">IFERROR(__xludf.DUMMYFUNCTION("""COMPUTED_VALUE"""),"")</f>
        <v/>
      </c>
      <c r="X93" s="2" t="str">
        <f ca="1">IFERROR(__xludf.DUMMYFUNCTION("""COMPUTED_VALUE"""),"")</f>
        <v/>
      </c>
      <c r="Y93" s="2" t="str">
        <f ca="1">IFERROR(__xludf.DUMMYFUNCTION("""COMPUTED_VALUE"""),"")</f>
        <v/>
      </c>
      <c r="Z93" s="2" t="str">
        <f ca="1">IFERROR(__xludf.DUMMYFUNCTION("""COMPUTED_VALUE"""),"")</f>
        <v/>
      </c>
      <c r="AA93" s="2" t="str">
        <f ca="1">IFERROR(__xludf.DUMMYFUNCTION("""COMPUTED_VALUE"""),"")</f>
        <v/>
      </c>
      <c r="AB93" s="2" t="str">
        <f ca="1">IFERROR(__xludf.DUMMYFUNCTION("""COMPUTED_VALUE"""),"")</f>
        <v/>
      </c>
      <c r="AC93" s="2" t="str">
        <f ca="1">IFERROR(__xludf.DUMMYFUNCTION("""COMPUTED_VALUE"""),"")</f>
        <v/>
      </c>
      <c r="AD93" s="2" t="str">
        <f ca="1">IFERROR(__xludf.DUMMYFUNCTION("""COMPUTED_VALUE"""),"")</f>
        <v/>
      </c>
      <c r="AE93" s="2" t="str">
        <f ca="1">IFERROR(__xludf.DUMMYFUNCTION("""COMPUTED_VALUE"""),"")</f>
        <v/>
      </c>
      <c r="AF93" s="2" t="str">
        <f ca="1">IFERROR(__xludf.DUMMYFUNCTION("""COMPUTED_VALUE"""),"")</f>
        <v/>
      </c>
      <c r="AG93" s="2" t="str">
        <f ca="1">IFERROR(__xludf.DUMMYFUNCTION("""COMPUTED_VALUE"""),"")</f>
        <v/>
      </c>
      <c r="AH93" s="2" t="str">
        <f ca="1">IFERROR(__xludf.DUMMYFUNCTION("""COMPUTED_VALUE"""),"")</f>
        <v/>
      </c>
      <c r="AI93" s="2" t="str">
        <f ca="1">IFERROR(__xludf.DUMMYFUNCTION("""COMPUTED_VALUE"""),"")</f>
        <v/>
      </c>
      <c r="AJ93" s="2" t="str">
        <f ca="1">IFERROR(__xludf.DUMMYFUNCTION("""COMPUTED_VALUE"""),"")</f>
        <v/>
      </c>
      <c r="AK93" s="2" t="str">
        <f ca="1">IFERROR(__xludf.DUMMYFUNCTION("""COMPUTED_VALUE"""),"")</f>
        <v/>
      </c>
      <c r="AL93" s="2" t="str">
        <f ca="1">IFERROR(__xludf.DUMMYFUNCTION("""COMPUTED_VALUE"""),"")</f>
        <v/>
      </c>
      <c r="AM93" s="2" t="str">
        <f ca="1">IFERROR(__xludf.DUMMYFUNCTION("""COMPUTED_VALUE"""),"")</f>
        <v/>
      </c>
      <c r="AN93" s="2" t="str">
        <f ca="1">IFERROR(__xludf.DUMMYFUNCTION("""COMPUTED_VALUE"""),"")</f>
        <v/>
      </c>
      <c r="AO93" s="2" t="str">
        <f ca="1">IFERROR(__xludf.DUMMYFUNCTION("""COMPUTED_VALUE"""),"")</f>
        <v/>
      </c>
      <c r="AP93" s="2" t="str">
        <f ca="1">IFERROR(__xludf.DUMMYFUNCTION("""COMPUTED_VALUE"""),"")</f>
        <v/>
      </c>
      <c r="AQ93" s="2" t="str">
        <f ca="1">IFERROR(__xludf.DUMMYFUNCTION("""COMPUTED_VALUE"""),"")</f>
        <v/>
      </c>
      <c r="AR93" s="2" t="str">
        <f ca="1">IFERROR(__xludf.DUMMYFUNCTION("""COMPUTED_VALUE"""),"")</f>
        <v/>
      </c>
      <c r="AS93" s="2" t="str">
        <f ca="1">IFERROR(__xludf.DUMMYFUNCTION("""COMPUTED_VALUE"""),"")</f>
        <v/>
      </c>
      <c r="AT93" s="2" t="str">
        <f ca="1">IFERROR(__xludf.DUMMYFUNCTION("""COMPUTED_VALUE"""),"")</f>
        <v/>
      </c>
      <c r="AU93" s="2" t="str">
        <f ca="1">IFERROR(__xludf.DUMMYFUNCTION("""COMPUTED_VALUE"""),"")</f>
        <v/>
      </c>
      <c r="AV93" s="2" t="str">
        <f ca="1">IFERROR(__xludf.DUMMYFUNCTION("""COMPUTED_VALUE"""),"")</f>
        <v/>
      </c>
      <c r="AW93" s="2" t="str">
        <f ca="1">IFERROR(__xludf.DUMMYFUNCTION("""COMPUTED_VALUE"""),"")</f>
        <v/>
      </c>
      <c r="AX93" s="2" t="str">
        <f ca="1">IFERROR(__xludf.DUMMYFUNCTION("""COMPUTED_VALUE"""),"")</f>
        <v/>
      </c>
      <c r="AY93" s="2" t="str">
        <f ca="1">IFERROR(__xludf.DUMMYFUNCTION("""COMPUTED_VALUE"""),"")</f>
        <v/>
      </c>
      <c r="AZ93" s="2" t="str">
        <f ca="1">IFERROR(__xludf.DUMMYFUNCTION("""COMPUTED_VALUE"""),"")</f>
        <v/>
      </c>
      <c r="BA93" s="2" t="str">
        <f ca="1">IFERROR(__xludf.DUMMYFUNCTION("""COMPUTED_VALUE"""),"")</f>
        <v/>
      </c>
      <c r="BB93" s="2" t="str">
        <f ca="1">IFERROR(__xludf.DUMMYFUNCTION("""COMPUTED_VALUE"""),"")</f>
        <v/>
      </c>
      <c r="BC93" s="2" t="str">
        <f ca="1">IFERROR(__xludf.DUMMYFUNCTION("""COMPUTED_VALUE"""),"")</f>
        <v/>
      </c>
      <c r="BD93" s="2" t="str">
        <f ca="1">IFERROR(__xludf.DUMMYFUNCTION("""COMPUTED_VALUE"""),"")</f>
        <v/>
      </c>
      <c r="BE93" s="2" t="str">
        <f ca="1">IFERROR(__xludf.DUMMYFUNCTION("""COMPUTED_VALUE"""),"")</f>
        <v/>
      </c>
      <c r="BF93" t="str">
        <f ca="1">IFERROR(__xludf.DUMMYFUNCTION("""COMPUTED_VALUE"""),"")</f>
        <v/>
      </c>
      <c r="BG93" t="str">
        <f ca="1">IFERROR(__xludf.DUMMYFUNCTION("""COMPUTED_VALUE"""),"")</f>
        <v/>
      </c>
      <c r="BH93" s="2">
        <f ca="1">IFERROR(__xludf.DUMMYFUNCTION("""COMPUTED_VALUE"""),-37.3434486)</f>
        <v>-37.343448600000002</v>
      </c>
      <c r="BI93" s="12">
        <f ca="1">IFERROR(__xludf.DUMMYFUNCTION("""COMPUTED_VALUE"""),175.1568451)</f>
        <v>175.1568451</v>
      </c>
      <c r="BJ93" s="9">
        <f ca="1">IFERROR(__xludf.DUMMYFUNCTION("""COMPUTED_VALUE"""),43406)</f>
        <v>43406</v>
      </c>
      <c r="BK93" s="4">
        <f ca="1">IFERROR(__xludf.DUMMYFUNCTION("""COMPUTED_VALUE"""),0.958518518516939)</f>
        <v>0.95851851851693903</v>
      </c>
    </row>
    <row r="94" spans="1:63" ht="12.5" x14ac:dyDescent="0.25">
      <c r="A94" s="7" t="str">
        <f ca="1">IFERROR(__xludf.DUMMYFUNCTION("""COMPUTED_VALUE"""),"")</f>
        <v/>
      </c>
      <c r="B94" s="8" t="str">
        <f ca="1">IFERROR(__xludf.DUMMYFUNCTION("""COMPUTED_VALUE"""),"Waikato")</f>
        <v>Waikato</v>
      </c>
      <c r="C94" s="2">
        <f ca="1">IFERROR(__xludf.DUMMYFUNCTION("""COMPUTED_VALUE"""),64)</f>
        <v>64</v>
      </c>
      <c r="D94" s="9" t="str">
        <f ca="1">IFERROR(__xludf.DUMMYFUNCTION("""COMPUTED_VALUE"""),"")</f>
        <v/>
      </c>
      <c r="E94" s="4" t="str">
        <f ca="1">IFERROR(__xludf.DUMMYFUNCTION("""COMPUTED_VALUE"""),"")</f>
        <v/>
      </c>
      <c r="F94" s="2" t="str">
        <f ca="1">IFERROR(__xludf.DUMMYFUNCTION("""COMPUTED_VALUE"""),"")</f>
        <v/>
      </c>
      <c r="G94" s="2" t="str">
        <f ca="1">IFERROR(__xludf.DUMMYFUNCTION("""COMPUTED_VALUE"""),"GPS: I converted data downloaded from ARGOS using Pinpoint software")</f>
        <v>GPS: I converted data downloaded from ARGOS using Pinpoint software</v>
      </c>
      <c r="H94" s="2" t="str">
        <f ca="1">IFERROR(__xludf.DUMMYFUNCTION("""COMPUTED_VALUE"""),"3D")</f>
        <v>3D</v>
      </c>
      <c r="I94" s="2" t="str">
        <f ca="1">IFERROR(__xludf.DUMMYFUNCTION("""COMPUTED_VALUE"""),"")</f>
        <v/>
      </c>
      <c r="J94" s="2" t="str">
        <f ca="1">IFERROR(__xludf.DUMMYFUNCTION("""COMPUTED_VALUE"""),"")</f>
        <v/>
      </c>
      <c r="K94" s="2" t="str">
        <f ca="1">IFERROR(__xludf.DUMMYFUNCTION("""COMPUTED_VALUE"""),"")</f>
        <v/>
      </c>
      <c r="L94" s="2" t="str">
        <f ca="1">IFERROR(__xludf.DUMMYFUNCTION("""COMPUTED_VALUE"""),"")</f>
        <v/>
      </c>
      <c r="M94" s="5" t="str">
        <f ca="1">IFERROR(__xludf.DUMMYFUNCTION("""COMPUTED_VALUE"""),"")</f>
        <v/>
      </c>
      <c r="N94" s="5" t="str">
        <f ca="1">IFERROR(__xludf.DUMMYFUNCTION("""COMPUTED_VALUE"""),"")</f>
        <v/>
      </c>
      <c r="O94" s="2" t="str">
        <f ca="1">IFERROR(__xludf.DUMMYFUNCTION("""COMPUTED_VALUE"""),"")</f>
        <v/>
      </c>
      <c r="P94" s="2" t="str">
        <f ca="1">IFERROR(__xludf.DUMMYFUNCTION("""COMPUTED_VALUE"""),"")</f>
        <v/>
      </c>
      <c r="Q94" s="2" t="str">
        <f ca="1">IFERROR(__xludf.DUMMYFUNCTION("""COMPUTED_VALUE"""),"")</f>
        <v/>
      </c>
      <c r="R94" s="2" t="str">
        <f ca="1">IFERROR(__xludf.DUMMYFUNCTION("""COMPUTED_VALUE"""),"")</f>
        <v/>
      </c>
      <c r="S94" s="2" t="str">
        <f ca="1">IFERROR(__xludf.DUMMYFUNCTION("""COMPUTED_VALUE"""),"")</f>
        <v/>
      </c>
      <c r="T94" s="2" t="str">
        <f ca="1">IFERROR(__xludf.DUMMYFUNCTION("""COMPUTED_VALUE"""),"")</f>
        <v/>
      </c>
      <c r="U94" s="2" t="str">
        <f ca="1">IFERROR(__xludf.DUMMYFUNCTION("""COMPUTED_VALUE"""),"")</f>
        <v/>
      </c>
      <c r="V94" s="2" t="str">
        <f ca="1">IFERROR(__xludf.DUMMYFUNCTION("""COMPUTED_VALUE"""),"")</f>
        <v/>
      </c>
      <c r="W94" s="2" t="str">
        <f ca="1">IFERROR(__xludf.DUMMYFUNCTION("""COMPUTED_VALUE"""),"")</f>
        <v/>
      </c>
      <c r="X94" s="2" t="str">
        <f ca="1">IFERROR(__xludf.DUMMYFUNCTION("""COMPUTED_VALUE"""),"")</f>
        <v/>
      </c>
      <c r="Y94" s="2" t="str">
        <f ca="1">IFERROR(__xludf.DUMMYFUNCTION("""COMPUTED_VALUE"""),"")</f>
        <v/>
      </c>
      <c r="Z94" s="2" t="str">
        <f ca="1">IFERROR(__xludf.DUMMYFUNCTION("""COMPUTED_VALUE"""),"")</f>
        <v/>
      </c>
      <c r="AA94" s="2" t="str">
        <f ca="1">IFERROR(__xludf.DUMMYFUNCTION("""COMPUTED_VALUE"""),"")</f>
        <v/>
      </c>
      <c r="AB94" s="2" t="str">
        <f ca="1">IFERROR(__xludf.DUMMYFUNCTION("""COMPUTED_VALUE"""),"")</f>
        <v/>
      </c>
      <c r="AC94" s="2" t="str">
        <f ca="1">IFERROR(__xludf.DUMMYFUNCTION("""COMPUTED_VALUE"""),"")</f>
        <v/>
      </c>
      <c r="AD94" s="2" t="str">
        <f ca="1">IFERROR(__xludf.DUMMYFUNCTION("""COMPUTED_VALUE"""),"")</f>
        <v/>
      </c>
      <c r="AE94" s="2" t="str">
        <f ca="1">IFERROR(__xludf.DUMMYFUNCTION("""COMPUTED_VALUE"""),"")</f>
        <v/>
      </c>
      <c r="AF94" s="2" t="str">
        <f ca="1">IFERROR(__xludf.DUMMYFUNCTION("""COMPUTED_VALUE"""),"")</f>
        <v/>
      </c>
      <c r="AG94" s="2" t="str">
        <f ca="1">IFERROR(__xludf.DUMMYFUNCTION("""COMPUTED_VALUE"""),"")</f>
        <v/>
      </c>
      <c r="AH94" s="2" t="str">
        <f ca="1">IFERROR(__xludf.DUMMYFUNCTION("""COMPUTED_VALUE"""),"")</f>
        <v/>
      </c>
      <c r="AI94" s="2" t="str">
        <f ca="1">IFERROR(__xludf.DUMMYFUNCTION("""COMPUTED_VALUE"""),"")</f>
        <v/>
      </c>
      <c r="AJ94" s="2" t="str">
        <f ca="1">IFERROR(__xludf.DUMMYFUNCTION("""COMPUTED_VALUE"""),"")</f>
        <v/>
      </c>
      <c r="AK94" s="2" t="str">
        <f ca="1">IFERROR(__xludf.DUMMYFUNCTION("""COMPUTED_VALUE"""),"")</f>
        <v/>
      </c>
      <c r="AL94" s="2" t="str">
        <f ca="1">IFERROR(__xludf.DUMMYFUNCTION("""COMPUTED_VALUE"""),"")</f>
        <v/>
      </c>
      <c r="AM94" s="2" t="str">
        <f ca="1">IFERROR(__xludf.DUMMYFUNCTION("""COMPUTED_VALUE"""),"")</f>
        <v/>
      </c>
      <c r="AN94" s="2" t="str">
        <f ca="1">IFERROR(__xludf.DUMMYFUNCTION("""COMPUTED_VALUE"""),"")</f>
        <v/>
      </c>
      <c r="AO94" s="2" t="str">
        <f ca="1">IFERROR(__xludf.DUMMYFUNCTION("""COMPUTED_VALUE"""),"")</f>
        <v/>
      </c>
      <c r="AP94" s="2" t="str">
        <f ca="1">IFERROR(__xludf.DUMMYFUNCTION("""COMPUTED_VALUE"""),"")</f>
        <v/>
      </c>
      <c r="AQ94" s="2" t="str">
        <f ca="1">IFERROR(__xludf.DUMMYFUNCTION("""COMPUTED_VALUE"""),"")</f>
        <v/>
      </c>
      <c r="AR94" s="2" t="str">
        <f ca="1">IFERROR(__xludf.DUMMYFUNCTION("""COMPUTED_VALUE"""),"")</f>
        <v/>
      </c>
      <c r="AS94" s="2" t="str">
        <f ca="1">IFERROR(__xludf.DUMMYFUNCTION("""COMPUTED_VALUE"""),"")</f>
        <v/>
      </c>
      <c r="AT94" s="2" t="str">
        <f ca="1">IFERROR(__xludf.DUMMYFUNCTION("""COMPUTED_VALUE"""),"")</f>
        <v/>
      </c>
      <c r="AU94" s="2" t="str">
        <f ca="1">IFERROR(__xludf.DUMMYFUNCTION("""COMPUTED_VALUE"""),"")</f>
        <v/>
      </c>
      <c r="AV94" s="2" t="str">
        <f ca="1">IFERROR(__xludf.DUMMYFUNCTION("""COMPUTED_VALUE"""),"")</f>
        <v/>
      </c>
      <c r="AW94" s="2" t="str">
        <f ca="1">IFERROR(__xludf.DUMMYFUNCTION("""COMPUTED_VALUE"""),"")</f>
        <v/>
      </c>
      <c r="AX94" s="2" t="str">
        <f ca="1">IFERROR(__xludf.DUMMYFUNCTION("""COMPUTED_VALUE"""),"")</f>
        <v/>
      </c>
      <c r="AY94" s="2" t="str">
        <f ca="1">IFERROR(__xludf.DUMMYFUNCTION("""COMPUTED_VALUE"""),"")</f>
        <v/>
      </c>
      <c r="AZ94" s="2" t="str">
        <f ca="1">IFERROR(__xludf.DUMMYFUNCTION("""COMPUTED_VALUE"""),"")</f>
        <v/>
      </c>
      <c r="BA94" s="2" t="str">
        <f ca="1">IFERROR(__xludf.DUMMYFUNCTION("""COMPUTED_VALUE"""),"")</f>
        <v/>
      </c>
      <c r="BB94" s="2" t="str">
        <f ca="1">IFERROR(__xludf.DUMMYFUNCTION("""COMPUTED_VALUE"""),"")</f>
        <v/>
      </c>
      <c r="BC94" s="2" t="str">
        <f ca="1">IFERROR(__xludf.DUMMYFUNCTION("""COMPUTED_VALUE"""),"")</f>
        <v/>
      </c>
      <c r="BD94" s="2" t="str">
        <f ca="1">IFERROR(__xludf.DUMMYFUNCTION("""COMPUTED_VALUE"""),"")</f>
        <v/>
      </c>
      <c r="BE94" s="2" t="str">
        <f ca="1">IFERROR(__xludf.DUMMYFUNCTION("""COMPUTED_VALUE"""),"")</f>
        <v/>
      </c>
      <c r="BF94" t="str">
        <f ca="1">IFERROR(__xludf.DUMMYFUNCTION("""COMPUTED_VALUE"""),"")</f>
        <v/>
      </c>
      <c r="BG94" t="str">
        <f ca="1">IFERROR(__xludf.DUMMYFUNCTION("""COMPUTED_VALUE"""),"")</f>
        <v/>
      </c>
      <c r="BH94" s="2">
        <f ca="1">IFERROR(__xludf.DUMMYFUNCTION("""COMPUTED_VALUE"""),-37.3433723)</f>
        <v>-37.343372299999999</v>
      </c>
      <c r="BI94" s="13">
        <f ca="1">IFERROR(__xludf.DUMMYFUNCTION("""COMPUTED_VALUE"""),175.1560516)</f>
        <v>175.15605160000001</v>
      </c>
      <c r="BJ94" s="9">
        <f ca="1">IFERROR(__xludf.DUMMYFUNCTION("""COMPUTED_VALUE"""),43408)</f>
        <v>43408</v>
      </c>
      <c r="BK94" s="4">
        <f ca="1">IFERROR(__xludf.DUMMYFUNCTION("""COMPUTED_VALUE"""),0.457777777777664)</f>
        <v>0.45777777777766399</v>
      </c>
    </row>
    <row r="95" spans="1:63" ht="12.5" x14ac:dyDescent="0.25">
      <c r="A95" s="7" t="str">
        <f ca="1">IFERROR(__xludf.DUMMYFUNCTION("""COMPUTED_VALUE"""),"")</f>
        <v/>
      </c>
      <c r="B95" s="8" t="str">
        <f ca="1">IFERROR(__xludf.DUMMYFUNCTION("""COMPUTED_VALUE"""),"Waikato")</f>
        <v>Waikato</v>
      </c>
      <c r="C95" s="2">
        <f ca="1">IFERROR(__xludf.DUMMYFUNCTION("""COMPUTED_VALUE"""),64)</f>
        <v>64</v>
      </c>
      <c r="D95" s="9" t="str">
        <f ca="1">IFERROR(__xludf.DUMMYFUNCTION("""COMPUTED_VALUE"""),"")</f>
        <v/>
      </c>
      <c r="E95" s="4" t="str">
        <f ca="1">IFERROR(__xludf.DUMMYFUNCTION("""COMPUTED_VALUE"""),"")</f>
        <v/>
      </c>
      <c r="F95" s="2" t="str">
        <f ca="1">IFERROR(__xludf.DUMMYFUNCTION("""COMPUTED_VALUE"""),"")</f>
        <v/>
      </c>
      <c r="G95" s="2" t="str">
        <f ca="1">IFERROR(__xludf.DUMMYFUNCTION("""COMPUTED_VALUE"""),"GPS: I converted data downloaded from ARGOS using Pinpoint software")</f>
        <v>GPS: I converted data downloaded from ARGOS using Pinpoint software</v>
      </c>
      <c r="H95" s="2" t="str">
        <f ca="1">IFERROR(__xludf.DUMMYFUNCTION("""COMPUTED_VALUE"""),"3D")</f>
        <v>3D</v>
      </c>
      <c r="I95" s="2" t="str">
        <f ca="1">IFERROR(__xludf.DUMMYFUNCTION("""COMPUTED_VALUE"""),"")</f>
        <v/>
      </c>
      <c r="J95" s="2" t="str">
        <f ca="1">IFERROR(__xludf.DUMMYFUNCTION("""COMPUTED_VALUE"""),"")</f>
        <v/>
      </c>
      <c r="K95" s="2" t="str">
        <f ca="1">IFERROR(__xludf.DUMMYFUNCTION("""COMPUTED_VALUE"""),"")</f>
        <v/>
      </c>
      <c r="L95" s="2" t="str">
        <f ca="1">IFERROR(__xludf.DUMMYFUNCTION("""COMPUTED_VALUE"""),"")</f>
        <v/>
      </c>
      <c r="M95" s="5" t="str">
        <f ca="1">IFERROR(__xludf.DUMMYFUNCTION("""COMPUTED_VALUE"""),"")</f>
        <v/>
      </c>
      <c r="N95" s="5" t="str">
        <f ca="1">IFERROR(__xludf.DUMMYFUNCTION("""COMPUTED_VALUE"""),"")</f>
        <v/>
      </c>
      <c r="O95" s="2" t="str">
        <f ca="1">IFERROR(__xludf.DUMMYFUNCTION("""COMPUTED_VALUE"""),"")</f>
        <v/>
      </c>
      <c r="P95" s="2" t="str">
        <f ca="1">IFERROR(__xludf.DUMMYFUNCTION("""COMPUTED_VALUE"""),"")</f>
        <v/>
      </c>
      <c r="Q95" s="2" t="str">
        <f ca="1">IFERROR(__xludf.DUMMYFUNCTION("""COMPUTED_VALUE"""),"")</f>
        <v/>
      </c>
      <c r="R95" s="2" t="str">
        <f ca="1">IFERROR(__xludf.DUMMYFUNCTION("""COMPUTED_VALUE"""),"")</f>
        <v/>
      </c>
      <c r="S95" s="2" t="str">
        <f ca="1">IFERROR(__xludf.DUMMYFUNCTION("""COMPUTED_VALUE"""),"")</f>
        <v/>
      </c>
      <c r="T95" s="2" t="str">
        <f ca="1">IFERROR(__xludf.DUMMYFUNCTION("""COMPUTED_VALUE"""),"")</f>
        <v/>
      </c>
      <c r="U95" s="2" t="str">
        <f ca="1">IFERROR(__xludf.DUMMYFUNCTION("""COMPUTED_VALUE"""),"")</f>
        <v/>
      </c>
      <c r="V95" s="2" t="str">
        <f ca="1">IFERROR(__xludf.DUMMYFUNCTION("""COMPUTED_VALUE"""),"")</f>
        <v/>
      </c>
      <c r="W95" s="2" t="str">
        <f ca="1">IFERROR(__xludf.DUMMYFUNCTION("""COMPUTED_VALUE"""),"")</f>
        <v/>
      </c>
      <c r="X95" s="2" t="str">
        <f ca="1">IFERROR(__xludf.DUMMYFUNCTION("""COMPUTED_VALUE"""),"")</f>
        <v/>
      </c>
      <c r="Y95" s="2" t="str">
        <f ca="1">IFERROR(__xludf.DUMMYFUNCTION("""COMPUTED_VALUE"""),"")</f>
        <v/>
      </c>
      <c r="Z95" s="2" t="str">
        <f ca="1">IFERROR(__xludf.DUMMYFUNCTION("""COMPUTED_VALUE"""),"")</f>
        <v/>
      </c>
      <c r="AA95" s="2" t="str">
        <f ca="1">IFERROR(__xludf.DUMMYFUNCTION("""COMPUTED_VALUE"""),"")</f>
        <v/>
      </c>
      <c r="AB95" s="2" t="str">
        <f ca="1">IFERROR(__xludf.DUMMYFUNCTION("""COMPUTED_VALUE"""),"")</f>
        <v/>
      </c>
      <c r="AC95" s="2" t="str">
        <f ca="1">IFERROR(__xludf.DUMMYFUNCTION("""COMPUTED_VALUE"""),"")</f>
        <v/>
      </c>
      <c r="AD95" s="2" t="str">
        <f ca="1">IFERROR(__xludf.DUMMYFUNCTION("""COMPUTED_VALUE"""),"")</f>
        <v/>
      </c>
      <c r="AE95" s="2" t="str">
        <f ca="1">IFERROR(__xludf.DUMMYFUNCTION("""COMPUTED_VALUE"""),"")</f>
        <v/>
      </c>
      <c r="AF95" s="2" t="str">
        <f ca="1">IFERROR(__xludf.DUMMYFUNCTION("""COMPUTED_VALUE"""),"")</f>
        <v/>
      </c>
      <c r="AG95" s="2" t="str">
        <f ca="1">IFERROR(__xludf.DUMMYFUNCTION("""COMPUTED_VALUE"""),"")</f>
        <v/>
      </c>
      <c r="AH95" s="2" t="str">
        <f ca="1">IFERROR(__xludf.DUMMYFUNCTION("""COMPUTED_VALUE"""),"")</f>
        <v/>
      </c>
      <c r="AI95" s="2" t="str">
        <f ca="1">IFERROR(__xludf.DUMMYFUNCTION("""COMPUTED_VALUE"""),"")</f>
        <v/>
      </c>
      <c r="AJ95" s="2" t="str">
        <f ca="1">IFERROR(__xludf.DUMMYFUNCTION("""COMPUTED_VALUE"""),"")</f>
        <v/>
      </c>
      <c r="AK95" s="2" t="str">
        <f ca="1">IFERROR(__xludf.DUMMYFUNCTION("""COMPUTED_VALUE"""),"")</f>
        <v/>
      </c>
      <c r="AL95" s="2" t="str">
        <f ca="1">IFERROR(__xludf.DUMMYFUNCTION("""COMPUTED_VALUE"""),"")</f>
        <v/>
      </c>
      <c r="AM95" s="2" t="str">
        <f ca="1">IFERROR(__xludf.DUMMYFUNCTION("""COMPUTED_VALUE"""),"")</f>
        <v/>
      </c>
      <c r="AN95" s="2" t="str">
        <f ca="1">IFERROR(__xludf.DUMMYFUNCTION("""COMPUTED_VALUE"""),"")</f>
        <v/>
      </c>
      <c r="AO95" s="2" t="str">
        <f ca="1">IFERROR(__xludf.DUMMYFUNCTION("""COMPUTED_VALUE"""),"")</f>
        <v/>
      </c>
      <c r="AP95" s="2" t="str">
        <f ca="1">IFERROR(__xludf.DUMMYFUNCTION("""COMPUTED_VALUE"""),"")</f>
        <v/>
      </c>
      <c r="AQ95" s="2" t="str">
        <f ca="1">IFERROR(__xludf.DUMMYFUNCTION("""COMPUTED_VALUE"""),"")</f>
        <v/>
      </c>
      <c r="AR95" s="2" t="str">
        <f ca="1">IFERROR(__xludf.DUMMYFUNCTION("""COMPUTED_VALUE"""),"")</f>
        <v/>
      </c>
      <c r="AS95" s="2" t="str">
        <f ca="1">IFERROR(__xludf.DUMMYFUNCTION("""COMPUTED_VALUE"""),"")</f>
        <v/>
      </c>
      <c r="AT95" s="2" t="str">
        <f ca="1">IFERROR(__xludf.DUMMYFUNCTION("""COMPUTED_VALUE"""),"")</f>
        <v/>
      </c>
      <c r="AU95" s="2" t="str">
        <f ca="1">IFERROR(__xludf.DUMMYFUNCTION("""COMPUTED_VALUE"""),"")</f>
        <v/>
      </c>
      <c r="AV95" s="2" t="str">
        <f ca="1">IFERROR(__xludf.DUMMYFUNCTION("""COMPUTED_VALUE"""),"")</f>
        <v/>
      </c>
      <c r="AW95" s="2" t="str">
        <f ca="1">IFERROR(__xludf.DUMMYFUNCTION("""COMPUTED_VALUE"""),"")</f>
        <v/>
      </c>
      <c r="AX95" s="2" t="str">
        <f ca="1">IFERROR(__xludf.DUMMYFUNCTION("""COMPUTED_VALUE"""),"")</f>
        <v/>
      </c>
      <c r="AY95" s="2" t="str">
        <f ca="1">IFERROR(__xludf.DUMMYFUNCTION("""COMPUTED_VALUE"""),"")</f>
        <v/>
      </c>
      <c r="AZ95" s="2" t="str">
        <f ca="1">IFERROR(__xludf.DUMMYFUNCTION("""COMPUTED_VALUE"""),"")</f>
        <v/>
      </c>
      <c r="BA95" s="2" t="str">
        <f ca="1">IFERROR(__xludf.DUMMYFUNCTION("""COMPUTED_VALUE"""),"")</f>
        <v/>
      </c>
      <c r="BB95" s="2" t="str">
        <f ca="1">IFERROR(__xludf.DUMMYFUNCTION("""COMPUTED_VALUE"""),"")</f>
        <v/>
      </c>
      <c r="BC95" s="2" t="str">
        <f ca="1">IFERROR(__xludf.DUMMYFUNCTION("""COMPUTED_VALUE"""),"")</f>
        <v/>
      </c>
      <c r="BD95" s="2" t="str">
        <f ca="1">IFERROR(__xludf.DUMMYFUNCTION("""COMPUTED_VALUE"""),"")</f>
        <v/>
      </c>
      <c r="BE95" s="2" t="str">
        <f ca="1">IFERROR(__xludf.DUMMYFUNCTION("""COMPUTED_VALUE"""),"")</f>
        <v/>
      </c>
      <c r="BF95" t="str">
        <f ca="1">IFERROR(__xludf.DUMMYFUNCTION("""COMPUTED_VALUE"""),"")</f>
        <v/>
      </c>
      <c r="BG95" t="str">
        <f ca="1">IFERROR(__xludf.DUMMYFUNCTION("""COMPUTED_VALUE"""),"")</f>
        <v/>
      </c>
      <c r="BH95" s="2">
        <f ca="1">IFERROR(__xludf.DUMMYFUNCTION("""COMPUTED_VALUE"""),-37.3430672)</f>
        <v>-37.3430672</v>
      </c>
      <c r="BI95" s="12">
        <f ca="1">IFERROR(__xludf.DUMMYFUNCTION("""COMPUTED_VALUE"""),175.1591034)</f>
        <v>175.15910339999999</v>
      </c>
      <c r="BJ95" s="9">
        <f ca="1">IFERROR(__xludf.DUMMYFUNCTION("""COMPUTED_VALUE"""),43408)</f>
        <v>43408</v>
      </c>
      <c r="BK95" s="4">
        <f ca="1">IFERROR(__xludf.DUMMYFUNCTION("""COMPUTED_VALUE"""),0.958518518516939)</f>
        <v>0.95851851851693903</v>
      </c>
    </row>
    <row r="96" spans="1:63" ht="12.5" x14ac:dyDescent="0.25">
      <c r="A96" s="7" t="str">
        <f ca="1">IFERROR(__xludf.DUMMYFUNCTION("""COMPUTED_VALUE"""),"")</f>
        <v/>
      </c>
      <c r="B96" s="8" t="str">
        <f ca="1">IFERROR(__xludf.DUMMYFUNCTION("""COMPUTED_VALUE"""),"Waikato")</f>
        <v>Waikato</v>
      </c>
      <c r="C96" s="2">
        <f ca="1">IFERROR(__xludf.DUMMYFUNCTION("""COMPUTED_VALUE"""),64)</f>
        <v>64</v>
      </c>
      <c r="D96" s="9" t="str">
        <f ca="1">IFERROR(__xludf.DUMMYFUNCTION("""COMPUTED_VALUE"""),"")</f>
        <v/>
      </c>
      <c r="E96" s="4" t="str">
        <f ca="1">IFERROR(__xludf.DUMMYFUNCTION("""COMPUTED_VALUE"""),"")</f>
        <v/>
      </c>
      <c r="F96" s="2" t="str">
        <f ca="1">IFERROR(__xludf.DUMMYFUNCTION("""COMPUTED_VALUE"""),"")</f>
        <v/>
      </c>
      <c r="G96" s="2" t="str">
        <f ca="1">IFERROR(__xludf.DUMMYFUNCTION("""COMPUTED_VALUE"""),"GPS: I converted data downloaded from ARGOS using Pinpoint software")</f>
        <v>GPS: I converted data downloaded from ARGOS using Pinpoint software</v>
      </c>
      <c r="H96" s="2" t="str">
        <f ca="1">IFERROR(__xludf.DUMMYFUNCTION("""COMPUTED_VALUE"""),"3D")</f>
        <v>3D</v>
      </c>
      <c r="I96" s="2" t="str">
        <f ca="1">IFERROR(__xludf.DUMMYFUNCTION("""COMPUTED_VALUE"""),"")</f>
        <v/>
      </c>
      <c r="J96" s="2" t="str">
        <f ca="1">IFERROR(__xludf.DUMMYFUNCTION("""COMPUTED_VALUE"""),"")</f>
        <v/>
      </c>
      <c r="K96" s="2" t="str">
        <f ca="1">IFERROR(__xludf.DUMMYFUNCTION("""COMPUTED_VALUE"""),"")</f>
        <v/>
      </c>
      <c r="L96" s="2" t="str">
        <f ca="1">IFERROR(__xludf.DUMMYFUNCTION("""COMPUTED_VALUE"""),"")</f>
        <v/>
      </c>
      <c r="M96" s="5" t="str">
        <f ca="1">IFERROR(__xludf.DUMMYFUNCTION("""COMPUTED_VALUE"""),"")</f>
        <v/>
      </c>
      <c r="N96" s="5" t="str">
        <f ca="1">IFERROR(__xludf.DUMMYFUNCTION("""COMPUTED_VALUE"""),"")</f>
        <v/>
      </c>
      <c r="O96" s="2" t="str">
        <f ca="1">IFERROR(__xludf.DUMMYFUNCTION("""COMPUTED_VALUE"""),"")</f>
        <v/>
      </c>
      <c r="P96" s="2" t="str">
        <f ca="1">IFERROR(__xludf.DUMMYFUNCTION("""COMPUTED_VALUE"""),"")</f>
        <v/>
      </c>
      <c r="Q96" s="2" t="str">
        <f ca="1">IFERROR(__xludf.DUMMYFUNCTION("""COMPUTED_VALUE"""),"")</f>
        <v/>
      </c>
      <c r="R96" s="2" t="str">
        <f ca="1">IFERROR(__xludf.DUMMYFUNCTION("""COMPUTED_VALUE"""),"")</f>
        <v/>
      </c>
      <c r="S96" s="2" t="str">
        <f ca="1">IFERROR(__xludf.DUMMYFUNCTION("""COMPUTED_VALUE"""),"")</f>
        <v/>
      </c>
      <c r="T96" s="2" t="str">
        <f ca="1">IFERROR(__xludf.DUMMYFUNCTION("""COMPUTED_VALUE"""),"")</f>
        <v/>
      </c>
      <c r="U96" s="2" t="str">
        <f ca="1">IFERROR(__xludf.DUMMYFUNCTION("""COMPUTED_VALUE"""),"")</f>
        <v/>
      </c>
      <c r="V96" s="2" t="str">
        <f ca="1">IFERROR(__xludf.DUMMYFUNCTION("""COMPUTED_VALUE"""),"")</f>
        <v/>
      </c>
      <c r="W96" s="2" t="str">
        <f ca="1">IFERROR(__xludf.DUMMYFUNCTION("""COMPUTED_VALUE"""),"")</f>
        <v/>
      </c>
      <c r="X96" s="2" t="str">
        <f ca="1">IFERROR(__xludf.DUMMYFUNCTION("""COMPUTED_VALUE"""),"")</f>
        <v/>
      </c>
      <c r="Y96" s="2" t="str">
        <f ca="1">IFERROR(__xludf.DUMMYFUNCTION("""COMPUTED_VALUE"""),"")</f>
        <v/>
      </c>
      <c r="Z96" s="2" t="str">
        <f ca="1">IFERROR(__xludf.DUMMYFUNCTION("""COMPUTED_VALUE"""),"")</f>
        <v/>
      </c>
      <c r="AA96" s="2" t="str">
        <f ca="1">IFERROR(__xludf.DUMMYFUNCTION("""COMPUTED_VALUE"""),"")</f>
        <v/>
      </c>
      <c r="AB96" s="2" t="str">
        <f ca="1">IFERROR(__xludf.DUMMYFUNCTION("""COMPUTED_VALUE"""),"")</f>
        <v/>
      </c>
      <c r="AC96" s="2" t="str">
        <f ca="1">IFERROR(__xludf.DUMMYFUNCTION("""COMPUTED_VALUE"""),"")</f>
        <v/>
      </c>
      <c r="AD96" s="2" t="str">
        <f ca="1">IFERROR(__xludf.DUMMYFUNCTION("""COMPUTED_VALUE"""),"")</f>
        <v/>
      </c>
      <c r="AE96" s="2" t="str">
        <f ca="1">IFERROR(__xludf.DUMMYFUNCTION("""COMPUTED_VALUE"""),"")</f>
        <v/>
      </c>
      <c r="AF96" s="2" t="str">
        <f ca="1">IFERROR(__xludf.DUMMYFUNCTION("""COMPUTED_VALUE"""),"")</f>
        <v/>
      </c>
      <c r="AG96" s="2" t="str">
        <f ca="1">IFERROR(__xludf.DUMMYFUNCTION("""COMPUTED_VALUE"""),"")</f>
        <v/>
      </c>
      <c r="AH96" s="2" t="str">
        <f ca="1">IFERROR(__xludf.DUMMYFUNCTION("""COMPUTED_VALUE"""),"")</f>
        <v/>
      </c>
      <c r="AI96" s="2" t="str">
        <f ca="1">IFERROR(__xludf.DUMMYFUNCTION("""COMPUTED_VALUE"""),"")</f>
        <v/>
      </c>
      <c r="AJ96" s="2" t="str">
        <f ca="1">IFERROR(__xludf.DUMMYFUNCTION("""COMPUTED_VALUE"""),"")</f>
        <v/>
      </c>
      <c r="AK96" s="2" t="str">
        <f ca="1">IFERROR(__xludf.DUMMYFUNCTION("""COMPUTED_VALUE"""),"")</f>
        <v/>
      </c>
      <c r="AL96" s="2" t="str">
        <f ca="1">IFERROR(__xludf.DUMMYFUNCTION("""COMPUTED_VALUE"""),"")</f>
        <v/>
      </c>
      <c r="AM96" s="2" t="str">
        <f ca="1">IFERROR(__xludf.DUMMYFUNCTION("""COMPUTED_VALUE"""),"")</f>
        <v/>
      </c>
      <c r="AN96" s="2" t="str">
        <f ca="1">IFERROR(__xludf.DUMMYFUNCTION("""COMPUTED_VALUE"""),"")</f>
        <v/>
      </c>
      <c r="AO96" s="2" t="str">
        <f ca="1">IFERROR(__xludf.DUMMYFUNCTION("""COMPUTED_VALUE"""),"")</f>
        <v/>
      </c>
      <c r="AP96" s="2" t="str">
        <f ca="1">IFERROR(__xludf.DUMMYFUNCTION("""COMPUTED_VALUE"""),"")</f>
        <v/>
      </c>
      <c r="AQ96" s="2" t="str">
        <f ca="1">IFERROR(__xludf.DUMMYFUNCTION("""COMPUTED_VALUE"""),"")</f>
        <v/>
      </c>
      <c r="AR96" s="2" t="str">
        <f ca="1">IFERROR(__xludf.DUMMYFUNCTION("""COMPUTED_VALUE"""),"")</f>
        <v/>
      </c>
      <c r="AS96" s="2" t="str">
        <f ca="1">IFERROR(__xludf.DUMMYFUNCTION("""COMPUTED_VALUE"""),"")</f>
        <v/>
      </c>
      <c r="AT96" s="2" t="str">
        <f ca="1">IFERROR(__xludf.DUMMYFUNCTION("""COMPUTED_VALUE"""),"")</f>
        <v/>
      </c>
      <c r="AU96" s="2" t="str">
        <f ca="1">IFERROR(__xludf.DUMMYFUNCTION("""COMPUTED_VALUE"""),"")</f>
        <v/>
      </c>
      <c r="AV96" s="2" t="str">
        <f ca="1">IFERROR(__xludf.DUMMYFUNCTION("""COMPUTED_VALUE"""),"")</f>
        <v/>
      </c>
      <c r="AW96" s="2" t="str">
        <f ca="1">IFERROR(__xludf.DUMMYFUNCTION("""COMPUTED_VALUE"""),"")</f>
        <v/>
      </c>
      <c r="AX96" s="2" t="str">
        <f ca="1">IFERROR(__xludf.DUMMYFUNCTION("""COMPUTED_VALUE"""),"")</f>
        <v/>
      </c>
      <c r="AY96" s="2" t="str">
        <f ca="1">IFERROR(__xludf.DUMMYFUNCTION("""COMPUTED_VALUE"""),"")</f>
        <v/>
      </c>
      <c r="AZ96" s="2" t="str">
        <f ca="1">IFERROR(__xludf.DUMMYFUNCTION("""COMPUTED_VALUE"""),"")</f>
        <v/>
      </c>
      <c r="BA96" s="2" t="str">
        <f ca="1">IFERROR(__xludf.DUMMYFUNCTION("""COMPUTED_VALUE"""),"")</f>
        <v/>
      </c>
      <c r="BB96" s="2" t="str">
        <f ca="1">IFERROR(__xludf.DUMMYFUNCTION("""COMPUTED_VALUE"""),"")</f>
        <v/>
      </c>
      <c r="BC96" s="2" t="str">
        <f ca="1">IFERROR(__xludf.DUMMYFUNCTION("""COMPUTED_VALUE"""),"")</f>
        <v/>
      </c>
      <c r="BD96" s="2" t="str">
        <f ca="1">IFERROR(__xludf.DUMMYFUNCTION("""COMPUTED_VALUE"""),"")</f>
        <v/>
      </c>
      <c r="BE96" s="2" t="str">
        <f ca="1">IFERROR(__xludf.DUMMYFUNCTION("""COMPUTED_VALUE"""),"")</f>
        <v/>
      </c>
      <c r="BF96" t="str">
        <f ca="1">IFERROR(__xludf.DUMMYFUNCTION("""COMPUTED_VALUE"""),"")</f>
        <v/>
      </c>
      <c r="BG96" t="str">
        <f ca="1">IFERROR(__xludf.DUMMYFUNCTION("""COMPUTED_VALUE"""),"")</f>
        <v/>
      </c>
      <c r="BH96" s="2">
        <f ca="1">IFERROR(__xludf.DUMMYFUNCTION("""COMPUTED_VALUE"""),-37.2866707)</f>
        <v>-37.286670700000002</v>
      </c>
      <c r="BI96" s="13">
        <f ca="1">IFERROR(__xludf.DUMMYFUNCTION("""COMPUTED_VALUE"""),175.1443787)</f>
        <v>175.1443787</v>
      </c>
      <c r="BJ96" s="9">
        <f ca="1">IFERROR(__xludf.DUMMYFUNCTION("""COMPUTED_VALUE"""),43410)</f>
        <v>43410</v>
      </c>
      <c r="BK96" s="4">
        <f ca="1">IFERROR(__xludf.DUMMYFUNCTION("""COMPUTED_VALUE"""),0.457777777777664)</f>
        <v>0.45777777777766399</v>
      </c>
    </row>
    <row r="97" spans="1:63" ht="12.5" x14ac:dyDescent="0.25">
      <c r="A97" s="7" t="str">
        <f ca="1">IFERROR(__xludf.DUMMYFUNCTION("""COMPUTED_VALUE"""),"")</f>
        <v/>
      </c>
      <c r="B97" s="8" t="str">
        <f ca="1">IFERROR(__xludf.DUMMYFUNCTION("""COMPUTED_VALUE"""),"Waikato")</f>
        <v>Waikato</v>
      </c>
      <c r="C97" s="2">
        <f ca="1">IFERROR(__xludf.DUMMYFUNCTION("""COMPUTED_VALUE"""),64)</f>
        <v>64</v>
      </c>
      <c r="D97" s="9" t="str">
        <f ca="1">IFERROR(__xludf.DUMMYFUNCTION("""COMPUTED_VALUE"""),"")</f>
        <v/>
      </c>
      <c r="E97" s="4" t="str">
        <f ca="1">IFERROR(__xludf.DUMMYFUNCTION("""COMPUTED_VALUE"""),"")</f>
        <v/>
      </c>
      <c r="F97" s="2" t="str">
        <f ca="1">IFERROR(__xludf.DUMMYFUNCTION("""COMPUTED_VALUE"""),"")</f>
        <v/>
      </c>
      <c r="G97" s="2" t="str">
        <f ca="1">IFERROR(__xludf.DUMMYFUNCTION("""COMPUTED_VALUE"""),"GPS: I converted data downloaded from ARGOS using Pinpoint software")</f>
        <v>GPS: I converted data downloaded from ARGOS using Pinpoint software</v>
      </c>
      <c r="H97" s="2" t="str">
        <f ca="1">IFERROR(__xludf.DUMMYFUNCTION("""COMPUTED_VALUE"""),"3D")</f>
        <v>3D</v>
      </c>
      <c r="I97" s="2" t="str">
        <f ca="1">IFERROR(__xludf.DUMMYFUNCTION("""COMPUTED_VALUE"""),"")</f>
        <v/>
      </c>
      <c r="J97" s="2" t="str">
        <f ca="1">IFERROR(__xludf.DUMMYFUNCTION("""COMPUTED_VALUE"""),"")</f>
        <v/>
      </c>
      <c r="K97" s="2" t="str">
        <f ca="1">IFERROR(__xludf.DUMMYFUNCTION("""COMPUTED_VALUE"""),"")</f>
        <v/>
      </c>
      <c r="L97" s="2" t="str">
        <f ca="1">IFERROR(__xludf.DUMMYFUNCTION("""COMPUTED_VALUE"""),"")</f>
        <v/>
      </c>
      <c r="M97" s="5" t="str">
        <f ca="1">IFERROR(__xludf.DUMMYFUNCTION("""COMPUTED_VALUE"""),"")</f>
        <v/>
      </c>
      <c r="N97" s="5" t="str">
        <f ca="1">IFERROR(__xludf.DUMMYFUNCTION("""COMPUTED_VALUE"""),"")</f>
        <v/>
      </c>
      <c r="O97" s="2" t="str">
        <f ca="1">IFERROR(__xludf.DUMMYFUNCTION("""COMPUTED_VALUE"""),"")</f>
        <v/>
      </c>
      <c r="P97" s="2" t="str">
        <f ca="1">IFERROR(__xludf.DUMMYFUNCTION("""COMPUTED_VALUE"""),"")</f>
        <v/>
      </c>
      <c r="Q97" s="2" t="str">
        <f ca="1">IFERROR(__xludf.DUMMYFUNCTION("""COMPUTED_VALUE"""),"")</f>
        <v/>
      </c>
      <c r="R97" s="2" t="str">
        <f ca="1">IFERROR(__xludf.DUMMYFUNCTION("""COMPUTED_VALUE"""),"")</f>
        <v/>
      </c>
      <c r="S97" s="2" t="str">
        <f ca="1">IFERROR(__xludf.DUMMYFUNCTION("""COMPUTED_VALUE"""),"")</f>
        <v/>
      </c>
      <c r="T97" s="2" t="str">
        <f ca="1">IFERROR(__xludf.DUMMYFUNCTION("""COMPUTED_VALUE"""),"")</f>
        <v/>
      </c>
      <c r="U97" s="2" t="str">
        <f ca="1">IFERROR(__xludf.DUMMYFUNCTION("""COMPUTED_VALUE"""),"")</f>
        <v/>
      </c>
      <c r="V97" s="2" t="str">
        <f ca="1">IFERROR(__xludf.DUMMYFUNCTION("""COMPUTED_VALUE"""),"")</f>
        <v/>
      </c>
      <c r="W97" s="2" t="str">
        <f ca="1">IFERROR(__xludf.DUMMYFUNCTION("""COMPUTED_VALUE"""),"")</f>
        <v/>
      </c>
      <c r="X97" s="2" t="str">
        <f ca="1">IFERROR(__xludf.DUMMYFUNCTION("""COMPUTED_VALUE"""),"")</f>
        <v/>
      </c>
      <c r="Y97" s="2" t="str">
        <f ca="1">IFERROR(__xludf.DUMMYFUNCTION("""COMPUTED_VALUE"""),"")</f>
        <v/>
      </c>
      <c r="Z97" s="2" t="str">
        <f ca="1">IFERROR(__xludf.DUMMYFUNCTION("""COMPUTED_VALUE"""),"")</f>
        <v/>
      </c>
      <c r="AA97" s="2" t="str">
        <f ca="1">IFERROR(__xludf.DUMMYFUNCTION("""COMPUTED_VALUE"""),"")</f>
        <v/>
      </c>
      <c r="AB97" s="2" t="str">
        <f ca="1">IFERROR(__xludf.DUMMYFUNCTION("""COMPUTED_VALUE"""),"")</f>
        <v/>
      </c>
      <c r="AC97" s="2" t="str">
        <f ca="1">IFERROR(__xludf.DUMMYFUNCTION("""COMPUTED_VALUE"""),"")</f>
        <v/>
      </c>
      <c r="AD97" s="2" t="str">
        <f ca="1">IFERROR(__xludf.DUMMYFUNCTION("""COMPUTED_VALUE"""),"")</f>
        <v/>
      </c>
      <c r="AE97" s="2" t="str">
        <f ca="1">IFERROR(__xludf.DUMMYFUNCTION("""COMPUTED_VALUE"""),"")</f>
        <v/>
      </c>
      <c r="AF97" s="2" t="str">
        <f ca="1">IFERROR(__xludf.DUMMYFUNCTION("""COMPUTED_VALUE"""),"")</f>
        <v/>
      </c>
      <c r="AG97" s="2" t="str">
        <f ca="1">IFERROR(__xludf.DUMMYFUNCTION("""COMPUTED_VALUE"""),"")</f>
        <v/>
      </c>
      <c r="AH97" s="2" t="str">
        <f ca="1">IFERROR(__xludf.DUMMYFUNCTION("""COMPUTED_VALUE"""),"")</f>
        <v/>
      </c>
      <c r="AI97" s="2" t="str">
        <f ca="1">IFERROR(__xludf.DUMMYFUNCTION("""COMPUTED_VALUE"""),"")</f>
        <v/>
      </c>
      <c r="AJ97" s="2" t="str">
        <f ca="1">IFERROR(__xludf.DUMMYFUNCTION("""COMPUTED_VALUE"""),"")</f>
        <v/>
      </c>
      <c r="AK97" s="2" t="str">
        <f ca="1">IFERROR(__xludf.DUMMYFUNCTION("""COMPUTED_VALUE"""),"")</f>
        <v/>
      </c>
      <c r="AL97" s="2" t="str">
        <f ca="1">IFERROR(__xludf.DUMMYFUNCTION("""COMPUTED_VALUE"""),"")</f>
        <v/>
      </c>
      <c r="AM97" s="2" t="str">
        <f ca="1">IFERROR(__xludf.DUMMYFUNCTION("""COMPUTED_VALUE"""),"")</f>
        <v/>
      </c>
      <c r="AN97" s="2" t="str">
        <f ca="1">IFERROR(__xludf.DUMMYFUNCTION("""COMPUTED_VALUE"""),"")</f>
        <v/>
      </c>
      <c r="AO97" s="2" t="str">
        <f ca="1">IFERROR(__xludf.DUMMYFUNCTION("""COMPUTED_VALUE"""),"")</f>
        <v/>
      </c>
      <c r="AP97" s="2" t="str">
        <f ca="1">IFERROR(__xludf.DUMMYFUNCTION("""COMPUTED_VALUE"""),"")</f>
        <v/>
      </c>
      <c r="AQ97" s="2" t="str">
        <f ca="1">IFERROR(__xludf.DUMMYFUNCTION("""COMPUTED_VALUE"""),"")</f>
        <v/>
      </c>
      <c r="AR97" s="2" t="str">
        <f ca="1">IFERROR(__xludf.DUMMYFUNCTION("""COMPUTED_VALUE"""),"")</f>
        <v/>
      </c>
      <c r="AS97" s="2" t="str">
        <f ca="1">IFERROR(__xludf.DUMMYFUNCTION("""COMPUTED_VALUE"""),"")</f>
        <v/>
      </c>
      <c r="AT97" s="2" t="str">
        <f ca="1">IFERROR(__xludf.DUMMYFUNCTION("""COMPUTED_VALUE"""),"")</f>
        <v/>
      </c>
      <c r="AU97" s="2" t="str">
        <f ca="1">IFERROR(__xludf.DUMMYFUNCTION("""COMPUTED_VALUE"""),"")</f>
        <v/>
      </c>
      <c r="AV97" s="2" t="str">
        <f ca="1">IFERROR(__xludf.DUMMYFUNCTION("""COMPUTED_VALUE"""),"")</f>
        <v/>
      </c>
      <c r="AW97" s="2" t="str">
        <f ca="1">IFERROR(__xludf.DUMMYFUNCTION("""COMPUTED_VALUE"""),"")</f>
        <v/>
      </c>
      <c r="AX97" s="2" t="str">
        <f ca="1">IFERROR(__xludf.DUMMYFUNCTION("""COMPUTED_VALUE"""),"")</f>
        <v/>
      </c>
      <c r="AY97" s="2" t="str">
        <f ca="1">IFERROR(__xludf.DUMMYFUNCTION("""COMPUTED_VALUE"""),"")</f>
        <v/>
      </c>
      <c r="AZ97" s="2" t="str">
        <f ca="1">IFERROR(__xludf.DUMMYFUNCTION("""COMPUTED_VALUE"""),"")</f>
        <v/>
      </c>
      <c r="BA97" s="2" t="str">
        <f ca="1">IFERROR(__xludf.DUMMYFUNCTION("""COMPUTED_VALUE"""),"")</f>
        <v/>
      </c>
      <c r="BB97" s="2" t="str">
        <f ca="1">IFERROR(__xludf.DUMMYFUNCTION("""COMPUTED_VALUE"""),"")</f>
        <v/>
      </c>
      <c r="BC97" s="2" t="str">
        <f ca="1">IFERROR(__xludf.DUMMYFUNCTION("""COMPUTED_VALUE"""),"")</f>
        <v/>
      </c>
      <c r="BD97" s="2" t="str">
        <f ca="1">IFERROR(__xludf.DUMMYFUNCTION("""COMPUTED_VALUE"""),"")</f>
        <v/>
      </c>
      <c r="BE97" s="2" t="str">
        <f ca="1">IFERROR(__xludf.DUMMYFUNCTION("""COMPUTED_VALUE"""),"")</f>
        <v/>
      </c>
      <c r="BF97" t="str">
        <f ca="1">IFERROR(__xludf.DUMMYFUNCTION("""COMPUTED_VALUE"""),"")</f>
        <v/>
      </c>
      <c r="BG97" t="str">
        <f ca="1">IFERROR(__xludf.DUMMYFUNCTION("""COMPUTED_VALUE"""),"")</f>
        <v/>
      </c>
      <c r="BH97" s="2">
        <f ca="1">IFERROR(__xludf.DUMMYFUNCTION("""COMPUTED_VALUE"""),-37.2820625)</f>
        <v>-37.282062500000002</v>
      </c>
      <c r="BI97" s="12">
        <f ca="1">IFERROR(__xludf.DUMMYFUNCTION("""COMPUTED_VALUE"""),175.1469727)</f>
        <v>175.14697269999999</v>
      </c>
      <c r="BJ97" s="9">
        <f ca="1">IFERROR(__xludf.DUMMYFUNCTION("""COMPUTED_VALUE"""),43410)</f>
        <v>43410</v>
      </c>
      <c r="BK97" s="4">
        <f ca="1">IFERROR(__xludf.DUMMYFUNCTION("""COMPUTED_VALUE"""),0.958518518516939)</f>
        <v>0.95851851851693903</v>
      </c>
    </row>
    <row r="98" spans="1:63" ht="12.5" x14ac:dyDescent="0.25">
      <c r="A98" s="7" t="str">
        <f ca="1">IFERROR(__xludf.DUMMYFUNCTION("""COMPUTED_VALUE"""),"")</f>
        <v/>
      </c>
      <c r="B98" s="8" t="str">
        <f ca="1">IFERROR(__xludf.DUMMYFUNCTION("""COMPUTED_VALUE"""),"Waikato")</f>
        <v>Waikato</v>
      </c>
      <c r="C98" s="2">
        <f ca="1">IFERROR(__xludf.DUMMYFUNCTION("""COMPUTED_VALUE"""),64)</f>
        <v>64</v>
      </c>
      <c r="D98" s="9" t="str">
        <f ca="1">IFERROR(__xludf.DUMMYFUNCTION("""COMPUTED_VALUE"""),"")</f>
        <v/>
      </c>
      <c r="E98" s="4" t="str">
        <f ca="1">IFERROR(__xludf.DUMMYFUNCTION("""COMPUTED_VALUE"""),"")</f>
        <v/>
      </c>
      <c r="F98" s="2" t="str">
        <f ca="1">IFERROR(__xludf.DUMMYFUNCTION("""COMPUTED_VALUE"""),"")</f>
        <v/>
      </c>
      <c r="G98" s="2" t="str">
        <f ca="1">IFERROR(__xludf.DUMMYFUNCTION("""COMPUTED_VALUE"""),"GPS: I converted data downloaded from ARGOS using Pinpoint software")</f>
        <v>GPS: I converted data downloaded from ARGOS using Pinpoint software</v>
      </c>
      <c r="H98" s="2" t="str">
        <f ca="1">IFERROR(__xludf.DUMMYFUNCTION("""COMPUTED_VALUE"""),"3D")</f>
        <v>3D</v>
      </c>
      <c r="I98" s="2" t="str">
        <f ca="1">IFERROR(__xludf.DUMMYFUNCTION("""COMPUTED_VALUE"""),"")</f>
        <v/>
      </c>
      <c r="J98" s="2" t="str">
        <f ca="1">IFERROR(__xludf.DUMMYFUNCTION("""COMPUTED_VALUE"""),"")</f>
        <v/>
      </c>
      <c r="K98" s="2" t="str">
        <f ca="1">IFERROR(__xludf.DUMMYFUNCTION("""COMPUTED_VALUE"""),"")</f>
        <v/>
      </c>
      <c r="L98" s="2" t="str">
        <f ca="1">IFERROR(__xludf.DUMMYFUNCTION("""COMPUTED_VALUE"""),"")</f>
        <v/>
      </c>
      <c r="M98" s="5" t="str">
        <f ca="1">IFERROR(__xludf.DUMMYFUNCTION("""COMPUTED_VALUE"""),"")</f>
        <v/>
      </c>
      <c r="N98" s="5" t="str">
        <f ca="1">IFERROR(__xludf.DUMMYFUNCTION("""COMPUTED_VALUE"""),"")</f>
        <v/>
      </c>
      <c r="O98" s="2" t="str">
        <f ca="1">IFERROR(__xludf.DUMMYFUNCTION("""COMPUTED_VALUE"""),"")</f>
        <v/>
      </c>
      <c r="P98" s="2" t="str">
        <f ca="1">IFERROR(__xludf.DUMMYFUNCTION("""COMPUTED_VALUE"""),"")</f>
        <v/>
      </c>
      <c r="Q98" s="2" t="str">
        <f ca="1">IFERROR(__xludf.DUMMYFUNCTION("""COMPUTED_VALUE"""),"")</f>
        <v/>
      </c>
      <c r="R98" s="2" t="str">
        <f ca="1">IFERROR(__xludf.DUMMYFUNCTION("""COMPUTED_VALUE"""),"")</f>
        <v/>
      </c>
      <c r="S98" s="2" t="str">
        <f ca="1">IFERROR(__xludf.DUMMYFUNCTION("""COMPUTED_VALUE"""),"")</f>
        <v/>
      </c>
      <c r="T98" s="2" t="str">
        <f ca="1">IFERROR(__xludf.DUMMYFUNCTION("""COMPUTED_VALUE"""),"")</f>
        <v/>
      </c>
      <c r="U98" s="2" t="str">
        <f ca="1">IFERROR(__xludf.DUMMYFUNCTION("""COMPUTED_VALUE"""),"")</f>
        <v/>
      </c>
      <c r="V98" s="2" t="str">
        <f ca="1">IFERROR(__xludf.DUMMYFUNCTION("""COMPUTED_VALUE"""),"")</f>
        <v/>
      </c>
      <c r="W98" s="2" t="str">
        <f ca="1">IFERROR(__xludf.DUMMYFUNCTION("""COMPUTED_VALUE"""),"")</f>
        <v/>
      </c>
      <c r="X98" s="2" t="str">
        <f ca="1">IFERROR(__xludf.DUMMYFUNCTION("""COMPUTED_VALUE"""),"")</f>
        <v/>
      </c>
      <c r="Y98" s="2" t="str">
        <f ca="1">IFERROR(__xludf.DUMMYFUNCTION("""COMPUTED_VALUE"""),"")</f>
        <v/>
      </c>
      <c r="Z98" s="2" t="str">
        <f ca="1">IFERROR(__xludf.DUMMYFUNCTION("""COMPUTED_VALUE"""),"")</f>
        <v/>
      </c>
      <c r="AA98" s="2" t="str">
        <f ca="1">IFERROR(__xludf.DUMMYFUNCTION("""COMPUTED_VALUE"""),"")</f>
        <v/>
      </c>
      <c r="AB98" s="2" t="str">
        <f ca="1">IFERROR(__xludf.DUMMYFUNCTION("""COMPUTED_VALUE"""),"")</f>
        <v/>
      </c>
      <c r="AC98" s="2" t="str">
        <f ca="1">IFERROR(__xludf.DUMMYFUNCTION("""COMPUTED_VALUE"""),"")</f>
        <v/>
      </c>
      <c r="AD98" s="2" t="str">
        <f ca="1">IFERROR(__xludf.DUMMYFUNCTION("""COMPUTED_VALUE"""),"")</f>
        <v/>
      </c>
      <c r="AE98" s="2" t="str">
        <f ca="1">IFERROR(__xludf.DUMMYFUNCTION("""COMPUTED_VALUE"""),"")</f>
        <v/>
      </c>
      <c r="AF98" s="2" t="str">
        <f ca="1">IFERROR(__xludf.DUMMYFUNCTION("""COMPUTED_VALUE"""),"")</f>
        <v/>
      </c>
      <c r="AG98" s="2" t="str">
        <f ca="1">IFERROR(__xludf.DUMMYFUNCTION("""COMPUTED_VALUE"""),"")</f>
        <v/>
      </c>
      <c r="AH98" s="2" t="str">
        <f ca="1">IFERROR(__xludf.DUMMYFUNCTION("""COMPUTED_VALUE"""),"")</f>
        <v/>
      </c>
      <c r="AI98" s="2" t="str">
        <f ca="1">IFERROR(__xludf.DUMMYFUNCTION("""COMPUTED_VALUE"""),"")</f>
        <v/>
      </c>
      <c r="AJ98" s="2" t="str">
        <f ca="1">IFERROR(__xludf.DUMMYFUNCTION("""COMPUTED_VALUE"""),"")</f>
        <v/>
      </c>
      <c r="AK98" s="2" t="str">
        <f ca="1">IFERROR(__xludf.DUMMYFUNCTION("""COMPUTED_VALUE"""),"")</f>
        <v/>
      </c>
      <c r="AL98" s="2" t="str">
        <f ca="1">IFERROR(__xludf.DUMMYFUNCTION("""COMPUTED_VALUE"""),"")</f>
        <v/>
      </c>
      <c r="AM98" s="2" t="str">
        <f ca="1">IFERROR(__xludf.DUMMYFUNCTION("""COMPUTED_VALUE"""),"")</f>
        <v/>
      </c>
      <c r="AN98" s="2" t="str">
        <f ca="1">IFERROR(__xludf.DUMMYFUNCTION("""COMPUTED_VALUE"""),"")</f>
        <v/>
      </c>
      <c r="AO98" s="2" t="str">
        <f ca="1">IFERROR(__xludf.DUMMYFUNCTION("""COMPUTED_VALUE"""),"")</f>
        <v/>
      </c>
      <c r="AP98" s="2" t="str">
        <f ca="1">IFERROR(__xludf.DUMMYFUNCTION("""COMPUTED_VALUE"""),"")</f>
        <v/>
      </c>
      <c r="AQ98" s="2" t="str">
        <f ca="1">IFERROR(__xludf.DUMMYFUNCTION("""COMPUTED_VALUE"""),"")</f>
        <v/>
      </c>
      <c r="AR98" s="2" t="str">
        <f ca="1">IFERROR(__xludf.DUMMYFUNCTION("""COMPUTED_VALUE"""),"")</f>
        <v/>
      </c>
      <c r="AS98" s="2" t="str">
        <f ca="1">IFERROR(__xludf.DUMMYFUNCTION("""COMPUTED_VALUE"""),"")</f>
        <v/>
      </c>
      <c r="AT98" s="2" t="str">
        <f ca="1">IFERROR(__xludf.DUMMYFUNCTION("""COMPUTED_VALUE"""),"")</f>
        <v/>
      </c>
      <c r="AU98" s="2" t="str">
        <f ca="1">IFERROR(__xludf.DUMMYFUNCTION("""COMPUTED_VALUE"""),"")</f>
        <v/>
      </c>
      <c r="AV98" s="2" t="str">
        <f ca="1">IFERROR(__xludf.DUMMYFUNCTION("""COMPUTED_VALUE"""),"")</f>
        <v/>
      </c>
      <c r="AW98" s="2" t="str">
        <f ca="1">IFERROR(__xludf.DUMMYFUNCTION("""COMPUTED_VALUE"""),"")</f>
        <v/>
      </c>
      <c r="AX98" s="2" t="str">
        <f ca="1">IFERROR(__xludf.DUMMYFUNCTION("""COMPUTED_VALUE"""),"")</f>
        <v/>
      </c>
      <c r="AY98" s="2" t="str">
        <f ca="1">IFERROR(__xludf.DUMMYFUNCTION("""COMPUTED_VALUE"""),"")</f>
        <v/>
      </c>
      <c r="AZ98" s="2" t="str">
        <f ca="1">IFERROR(__xludf.DUMMYFUNCTION("""COMPUTED_VALUE"""),"")</f>
        <v/>
      </c>
      <c r="BA98" s="2" t="str">
        <f ca="1">IFERROR(__xludf.DUMMYFUNCTION("""COMPUTED_VALUE"""),"")</f>
        <v/>
      </c>
      <c r="BB98" s="2" t="str">
        <f ca="1">IFERROR(__xludf.DUMMYFUNCTION("""COMPUTED_VALUE"""),"")</f>
        <v/>
      </c>
      <c r="BC98" s="2" t="str">
        <f ca="1">IFERROR(__xludf.DUMMYFUNCTION("""COMPUTED_VALUE"""),"")</f>
        <v/>
      </c>
      <c r="BD98" s="2" t="str">
        <f ca="1">IFERROR(__xludf.DUMMYFUNCTION("""COMPUTED_VALUE"""),"")</f>
        <v/>
      </c>
      <c r="BE98" s="2" t="str">
        <f ca="1">IFERROR(__xludf.DUMMYFUNCTION("""COMPUTED_VALUE"""),"")</f>
        <v/>
      </c>
      <c r="BF98" t="str">
        <f ca="1">IFERROR(__xludf.DUMMYFUNCTION("""COMPUTED_VALUE"""),"")</f>
        <v/>
      </c>
      <c r="BG98" t="str">
        <f ca="1">IFERROR(__xludf.DUMMYFUNCTION("""COMPUTED_VALUE"""),"")</f>
        <v/>
      </c>
      <c r="BH98" s="2">
        <f ca="1">IFERROR(__xludf.DUMMYFUNCTION("""COMPUTED_VALUE"""),-37.2861824)</f>
        <v>-37.286182400000001</v>
      </c>
      <c r="BI98" s="13">
        <f ca="1">IFERROR(__xludf.DUMMYFUNCTION("""COMPUTED_VALUE"""),175.1466827)</f>
        <v>175.14668270000001</v>
      </c>
      <c r="BJ98" s="9">
        <f ca="1">IFERROR(__xludf.DUMMYFUNCTION("""COMPUTED_VALUE"""),43412)</f>
        <v>43412</v>
      </c>
      <c r="BK98" s="4">
        <f ca="1">IFERROR(__xludf.DUMMYFUNCTION("""COMPUTED_VALUE"""),0.457777777777664)</f>
        <v>0.45777777777766399</v>
      </c>
    </row>
    <row r="99" spans="1:63" ht="12.5" x14ac:dyDescent="0.25">
      <c r="A99" s="7" t="str">
        <f ca="1">IFERROR(__xludf.DUMMYFUNCTION("""COMPUTED_VALUE"""),"")</f>
        <v/>
      </c>
      <c r="B99" s="8" t="str">
        <f ca="1">IFERROR(__xludf.DUMMYFUNCTION("""COMPUTED_VALUE"""),"Waikato")</f>
        <v>Waikato</v>
      </c>
      <c r="C99" s="2">
        <f ca="1">IFERROR(__xludf.DUMMYFUNCTION("""COMPUTED_VALUE"""),64)</f>
        <v>64</v>
      </c>
      <c r="D99" s="9" t="str">
        <f ca="1">IFERROR(__xludf.DUMMYFUNCTION("""COMPUTED_VALUE"""),"")</f>
        <v/>
      </c>
      <c r="E99" s="4" t="str">
        <f ca="1">IFERROR(__xludf.DUMMYFUNCTION("""COMPUTED_VALUE"""),"")</f>
        <v/>
      </c>
      <c r="F99" s="2" t="str">
        <f ca="1">IFERROR(__xludf.DUMMYFUNCTION("""COMPUTED_VALUE"""),"")</f>
        <v/>
      </c>
      <c r="G99" s="2" t="str">
        <f ca="1">IFERROR(__xludf.DUMMYFUNCTION("""COMPUTED_VALUE"""),"GPS: I converted data downloaded from ARGOS using Pinpoint software")</f>
        <v>GPS: I converted data downloaded from ARGOS using Pinpoint software</v>
      </c>
      <c r="H99" s="2" t="str">
        <f ca="1">IFERROR(__xludf.DUMMYFUNCTION("""COMPUTED_VALUE"""),"3D")</f>
        <v>3D</v>
      </c>
      <c r="I99" s="2" t="str">
        <f ca="1">IFERROR(__xludf.DUMMYFUNCTION("""COMPUTED_VALUE"""),"")</f>
        <v/>
      </c>
      <c r="J99" s="2" t="str">
        <f ca="1">IFERROR(__xludf.DUMMYFUNCTION("""COMPUTED_VALUE"""),"")</f>
        <v/>
      </c>
      <c r="K99" s="2" t="str">
        <f ca="1">IFERROR(__xludf.DUMMYFUNCTION("""COMPUTED_VALUE"""),"")</f>
        <v/>
      </c>
      <c r="L99" s="2" t="str">
        <f ca="1">IFERROR(__xludf.DUMMYFUNCTION("""COMPUTED_VALUE"""),"")</f>
        <v/>
      </c>
      <c r="M99" s="5" t="str">
        <f ca="1">IFERROR(__xludf.DUMMYFUNCTION("""COMPUTED_VALUE"""),"")</f>
        <v/>
      </c>
      <c r="N99" s="5" t="str">
        <f ca="1">IFERROR(__xludf.DUMMYFUNCTION("""COMPUTED_VALUE"""),"")</f>
        <v/>
      </c>
      <c r="O99" s="2" t="str">
        <f ca="1">IFERROR(__xludf.DUMMYFUNCTION("""COMPUTED_VALUE"""),"")</f>
        <v/>
      </c>
      <c r="P99" s="2" t="str">
        <f ca="1">IFERROR(__xludf.DUMMYFUNCTION("""COMPUTED_VALUE"""),"")</f>
        <v/>
      </c>
      <c r="Q99" s="2" t="str">
        <f ca="1">IFERROR(__xludf.DUMMYFUNCTION("""COMPUTED_VALUE"""),"")</f>
        <v/>
      </c>
      <c r="R99" s="2" t="str">
        <f ca="1">IFERROR(__xludf.DUMMYFUNCTION("""COMPUTED_VALUE"""),"")</f>
        <v/>
      </c>
      <c r="S99" s="2" t="str">
        <f ca="1">IFERROR(__xludf.DUMMYFUNCTION("""COMPUTED_VALUE"""),"")</f>
        <v/>
      </c>
      <c r="T99" s="2" t="str">
        <f ca="1">IFERROR(__xludf.DUMMYFUNCTION("""COMPUTED_VALUE"""),"")</f>
        <v/>
      </c>
      <c r="U99" s="2" t="str">
        <f ca="1">IFERROR(__xludf.DUMMYFUNCTION("""COMPUTED_VALUE"""),"")</f>
        <v/>
      </c>
      <c r="V99" s="2" t="str">
        <f ca="1">IFERROR(__xludf.DUMMYFUNCTION("""COMPUTED_VALUE"""),"")</f>
        <v/>
      </c>
      <c r="W99" s="2" t="str">
        <f ca="1">IFERROR(__xludf.DUMMYFUNCTION("""COMPUTED_VALUE"""),"")</f>
        <v/>
      </c>
      <c r="X99" s="2" t="str">
        <f ca="1">IFERROR(__xludf.DUMMYFUNCTION("""COMPUTED_VALUE"""),"")</f>
        <v/>
      </c>
      <c r="Y99" s="2" t="str">
        <f ca="1">IFERROR(__xludf.DUMMYFUNCTION("""COMPUTED_VALUE"""),"")</f>
        <v/>
      </c>
      <c r="Z99" s="2" t="str">
        <f ca="1">IFERROR(__xludf.DUMMYFUNCTION("""COMPUTED_VALUE"""),"")</f>
        <v/>
      </c>
      <c r="AA99" s="2" t="str">
        <f ca="1">IFERROR(__xludf.DUMMYFUNCTION("""COMPUTED_VALUE"""),"")</f>
        <v/>
      </c>
      <c r="AB99" s="2" t="str">
        <f ca="1">IFERROR(__xludf.DUMMYFUNCTION("""COMPUTED_VALUE"""),"")</f>
        <v/>
      </c>
      <c r="AC99" s="2" t="str">
        <f ca="1">IFERROR(__xludf.DUMMYFUNCTION("""COMPUTED_VALUE"""),"")</f>
        <v/>
      </c>
      <c r="AD99" s="2" t="str">
        <f ca="1">IFERROR(__xludf.DUMMYFUNCTION("""COMPUTED_VALUE"""),"")</f>
        <v/>
      </c>
      <c r="AE99" s="2" t="str">
        <f ca="1">IFERROR(__xludf.DUMMYFUNCTION("""COMPUTED_VALUE"""),"")</f>
        <v/>
      </c>
      <c r="AF99" s="2" t="str">
        <f ca="1">IFERROR(__xludf.DUMMYFUNCTION("""COMPUTED_VALUE"""),"")</f>
        <v/>
      </c>
      <c r="AG99" s="2" t="str">
        <f ca="1">IFERROR(__xludf.DUMMYFUNCTION("""COMPUTED_VALUE"""),"")</f>
        <v/>
      </c>
      <c r="AH99" s="2" t="str">
        <f ca="1">IFERROR(__xludf.DUMMYFUNCTION("""COMPUTED_VALUE"""),"")</f>
        <v/>
      </c>
      <c r="AI99" s="2" t="str">
        <f ca="1">IFERROR(__xludf.DUMMYFUNCTION("""COMPUTED_VALUE"""),"")</f>
        <v/>
      </c>
      <c r="AJ99" s="2" t="str">
        <f ca="1">IFERROR(__xludf.DUMMYFUNCTION("""COMPUTED_VALUE"""),"")</f>
        <v/>
      </c>
      <c r="AK99" s="2" t="str">
        <f ca="1">IFERROR(__xludf.DUMMYFUNCTION("""COMPUTED_VALUE"""),"")</f>
        <v/>
      </c>
      <c r="AL99" s="2" t="str">
        <f ca="1">IFERROR(__xludf.DUMMYFUNCTION("""COMPUTED_VALUE"""),"")</f>
        <v/>
      </c>
      <c r="AM99" s="2" t="str">
        <f ca="1">IFERROR(__xludf.DUMMYFUNCTION("""COMPUTED_VALUE"""),"")</f>
        <v/>
      </c>
      <c r="AN99" s="2" t="str">
        <f ca="1">IFERROR(__xludf.DUMMYFUNCTION("""COMPUTED_VALUE"""),"")</f>
        <v/>
      </c>
      <c r="AO99" s="2" t="str">
        <f ca="1">IFERROR(__xludf.DUMMYFUNCTION("""COMPUTED_VALUE"""),"")</f>
        <v/>
      </c>
      <c r="AP99" s="2" t="str">
        <f ca="1">IFERROR(__xludf.DUMMYFUNCTION("""COMPUTED_VALUE"""),"")</f>
        <v/>
      </c>
      <c r="AQ99" s="2" t="str">
        <f ca="1">IFERROR(__xludf.DUMMYFUNCTION("""COMPUTED_VALUE"""),"")</f>
        <v/>
      </c>
      <c r="AR99" s="2" t="str">
        <f ca="1">IFERROR(__xludf.DUMMYFUNCTION("""COMPUTED_VALUE"""),"")</f>
        <v/>
      </c>
      <c r="AS99" s="2" t="str">
        <f ca="1">IFERROR(__xludf.DUMMYFUNCTION("""COMPUTED_VALUE"""),"")</f>
        <v/>
      </c>
      <c r="AT99" s="2" t="str">
        <f ca="1">IFERROR(__xludf.DUMMYFUNCTION("""COMPUTED_VALUE"""),"")</f>
        <v/>
      </c>
      <c r="AU99" s="2" t="str">
        <f ca="1">IFERROR(__xludf.DUMMYFUNCTION("""COMPUTED_VALUE"""),"")</f>
        <v/>
      </c>
      <c r="AV99" s="2" t="str">
        <f ca="1">IFERROR(__xludf.DUMMYFUNCTION("""COMPUTED_VALUE"""),"")</f>
        <v/>
      </c>
      <c r="AW99" s="2" t="str">
        <f ca="1">IFERROR(__xludf.DUMMYFUNCTION("""COMPUTED_VALUE"""),"")</f>
        <v/>
      </c>
      <c r="AX99" s="2" t="str">
        <f ca="1">IFERROR(__xludf.DUMMYFUNCTION("""COMPUTED_VALUE"""),"")</f>
        <v/>
      </c>
      <c r="AY99" s="2" t="str">
        <f ca="1">IFERROR(__xludf.DUMMYFUNCTION("""COMPUTED_VALUE"""),"")</f>
        <v/>
      </c>
      <c r="AZ99" s="2" t="str">
        <f ca="1">IFERROR(__xludf.DUMMYFUNCTION("""COMPUTED_VALUE"""),"")</f>
        <v/>
      </c>
      <c r="BA99" s="2" t="str">
        <f ca="1">IFERROR(__xludf.DUMMYFUNCTION("""COMPUTED_VALUE"""),"")</f>
        <v/>
      </c>
      <c r="BB99" s="2" t="str">
        <f ca="1">IFERROR(__xludf.DUMMYFUNCTION("""COMPUTED_VALUE"""),"")</f>
        <v/>
      </c>
      <c r="BC99" s="2" t="str">
        <f ca="1">IFERROR(__xludf.DUMMYFUNCTION("""COMPUTED_VALUE"""),"")</f>
        <v/>
      </c>
      <c r="BD99" s="2" t="str">
        <f ca="1">IFERROR(__xludf.DUMMYFUNCTION("""COMPUTED_VALUE"""),"")</f>
        <v/>
      </c>
      <c r="BE99" s="2" t="str">
        <f ca="1">IFERROR(__xludf.DUMMYFUNCTION("""COMPUTED_VALUE"""),"")</f>
        <v/>
      </c>
      <c r="BF99" t="str">
        <f ca="1">IFERROR(__xludf.DUMMYFUNCTION("""COMPUTED_VALUE"""),"")</f>
        <v/>
      </c>
      <c r="BG99" t="str">
        <f ca="1">IFERROR(__xludf.DUMMYFUNCTION("""COMPUTED_VALUE"""),"")</f>
        <v/>
      </c>
      <c r="BH99" s="2">
        <f ca="1">IFERROR(__xludf.DUMMYFUNCTION("""COMPUTED_VALUE"""),-37.2817802)</f>
        <v>-37.2817802</v>
      </c>
      <c r="BI99" s="12">
        <f ca="1">IFERROR(__xludf.DUMMYFUNCTION("""COMPUTED_VALUE"""),175.1450806)</f>
        <v>175.1450806</v>
      </c>
      <c r="BJ99" s="9">
        <f ca="1">IFERROR(__xludf.DUMMYFUNCTION("""COMPUTED_VALUE"""),43412)</f>
        <v>43412</v>
      </c>
      <c r="BK99" s="4">
        <f ca="1">IFERROR(__xludf.DUMMYFUNCTION("""COMPUTED_VALUE"""),0.958518518516939)</f>
        <v>0.95851851851693903</v>
      </c>
    </row>
    <row r="100" spans="1:63" ht="12.5" x14ac:dyDescent="0.25">
      <c r="A100" s="7" t="str">
        <f ca="1">IFERROR(__xludf.DUMMYFUNCTION("""COMPUTED_VALUE"""),"")</f>
        <v/>
      </c>
      <c r="B100" s="8" t="str">
        <f ca="1">IFERROR(__xludf.DUMMYFUNCTION("""COMPUTED_VALUE"""),"Waikato")</f>
        <v>Waikato</v>
      </c>
      <c r="C100" s="2">
        <f ca="1">IFERROR(__xludf.DUMMYFUNCTION("""COMPUTED_VALUE"""),64)</f>
        <v>64</v>
      </c>
      <c r="D100" s="9" t="str">
        <f ca="1">IFERROR(__xludf.DUMMYFUNCTION("""COMPUTED_VALUE"""),"")</f>
        <v/>
      </c>
      <c r="E100" s="4" t="str">
        <f ca="1">IFERROR(__xludf.DUMMYFUNCTION("""COMPUTED_VALUE"""),"")</f>
        <v/>
      </c>
      <c r="F100" s="2" t="str">
        <f ca="1">IFERROR(__xludf.DUMMYFUNCTION("""COMPUTED_VALUE"""),"")</f>
        <v/>
      </c>
      <c r="G100" s="2" t="str">
        <f ca="1">IFERROR(__xludf.DUMMYFUNCTION("""COMPUTED_VALUE"""),"GPS: I converted data downloaded from ARGOS using Pinpoint software")</f>
        <v>GPS: I converted data downloaded from ARGOS using Pinpoint software</v>
      </c>
      <c r="H100" s="2" t="str">
        <f ca="1">IFERROR(__xludf.DUMMYFUNCTION("""COMPUTED_VALUE"""),"3D")</f>
        <v>3D</v>
      </c>
      <c r="I100" s="2" t="str">
        <f ca="1">IFERROR(__xludf.DUMMYFUNCTION("""COMPUTED_VALUE"""),"")</f>
        <v/>
      </c>
      <c r="J100" s="2" t="str">
        <f ca="1">IFERROR(__xludf.DUMMYFUNCTION("""COMPUTED_VALUE"""),"")</f>
        <v/>
      </c>
      <c r="K100" s="2" t="str">
        <f ca="1">IFERROR(__xludf.DUMMYFUNCTION("""COMPUTED_VALUE"""),"")</f>
        <v/>
      </c>
      <c r="L100" s="2" t="str">
        <f ca="1">IFERROR(__xludf.DUMMYFUNCTION("""COMPUTED_VALUE"""),"")</f>
        <v/>
      </c>
      <c r="M100" s="5" t="str">
        <f ca="1">IFERROR(__xludf.DUMMYFUNCTION("""COMPUTED_VALUE"""),"")</f>
        <v/>
      </c>
      <c r="N100" s="5" t="str">
        <f ca="1">IFERROR(__xludf.DUMMYFUNCTION("""COMPUTED_VALUE"""),"")</f>
        <v/>
      </c>
      <c r="O100" s="2" t="str">
        <f ca="1">IFERROR(__xludf.DUMMYFUNCTION("""COMPUTED_VALUE"""),"")</f>
        <v/>
      </c>
      <c r="P100" s="2" t="str">
        <f ca="1">IFERROR(__xludf.DUMMYFUNCTION("""COMPUTED_VALUE"""),"")</f>
        <v/>
      </c>
      <c r="Q100" s="2" t="str">
        <f ca="1">IFERROR(__xludf.DUMMYFUNCTION("""COMPUTED_VALUE"""),"")</f>
        <v/>
      </c>
      <c r="R100" s="2" t="str">
        <f ca="1">IFERROR(__xludf.DUMMYFUNCTION("""COMPUTED_VALUE"""),"")</f>
        <v/>
      </c>
      <c r="S100" s="2" t="str">
        <f ca="1">IFERROR(__xludf.DUMMYFUNCTION("""COMPUTED_VALUE"""),"")</f>
        <v/>
      </c>
      <c r="T100" s="2" t="str">
        <f ca="1">IFERROR(__xludf.DUMMYFUNCTION("""COMPUTED_VALUE"""),"")</f>
        <v/>
      </c>
      <c r="U100" s="2" t="str">
        <f ca="1">IFERROR(__xludf.DUMMYFUNCTION("""COMPUTED_VALUE"""),"")</f>
        <v/>
      </c>
      <c r="V100" s="2" t="str">
        <f ca="1">IFERROR(__xludf.DUMMYFUNCTION("""COMPUTED_VALUE"""),"")</f>
        <v/>
      </c>
      <c r="W100" s="2" t="str">
        <f ca="1">IFERROR(__xludf.DUMMYFUNCTION("""COMPUTED_VALUE"""),"")</f>
        <v/>
      </c>
      <c r="X100" s="2" t="str">
        <f ca="1">IFERROR(__xludf.DUMMYFUNCTION("""COMPUTED_VALUE"""),"")</f>
        <v/>
      </c>
      <c r="Y100" s="2" t="str">
        <f ca="1">IFERROR(__xludf.DUMMYFUNCTION("""COMPUTED_VALUE"""),"")</f>
        <v/>
      </c>
      <c r="Z100" s="2" t="str">
        <f ca="1">IFERROR(__xludf.DUMMYFUNCTION("""COMPUTED_VALUE"""),"")</f>
        <v/>
      </c>
      <c r="AA100" s="2" t="str">
        <f ca="1">IFERROR(__xludf.DUMMYFUNCTION("""COMPUTED_VALUE"""),"")</f>
        <v/>
      </c>
      <c r="AB100" s="2" t="str">
        <f ca="1">IFERROR(__xludf.DUMMYFUNCTION("""COMPUTED_VALUE"""),"")</f>
        <v/>
      </c>
      <c r="AC100" s="2" t="str">
        <f ca="1">IFERROR(__xludf.DUMMYFUNCTION("""COMPUTED_VALUE"""),"")</f>
        <v/>
      </c>
      <c r="AD100" s="2" t="str">
        <f ca="1">IFERROR(__xludf.DUMMYFUNCTION("""COMPUTED_VALUE"""),"")</f>
        <v/>
      </c>
      <c r="AE100" s="2" t="str">
        <f ca="1">IFERROR(__xludf.DUMMYFUNCTION("""COMPUTED_VALUE"""),"")</f>
        <v/>
      </c>
      <c r="AF100" s="2" t="str">
        <f ca="1">IFERROR(__xludf.DUMMYFUNCTION("""COMPUTED_VALUE"""),"")</f>
        <v/>
      </c>
      <c r="AG100" s="2" t="str">
        <f ca="1">IFERROR(__xludf.DUMMYFUNCTION("""COMPUTED_VALUE"""),"")</f>
        <v/>
      </c>
      <c r="AH100" s="2" t="str">
        <f ca="1">IFERROR(__xludf.DUMMYFUNCTION("""COMPUTED_VALUE"""),"")</f>
        <v/>
      </c>
      <c r="AI100" s="2" t="str">
        <f ca="1">IFERROR(__xludf.DUMMYFUNCTION("""COMPUTED_VALUE"""),"")</f>
        <v/>
      </c>
      <c r="AJ100" s="2" t="str">
        <f ca="1">IFERROR(__xludf.DUMMYFUNCTION("""COMPUTED_VALUE"""),"")</f>
        <v/>
      </c>
      <c r="AK100" s="2" t="str">
        <f ca="1">IFERROR(__xludf.DUMMYFUNCTION("""COMPUTED_VALUE"""),"")</f>
        <v/>
      </c>
      <c r="AL100" s="2" t="str">
        <f ca="1">IFERROR(__xludf.DUMMYFUNCTION("""COMPUTED_VALUE"""),"")</f>
        <v/>
      </c>
      <c r="AM100" s="2" t="str">
        <f ca="1">IFERROR(__xludf.DUMMYFUNCTION("""COMPUTED_VALUE"""),"")</f>
        <v/>
      </c>
      <c r="AN100" s="2" t="str">
        <f ca="1">IFERROR(__xludf.DUMMYFUNCTION("""COMPUTED_VALUE"""),"")</f>
        <v/>
      </c>
      <c r="AO100" s="2" t="str">
        <f ca="1">IFERROR(__xludf.DUMMYFUNCTION("""COMPUTED_VALUE"""),"")</f>
        <v/>
      </c>
      <c r="AP100" s="2" t="str">
        <f ca="1">IFERROR(__xludf.DUMMYFUNCTION("""COMPUTED_VALUE"""),"")</f>
        <v/>
      </c>
      <c r="AQ100" s="2" t="str">
        <f ca="1">IFERROR(__xludf.DUMMYFUNCTION("""COMPUTED_VALUE"""),"")</f>
        <v/>
      </c>
      <c r="AR100" s="2" t="str">
        <f ca="1">IFERROR(__xludf.DUMMYFUNCTION("""COMPUTED_VALUE"""),"")</f>
        <v/>
      </c>
      <c r="AS100" s="2" t="str">
        <f ca="1">IFERROR(__xludf.DUMMYFUNCTION("""COMPUTED_VALUE"""),"")</f>
        <v/>
      </c>
      <c r="AT100" s="2" t="str">
        <f ca="1">IFERROR(__xludf.DUMMYFUNCTION("""COMPUTED_VALUE"""),"")</f>
        <v/>
      </c>
      <c r="AU100" s="2" t="str">
        <f ca="1">IFERROR(__xludf.DUMMYFUNCTION("""COMPUTED_VALUE"""),"")</f>
        <v/>
      </c>
      <c r="AV100" s="2" t="str">
        <f ca="1">IFERROR(__xludf.DUMMYFUNCTION("""COMPUTED_VALUE"""),"")</f>
        <v/>
      </c>
      <c r="AW100" s="2" t="str">
        <f ca="1">IFERROR(__xludf.DUMMYFUNCTION("""COMPUTED_VALUE"""),"")</f>
        <v/>
      </c>
      <c r="AX100" s="2" t="str">
        <f ca="1">IFERROR(__xludf.DUMMYFUNCTION("""COMPUTED_VALUE"""),"")</f>
        <v/>
      </c>
      <c r="AY100" s="2" t="str">
        <f ca="1">IFERROR(__xludf.DUMMYFUNCTION("""COMPUTED_VALUE"""),"")</f>
        <v/>
      </c>
      <c r="AZ100" s="2" t="str">
        <f ca="1">IFERROR(__xludf.DUMMYFUNCTION("""COMPUTED_VALUE"""),"")</f>
        <v/>
      </c>
      <c r="BA100" s="2" t="str">
        <f ca="1">IFERROR(__xludf.DUMMYFUNCTION("""COMPUTED_VALUE"""),"")</f>
        <v/>
      </c>
      <c r="BB100" s="2" t="str">
        <f ca="1">IFERROR(__xludf.DUMMYFUNCTION("""COMPUTED_VALUE"""),"")</f>
        <v/>
      </c>
      <c r="BC100" s="2" t="str">
        <f ca="1">IFERROR(__xludf.DUMMYFUNCTION("""COMPUTED_VALUE"""),"")</f>
        <v/>
      </c>
      <c r="BD100" s="2" t="str">
        <f ca="1">IFERROR(__xludf.DUMMYFUNCTION("""COMPUTED_VALUE"""),"")</f>
        <v/>
      </c>
      <c r="BE100" s="2" t="str">
        <f ca="1">IFERROR(__xludf.DUMMYFUNCTION("""COMPUTED_VALUE"""),"")</f>
        <v/>
      </c>
      <c r="BF100" t="str">
        <f ca="1">IFERROR(__xludf.DUMMYFUNCTION("""COMPUTED_VALUE"""),"")</f>
        <v/>
      </c>
      <c r="BG100" t="str">
        <f ca="1">IFERROR(__xludf.DUMMYFUNCTION("""COMPUTED_VALUE"""),"")</f>
        <v/>
      </c>
      <c r="BH100" s="2">
        <f ca="1">IFERROR(__xludf.DUMMYFUNCTION("""COMPUTED_VALUE"""),-37.2821617)</f>
        <v>-37.282161700000003</v>
      </c>
      <c r="BI100" s="13">
        <f ca="1">IFERROR(__xludf.DUMMYFUNCTION("""COMPUTED_VALUE"""),175.1445618)</f>
        <v>175.14456179999999</v>
      </c>
      <c r="BJ100" s="9">
        <f ca="1">IFERROR(__xludf.DUMMYFUNCTION("""COMPUTED_VALUE"""),43413)</f>
        <v>43413</v>
      </c>
      <c r="BK100" s="4">
        <f ca="1">IFERROR(__xludf.DUMMYFUNCTION("""COMPUTED_VALUE"""),0.874074074072268)</f>
        <v>0.874074074072268</v>
      </c>
    </row>
    <row r="101" spans="1:63" ht="12.5" x14ac:dyDescent="0.25">
      <c r="A101" s="7" t="str">
        <f ca="1">IFERROR(__xludf.DUMMYFUNCTION("""COMPUTED_VALUE"""),"")</f>
        <v/>
      </c>
      <c r="B101" s="8" t="str">
        <f ca="1">IFERROR(__xludf.DUMMYFUNCTION("""COMPUTED_VALUE"""),"Waikato")</f>
        <v>Waikato</v>
      </c>
      <c r="C101" s="2">
        <f ca="1">IFERROR(__xludf.DUMMYFUNCTION("""COMPUTED_VALUE"""),64)</f>
        <v>64</v>
      </c>
      <c r="D101" s="9" t="str">
        <f ca="1">IFERROR(__xludf.DUMMYFUNCTION("""COMPUTED_VALUE"""),"")</f>
        <v/>
      </c>
      <c r="E101" s="4" t="str">
        <f ca="1">IFERROR(__xludf.DUMMYFUNCTION("""COMPUTED_VALUE"""),"")</f>
        <v/>
      </c>
      <c r="F101" s="2" t="str">
        <f ca="1">IFERROR(__xludf.DUMMYFUNCTION("""COMPUTED_VALUE"""),"")</f>
        <v/>
      </c>
      <c r="G101" s="2" t="str">
        <f ca="1">IFERROR(__xludf.DUMMYFUNCTION("""COMPUTED_VALUE"""),"GPS: I converted data downloaded from ARGOS using Pinpoint software")</f>
        <v>GPS: I converted data downloaded from ARGOS using Pinpoint software</v>
      </c>
      <c r="H101" s="2" t="str">
        <f ca="1">IFERROR(__xludf.DUMMYFUNCTION("""COMPUTED_VALUE"""),"3D")</f>
        <v>3D</v>
      </c>
      <c r="I101" s="2" t="str">
        <f ca="1">IFERROR(__xludf.DUMMYFUNCTION("""COMPUTED_VALUE"""),"")</f>
        <v/>
      </c>
      <c r="J101" s="2" t="str">
        <f ca="1">IFERROR(__xludf.DUMMYFUNCTION("""COMPUTED_VALUE"""),"")</f>
        <v/>
      </c>
      <c r="K101" s="2" t="str">
        <f ca="1">IFERROR(__xludf.DUMMYFUNCTION("""COMPUTED_VALUE"""),"")</f>
        <v/>
      </c>
      <c r="L101" s="2" t="str">
        <f ca="1">IFERROR(__xludf.DUMMYFUNCTION("""COMPUTED_VALUE"""),"")</f>
        <v/>
      </c>
      <c r="M101" s="5" t="str">
        <f ca="1">IFERROR(__xludf.DUMMYFUNCTION("""COMPUTED_VALUE"""),"")</f>
        <v/>
      </c>
      <c r="N101" s="5" t="str">
        <f ca="1">IFERROR(__xludf.DUMMYFUNCTION("""COMPUTED_VALUE"""),"")</f>
        <v/>
      </c>
      <c r="O101" s="2" t="str">
        <f ca="1">IFERROR(__xludf.DUMMYFUNCTION("""COMPUTED_VALUE"""),"")</f>
        <v/>
      </c>
      <c r="P101" s="2" t="str">
        <f ca="1">IFERROR(__xludf.DUMMYFUNCTION("""COMPUTED_VALUE"""),"")</f>
        <v/>
      </c>
      <c r="Q101" s="2" t="str">
        <f ca="1">IFERROR(__xludf.DUMMYFUNCTION("""COMPUTED_VALUE"""),"")</f>
        <v/>
      </c>
      <c r="R101" s="2" t="str">
        <f ca="1">IFERROR(__xludf.DUMMYFUNCTION("""COMPUTED_VALUE"""),"")</f>
        <v/>
      </c>
      <c r="S101" s="2" t="str">
        <f ca="1">IFERROR(__xludf.DUMMYFUNCTION("""COMPUTED_VALUE"""),"")</f>
        <v/>
      </c>
      <c r="T101" s="2" t="str">
        <f ca="1">IFERROR(__xludf.DUMMYFUNCTION("""COMPUTED_VALUE"""),"")</f>
        <v/>
      </c>
      <c r="U101" s="2" t="str">
        <f ca="1">IFERROR(__xludf.DUMMYFUNCTION("""COMPUTED_VALUE"""),"")</f>
        <v/>
      </c>
      <c r="V101" s="2" t="str">
        <f ca="1">IFERROR(__xludf.DUMMYFUNCTION("""COMPUTED_VALUE"""),"")</f>
        <v/>
      </c>
      <c r="W101" s="2" t="str">
        <f ca="1">IFERROR(__xludf.DUMMYFUNCTION("""COMPUTED_VALUE"""),"")</f>
        <v/>
      </c>
      <c r="X101" s="2" t="str">
        <f ca="1">IFERROR(__xludf.DUMMYFUNCTION("""COMPUTED_VALUE"""),"")</f>
        <v/>
      </c>
      <c r="Y101" s="2" t="str">
        <f ca="1">IFERROR(__xludf.DUMMYFUNCTION("""COMPUTED_VALUE"""),"")</f>
        <v/>
      </c>
      <c r="Z101" s="2" t="str">
        <f ca="1">IFERROR(__xludf.DUMMYFUNCTION("""COMPUTED_VALUE"""),"")</f>
        <v/>
      </c>
      <c r="AA101" s="2" t="str">
        <f ca="1">IFERROR(__xludf.DUMMYFUNCTION("""COMPUTED_VALUE"""),"")</f>
        <v/>
      </c>
      <c r="AB101" s="2" t="str">
        <f ca="1">IFERROR(__xludf.DUMMYFUNCTION("""COMPUTED_VALUE"""),"")</f>
        <v/>
      </c>
      <c r="AC101" s="2" t="str">
        <f ca="1">IFERROR(__xludf.DUMMYFUNCTION("""COMPUTED_VALUE"""),"")</f>
        <v/>
      </c>
      <c r="AD101" s="2" t="str">
        <f ca="1">IFERROR(__xludf.DUMMYFUNCTION("""COMPUTED_VALUE"""),"")</f>
        <v/>
      </c>
      <c r="AE101" s="2" t="str">
        <f ca="1">IFERROR(__xludf.DUMMYFUNCTION("""COMPUTED_VALUE"""),"")</f>
        <v/>
      </c>
      <c r="AF101" s="2" t="str">
        <f ca="1">IFERROR(__xludf.DUMMYFUNCTION("""COMPUTED_VALUE"""),"")</f>
        <v/>
      </c>
      <c r="AG101" s="2" t="str">
        <f ca="1">IFERROR(__xludf.DUMMYFUNCTION("""COMPUTED_VALUE"""),"")</f>
        <v/>
      </c>
      <c r="AH101" s="2" t="str">
        <f ca="1">IFERROR(__xludf.DUMMYFUNCTION("""COMPUTED_VALUE"""),"")</f>
        <v/>
      </c>
      <c r="AI101" s="2" t="str">
        <f ca="1">IFERROR(__xludf.DUMMYFUNCTION("""COMPUTED_VALUE"""),"")</f>
        <v/>
      </c>
      <c r="AJ101" s="2" t="str">
        <f ca="1">IFERROR(__xludf.DUMMYFUNCTION("""COMPUTED_VALUE"""),"")</f>
        <v/>
      </c>
      <c r="AK101" s="2" t="str">
        <f ca="1">IFERROR(__xludf.DUMMYFUNCTION("""COMPUTED_VALUE"""),"")</f>
        <v/>
      </c>
      <c r="AL101" s="2" t="str">
        <f ca="1">IFERROR(__xludf.DUMMYFUNCTION("""COMPUTED_VALUE"""),"")</f>
        <v/>
      </c>
      <c r="AM101" s="2" t="str">
        <f ca="1">IFERROR(__xludf.DUMMYFUNCTION("""COMPUTED_VALUE"""),"")</f>
        <v/>
      </c>
      <c r="AN101" s="2" t="str">
        <f ca="1">IFERROR(__xludf.DUMMYFUNCTION("""COMPUTED_VALUE"""),"")</f>
        <v/>
      </c>
      <c r="AO101" s="2" t="str">
        <f ca="1">IFERROR(__xludf.DUMMYFUNCTION("""COMPUTED_VALUE"""),"")</f>
        <v/>
      </c>
      <c r="AP101" s="2" t="str">
        <f ca="1">IFERROR(__xludf.DUMMYFUNCTION("""COMPUTED_VALUE"""),"")</f>
        <v/>
      </c>
      <c r="AQ101" s="2" t="str">
        <f ca="1">IFERROR(__xludf.DUMMYFUNCTION("""COMPUTED_VALUE"""),"")</f>
        <v/>
      </c>
      <c r="AR101" s="2" t="str">
        <f ca="1">IFERROR(__xludf.DUMMYFUNCTION("""COMPUTED_VALUE"""),"")</f>
        <v/>
      </c>
      <c r="AS101" s="2" t="str">
        <f ca="1">IFERROR(__xludf.DUMMYFUNCTION("""COMPUTED_VALUE"""),"")</f>
        <v/>
      </c>
      <c r="AT101" s="2" t="str">
        <f ca="1">IFERROR(__xludf.DUMMYFUNCTION("""COMPUTED_VALUE"""),"")</f>
        <v/>
      </c>
      <c r="AU101" s="2" t="str">
        <f ca="1">IFERROR(__xludf.DUMMYFUNCTION("""COMPUTED_VALUE"""),"")</f>
        <v/>
      </c>
      <c r="AV101" s="2" t="str">
        <f ca="1">IFERROR(__xludf.DUMMYFUNCTION("""COMPUTED_VALUE"""),"")</f>
        <v/>
      </c>
      <c r="AW101" s="2" t="str">
        <f ca="1">IFERROR(__xludf.DUMMYFUNCTION("""COMPUTED_VALUE"""),"")</f>
        <v/>
      </c>
      <c r="AX101" s="2" t="str">
        <f ca="1">IFERROR(__xludf.DUMMYFUNCTION("""COMPUTED_VALUE"""),"")</f>
        <v/>
      </c>
      <c r="AY101" s="2" t="str">
        <f ca="1">IFERROR(__xludf.DUMMYFUNCTION("""COMPUTED_VALUE"""),"")</f>
        <v/>
      </c>
      <c r="AZ101" s="2" t="str">
        <f ca="1">IFERROR(__xludf.DUMMYFUNCTION("""COMPUTED_VALUE"""),"")</f>
        <v/>
      </c>
      <c r="BA101" s="2" t="str">
        <f ca="1">IFERROR(__xludf.DUMMYFUNCTION("""COMPUTED_VALUE"""),"")</f>
        <v/>
      </c>
      <c r="BB101" s="2" t="str">
        <f ca="1">IFERROR(__xludf.DUMMYFUNCTION("""COMPUTED_VALUE"""),"")</f>
        <v/>
      </c>
      <c r="BC101" s="2" t="str">
        <f ca="1">IFERROR(__xludf.DUMMYFUNCTION("""COMPUTED_VALUE"""),"")</f>
        <v/>
      </c>
      <c r="BD101" s="2" t="str">
        <f ca="1">IFERROR(__xludf.DUMMYFUNCTION("""COMPUTED_VALUE"""),"")</f>
        <v/>
      </c>
      <c r="BE101" s="2" t="str">
        <f ca="1">IFERROR(__xludf.DUMMYFUNCTION("""COMPUTED_VALUE"""),"")</f>
        <v/>
      </c>
      <c r="BF101" t="str">
        <f ca="1">IFERROR(__xludf.DUMMYFUNCTION("""COMPUTED_VALUE"""),"")</f>
        <v/>
      </c>
      <c r="BG101" t="str">
        <f ca="1">IFERROR(__xludf.DUMMYFUNCTION("""COMPUTED_VALUE"""),"")</f>
        <v/>
      </c>
      <c r="BH101" s="2">
        <f ca="1">IFERROR(__xludf.DUMMYFUNCTION("""COMPUTED_VALUE"""),-37.438324)</f>
        <v>-37.438324000000001</v>
      </c>
      <c r="BI101" s="12">
        <f ca="1">IFERROR(__xludf.DUMMYFUNCTION("""COMPUTED_VALUE"""),175.5946808)</f>
        <v>175.59468079999999</v>
      </c>
      <c r="BJ101" s="9">
        <f ca="1">IFERROR(__xludf.DUMMYFUNCTION("""COMPUTED_VALUE"""),43414)</f>
        <v>43414</v>
      </c>
      <c r="BK101" s="4">
        <f ca="1">IFERROR(__xludf.DUMMYFUNCTION("""COMPUTED_VALUE"""),0.457777777777664)</f>
        <v>0.45777777777766399</v>
      </c>
    </row>
    <row r="102" spans="1:63" ht="12.5" x14ac:dyDescent="0.25">
      <c r="A102" s="7" t="str">
        <f ca="1">IFERROR(__xludf.DUMMYFUNCTION("""COMPUTED_VALUE"""),"")</f>
        <v/>
      </c>
      <c r="B102" s="8" t="str">
        <f ca="1">IFERROR(__xludf.DUMMYFUNCTION("""COMPUTED_VALUE"""),"Waikato")</f>
        <v>Waikato</v>
      </c>
      <c r="C102" s="2">
        <f ca="1">IFERROR(__xludf.DUMMYFUNCTION("""COMPUTED_VALUE"""),64)</f>
        <v>64</v>
      </c>
      <c r="D102" s="9" t="str">
        <f ca="1">IFERROR(__xludf.DUMMYFUNCTION("""COMPUTED_VALUE"""),"")</f>
        <v/>
      </c>
      <c r="E102" s="4" t="str">
        <f ca="1">IFERROR(__xludf.DUMMYFUNCTION("""COMPUTED_VALUE"""),"")</f>
        <v/>
      </c>
      <c r="F102" s="2" t="str">
        <f ca="1">IFERROR(__xludf.DUMMYFUNCTION("""COMPUTED_VALUE"""),"")</f>
        <v/>
      </c>
      <c r="G102" s="2" t="str">
        <f ca="1">IFERROR(__xludf.DUMMYFUNCTION("""COMPUTED_VALUE"""),"GPS: I converted data downloaded from ARGOS using Pinpoint software")</f>
        <v>GPS: I converted data downloaded from ARGOS using Pinpoint software</v>
      </c>
      <c r="H102" s="2" t="str">
        <f ca="1">IFERROR(__xludf.DUMMYFUNCTION("""COMPUTED_VALUE"""),"2D")</f>
        <v>2D</v>
      </c>
      <c r="I102" s="2" t="str">
        <f ca="1">IFERROR(__xludf.DUMMYFUNCTION("""COMPUTED_VALUE"""),"")</f>
        <v/>
      </c>
      <c r="J102" s="2" t="str">
        <f ca="1">IFERROR(__xludf.DUMMYFUNCTION("""COMPUTED_VALUE"""),"")</f>
        <v/>
      </c>
      <c r="K102" s="2" t="str">
        <f ca="1">IFERROR(__xludf.DUMMYFUNCTION("""COMPUTED_VALUE"""),"")</f>
        <v/>
      </c>
      <c r="L102" s="2" t="str">
        <f ca="1">IFERROR(__xludf.DUMMYFUNCTION("""COMPUTED_VALUE"""),"")</f>
        <v/>
      </c>
      <c r="M102" s="5" t="str">
        <f ca="1">IFERROR(__xludf.DUMMYFUNCTION("""COMPUTED_VALUE"""),"")</f>
        <v/>
      </c>
      <c r="N102" s="5" t="str">
        <f ca="1">IFERROR(__xludf.DUMMYFUNCTION("""COMPUTED_VALUE"""),"")</f>
        <v/>
      </c>
      <c r="O102" s="2" t="str">
        <f ca="1">IFERROR(__xludf.DUMMYFUNCTION("""COMPUTED_VALUE"""),"")</f>
        <v/>
      </c>
      <c r="P102" s="2" t="str">
        <f ca="1">IFERROR(__xludf.DUMMYFUNCTION("""COMPUTED_VALUE"""),"")</f>
        <v/>
      </c>
      <c r="Q102" s="2" t="str">
        <f ca="1">IFERROR(__xludf.DUMMYFUNCTION("""COMPUTED_VALUE"""),"")</f>
        <v/>
      </c>
      <c r="R102" s="2" t="str">
        <f ca="1">IFERROR(__xludf.DUMMYFUNCTION("""COMPUTED_VALUE"""),"")</f>
        <v/>
      </c>
      <c r="S102" s="2" t="str">
        <f ca="1">IFERROR(__xludf.DUMMYFUNCTION("""COMPUTED_VALUE"""),"")</f>
        <v/>
      </c>
      <c r="T102" s="2" t="str">
        <f ca="1">IFERROR(__xludf.DUMMYFUNCTION("""COMPUTED_VALUE"""),"")</f>
        <v/>
      </c>
      <c r="U102" s="2" t="str">
        <f ca="1">IFERROR(__xludf.DUMMYFUNCTION("""COMPUTED_VALUE"""),"")</f>
        <v/>
      </c>
      <c r="V102" s="2" t="str">
        <f ca="1">IFERROR(__xludf.DUMMYFUNCTION("""COMPUTED_VALUE"""),"")</f>
        <v/>
      </c>
      <c r="W102" s="2" t="str">
        <f ca="1">IFERROR(__xludf.DUMMYFUNCTION("""COMPUTED_VALUE"""),"")</f>
        <v/>
      </c>
      <c r="X102" s="2" t="str">
        <f ca="1">IFERROR(__xludf.DUMMYFUNCTION("""COMPUTED_VALUE"""),"")</f>
        <v/>
      </c>
      <c r="Y102" s="2" t="str">
        <f ca="1">IFERROR(__xludf.DUMMYFUNCTION("""COMPUTED_VALUE"""),"")</f>
        <v/>
      </c>
      <c r="Z102" s="2" t="str">
        <f ca="1">IFERROR(__xludf.DUMMYFUNCTION("""COMPUTED_VALUE"""),"")</f>
        <v/>
      </c>
      <c r="AA102" s="2" t="str">
        <f ca="1">IFERROR(__xludf.DUMMYFUNCTION("""COMPUTED_VALUE"""),"")</f>
        <v/>
      </c>
      <c r="AB102" s="2" t="str">
        <f ca="1">IFERROR(__xludf.DUMMYFUNCTION("""COMPUTED_VALUE"""),"")</f>
        <v/>
      </c>
      <c r="AC102" s="2" t="str">
        <f ca="1">IFERROR(__xludf.DUMMYFUNCTION("""COMPUTED_VALUE"""),"")</f>
        <v/>
      </c>
      <c r="AD102" s="2" t="str">
        <f ca="1">IFERROR(__xludf.DUMMYFUNCTION("""COMPUTED_VALUE"""),"")</f>
        <v/>
      </c>
      <c r="AE102" s="2" t="str">
        <f ca="1">IFERROR(__xludf.DUMMYFUNCTION("""COMPUTED_VALUE"""),"")</f>
        <v/>
      </c>
      <c r="AF102" s="2" t="str">
        <f ca="1">IFERROR(__xludf.DUMMYFUNCTION("""COMPUTED_VALUE"""),"")</f>
        <v/>
      </c>
      <c r="AG102" s="2" t="str">
        <f ca="1">IFERROR(__xludf.DUMMYFUNCTION("""COMPUTED_VALUE"""),"")</f>
        <v/>
      </c>
      <c r="AH102" s="2" t="str">
        <f ca="1">IFERROR(__xludf.DUMMYFUNCTION("""COMPUTED_VALUE"""),"")</f>
        <v/>
      </c>
      <c r="AI102" s="2" t="str">
        <f ca="1">IFERROR(__xludf.DUMMYFUNCTION("""COMPUTED_VALUE"""),"")</f>
        <v/>
      </c>
      <c r="AJ102" s="2" t="str">
        <f ca="1">IFERROR(__xludf.DUMMYFUNCTION("""COMPUTED_VALUE"""),"")</f>
        <v/>
      </c>
      <c r="AK102" s="2" t="str">
        <f ca="1">IFERROR(__xludf.DUMMYFUNCTION("""COMPUTED_VALUE"""),"")</f>
        <v/>
      </c>
      <c r="AL102" s="2" t="str">
        <f ca="1">IFERROR(__xludf.DUMMYFUNCTION("""COMPUTED_VALUE"""),"")</f>
        <v/>
      </c>
      <c r="AM102" s="2" t="str">
        <f ca="1">IFERROR(__xludf.DUMMYFUNCTION("""COMPUTED_VALUE"""),"")</f>
        <v/>
      </c>
      <c r="AN102" s="2" t="str">
        <f ca="1">IFERROR(__xludf.DUMMYFUNCTION("""COMPUTED_VALUE"""),"")</f>
        <v/>
      </c>
      <c r="AO102" s="2" t="str">
        <f ca="1">IFERROR(__xludf.DUMMYFUNCTION("""COMPUTED_VALUE"""),"")</f>
        <v/>
      </c>
      <c r="AP102" s="2" t="str">
        <f ca="1">IFERROR(__xludf.DUMMYFUNCTION("""COMPUTED_VALUE"""),"")</f>
        <v/>
      </c>
      <c r="AQ102" s="2" t="str">
        <f ca="1">IFERROR(__xludf.DUMMYFUNCTION("""COMPUTED_VALUE"""),"")</f>
        <v/>
      </c>
      <c r="AR102" s="2" t="str">
        <f ca="1">IFERROR(__xludf.DUMMYFUNCTION("""COMPUTED_VALUE"""),"")</f>
        <v/>
      </c>
      <c r="AS102" s="2" t="str">
        <f ca="1">IFERROR(__xludf.DUMMYFUNCTION("""COMPUTED_VALUE"""),"")</f>
        <v/>
      </c>
      <c r="AT102" s="2" t="str">
        <f ca="1">IFERROR(__xludf.DUMMYFUNCTION("""COMPUTED_VALUE"""),"")</f>
        <v/>
      </c>
      <c r="AU102" s="2" t="str">
        <f ca="1">IFERROR(__xludf.DUMMYFUNCTION("""COMPUTED_VALUE"""),"")</f>
        <v/>
      </c>
      <c r="AV102" s="2" t="str">
        <f ca="1">IFERROR(__xludf.DUMMYFUNCTION("""COMPUTED_VALUE"""),"")</f>
        <v/>
      </c>
      <c r="AW102" s="2" t="str">
        <f ca="1">IFERROR(__xludf.DUMMYFUNCTION("""COMPUTED_VALUE"""),"")</f>
        <v/>
      </c>
      <c r="AX102" s="2" t="str">
        <f ca="1">IFERROR(__xludf.DUMMYFUNCTION("""COMPUTED_VALUE"""),"")</f>
        <v/>
      </c>
      <c r="AY102" s="2" t="str">
        <f ca="1">IFERROR(__xludf.DUMMYFUNCTION("""COMPUTED_VALUE"""),"")</f>
        <v/>
      </c>
      <c r="AZ102" s="2" t="str">
        <f ca="1">IFERROR(__xludf.DUMMYFUNCTION("""COMPUTED_VALUE"""),"")</f>
        <v/>
      </c>
      <c r="BA102" s="2" t="str">
        <f ca="1">IFERROR(__xludf.DUMMYFUNCTION("""COMPUTED_VALUE"""),"")</f>
        <v/>
      </c>
      <c r="BB102" s="2" t="str">
        <f ca="1">IFERROR(__xludf.DUMMYFUNCTION("""COMPUTED_VALUE"""),"")</f>
        <v/>
      </c>
      <c r="BC102" s="2" t="str">
        <f ca="1">IFERROR(__xludf.DUMMYFUNCTION("""COMPUTED_VALUE"""),"")</f>
        <v/>
      </c>
      <c r="BD102" s="2" t="str">
        <f ca="1">IFERROR(__xludf.DUMMYFUNCTION("""COMPUTED_VALUE"""),"")</f>
        <v/>
      </c>
      <c r="BE102" s="2" t="str">
        <f ca="1">IFERROR(__xludf.DUMMYFUNCTION("""COMPUTED_VALUE"""),"")</f>
        <v/>
      </c>
      <c r="BF102" t="str">
        <f ca="1">IFERROR(__xludf.DUMMYFUNCTION("""COMPUTED_VALUE"""),"")</f>
        <v/>
      </c>
      <c r="BG102" t="str">
        <f ca="1">IFERROR(__xludf.DUMMYFUNCTION("""COMPUTED_VALUE"""),"")</f>
        <v/>
      </c>
      <c r="BH102" s="2">
        <f ca="1">IFERROR(__xludf.DUMMYFUNCTION("""COMPUTED_VALUE"""),-37.4527855)</f>
        <v>-37.452785499999997</v>
      </c>
      <c r="BI102" s="13">
        <f ca="1">IFERROR(__xludf.DUMMYFUNCTION("""COMPUTED_VALUE"""),175.532196)</f>
        <v>175.532196</v>
      </c>
      <c r="BJ102" s="9">
        <f ca="1">IFERROR(__xludf.DUMMYFUNCTION("""COMPUTED_VALUE"""),43414)</f>
        <v>43414</v>
      </c>
      <c r="BK102" s="4">
        <f ca="1">IFERROR(__xludf.DUMMYFUNCTION("""COMPUTED_VALUE"""),0.958518518516939)</f>
        <v>0.95851851851693903</v>
      </c>
    </row>
    <row r="103" spans="1:63" ht="12.5" x14ac:dyDescent="0.25">
      <c r="A103" s="7" t="str">
        <f ca="1">IFERROR(__xludf.DUMMYFUNCTION("""COMPUTED_VALUE"""),"")</f>
        <v/>
      </c>
      <c r="B103" s="8" t="str">
        <f ca="1">IFERROR(__xludf.DUMMYFUNCTION("""COMPUTED_VALUE"""),"Waikato")</f>
        <v>Waikato</v>
      </c>
      <c r="C103" s="2">
        <f ca="1">IFERROR(__xludf.DUMMYFUNCTION("""COMPUTED_VALUE"""),64)</f>
        <v>64</v>
      </c>
      <c r="D103" s="9" t="str">
        <f ca="1">IFERROR(__xludf.DUMMYFUNCTION("""COMPUTED_VALUE"""),"")</f>
        <v/>
      </c>
      <c r="E103" s="4" t="str">
        <f ca="1">IFERROR(__xludf.DUMMYFUNCTION("""COMPUTED_VALUE"""),"")</f>
        <v/>
      </c>
      <c r="F103" s="2" t="str">
        <f ca="1">IFERROR(__xludf.DUMMYFUNCTION("""COMPUTED_VALUE"""),"")</f>
        <v/>
      </c>
      <c r="G103" s="2" t="str">
        <f ca="1">IFERROR(__xludf.DUMMYFUNCTION("""COMPUTED_VALUE"""),"GPS: I converted data downloaded from ARGOS using Pinpoint software")</f>
        <v>GPS: I converted data downloaded from ARGOS using Pinpoint software</v>
      </c>
      <c r="H103" s="2" t="str">
        <f ca="1">IFERROR(__xludf.DUMMYFUNCTION("""COMPUTED_VALUE"""),"3D")</f>
        <v>3D</v>
      </c>
      <c r="I103" s="2" t="str">
        <f ca="1">IFERROR(__xludf.DUMMYFUNCTION("""COMPUTED_VALUE"""),"")</f>
        <v/>
      </c>
      <c r="J103" s="2" t="str">
        <f ca="1">IFERROR(__xludf.DUMMYFUNCTION("""COMPUTED_VALUE"""),"")</f>
        <v/>
      </c>
      <c r="K103" s="2" t="str">
        <f ca="1">IFERROR(__xludf.DUMMYFUNCTION("""COMPUTED_VALUE"""),"")</f>
        <v/>
      </c>
      <c r="L103" s="2" t="str">
        <f ca="1">IFERROR(__xludf.DUMMYFUNCTION("""COMPUTED_VALUE"""),"")</f>
        <v/>
      </c>
      <c r="M103" s="5" t="str">
        <f ca="1">IFERROR(__xludf.DUMMYFUNCTION("""COMPUTED_VALUE"""),"")</f>
        <v/>
      </c>
      <c r="N103" s="5" t="str">
        <f ca="1">IFERROR(__xludf.DUMMYFUNCTION("""COMPUTED_VALUE"""),"")</f>
        <v/>
      </c>
      <c r="O103" s="2" t="str">
        <f ca="1">IFERROR(__xludf.DUMMYFUNCTION("""COMPUTED_VALUE"""),"")</f>
        <v/>
      </c>
      <c r="P103" s="2" t="str">
        <f ca="1">IFERROR(__xludf.DUMMYFUNCTION("""COMPUTED_VALUE"""),"")</f>
        <v/>
      </c>
      <c r="Q103" s="2" t="str">
        <f ca="1">IFERROR(__xludf.DUMMYFUNCTION("""COMPUTED_VALUE"""),"")</f>
        <v/>
      </c>
      <c r="R103" s="2" t="str">
        <f ca="1">IFERROR(__xludf.DUMMYFUNCTION("""COMPUTED_VALUE"""),"")</f>
        <v/>
      </c>
      <c r="S103" s="2" t="str">
        <f ca="1">IFERROR(__xludf.DUMMYFUNCTION("""COMPUTED_VALUE"""),"")</f>
        <v/>
      </c>
      <c r="T103" s="2" t="str">
        <f ca="1">IFERROR(__xludf.DUMMYFUNCTION("""COMPUTED_VALUE"""),"")</f>
        <v/>
      </c>
      <c r="U103" s="2" t="str">
        <f ca="1">IFERROR(__xludf.DUMMYFUNCTION("""COMPUTED_VALUE"""),"")</f>
        <v/>
      </c>
      <c r="V103" s="2" t="str">
        <f ca="1">IFERROR(__xludf.DUMMYFUNCTION("""COMPUTED_VALUE"""),"")</f>
        <v/>
      </c>
      <c r="W103" s="2" t="str">
        <f ca="1">IFERROR(__xludf.DUMMYFUNCTION("""COMPUTED_VALUE"""),"")</f>
        <v/>
      </c>
      <c r="X103" s="2" t="str">
        <f ca="1">IFERROR(__xludf.DUMMYFUNCTION("""COMPUTED_VALUE"""),"")</f>
        <v/>
      </c>
      <c r="Y103" s="2" t="str">
        <f ca="1">IFERROR(__xludf.DUMMYFUNCTION("""COMPUTED_VALUE"""),"")</f>
        <v/>
      </c>
      <c r="Z103" s="2" t="str">
        <f ca="1">IFERROR(__xludf.DUMMYFUNCTION("""COMPUTED_VALUE"""),"")</f>
        <v/>
      </c>
      <c r="AA103" s="2" t="str">
        <f ca="1">IFERROR(__xludf.DUMMYFUNCTION("""COMPUTED_VALUE"""),"")</f>
        <v/>
      </c>
      <c r="AB103" s="2" t="str">
        <f ca="1">IFERROR(__xludf.DUMMYFUNCTION("""COMPUTED_VALUE"""),"")</f>
        <v/>
      </c>
      <c r="AC103" s="2" t="str">
        <f ca="1">IFERROR(__xludf.DUMMYFUNCTION("""COMPUTED_VALUE"""),"")</f>
        <v/>
      </c>
      <c r="AD103" s="2" t="str">
        <f ca="1">IFERROR(__xludf.DUMMYFUNCTION("""COMPUTED_VALUE"""),"")</f>
        <v/>
      </c>
      <c r="AE103" s="2" t="str">
        <f ca="1">IFERROR(__xludf.DUMMYFUNCTION("""COMPUTED_VALUE"""),"")</f>
        <v/>
      </c>
      <c r="AF103" s="2" t="str">
        <f ca="1">IFERROR(__xludf.DUMMYFUNCTION("""COMPUTED_VALUE"""),"")</f>
        <v/>
      </c>
      <c r="AG103" s="2" t="str">
        <f ca="1">IFERROR(__xludf.DUMMYFUNCTION("""COMPUTED_VALUE"""),"")</f>
        <v/>
      </c>
      <c r="AH103" s="2" t="str">
        <f ca="1">IFERROR(__xludf.DUMMYFUNCTION("""COMPUTED_VALUE"""),"")</f>
        <v/>
      </c>
      <c r="AI103" s="2" t="str">
        <f ca="1">IFERROR(__xludf.DUMMYFUNCTION("""COMPUTED_VALUE"""),"")</f>
        <v/>
      </c>
      <c r="AJ103" s="2" t="str">
        <f ca="1">IFERROR(__xludf.DUMMYFUNCTION("""COMPUTED_VALUE"""),"")</f>
        <v/>
      </c>
      <c r="AK103" s="2" t="str">
        <f ca="1">IFERROR(__xludf.DUMMYFUNCTION("""COMPUTED_VALUE"""),"")</f>
        <v/>
      </c>
      <c r="AL103" s="2" t="str">
        <f ca="1">IFERROR(__xludf.DUMMYFUNCTION("""COMPUTED_VALUE"""),"")</f>
        <v/>
      </c>
      <c r="AM103" s="2" t="str">
        <f ca="1">IFERROR(__xludf.DUMMYFUNCTION("""COMPUTED_VALUE"""),"")</f>
        <v/>
      </c>
      <c r="AN103" s="2" t="str">
        <f ca="1">IFERROR(__xludf.DUMMYFUNCTION("""COMPUTED_VALUE"""),"")</f>
        <v/>
      </c>
      <c r="AO103" s="2" t="str">
        <f ca="1">IFERROR(__xludf.DUMMYFUNCTION("""COMPUTED_VALUE"""),"")</f>
        <v/>
      </c>
      <c r="AP103" s="2" t="str">
        <f ca="1">IFERROR(__xludf.DUMMYFUNCTION("""COMPUTED_VALUE"""),"")</f>
        <v/>
      </c>
      <c r="AQ103" s="2" t="str">
        <f ca="1">IFERROR(__xludf.DUMMYFUNCTION("""COMPUTED_VALUE"""),"")</f>
        <v/>
      </c>
      <c r="AR103" s="2" t="str">
        <f ca="1">IFERROR(__xludf.DUMMYFUNCTION("""COMPUTED_VALUE"""),"")</f>
        <v/>
      </c>
      <c r="AS103" s="2" t="str">
        <f ca="1">IFERROR(__xludf.DUMMYFUNCTION("""COMPUTED_VALUE"""),"")</f>
        <v/>
      </c>
      <c r="AT103" s="2" t="str">
        <f ca="1">IFERROR(__xludf.DUMMYFUNCTION("""COMPUTED_VALUE"""),"")</f>
        <v/>
      </c>
      <c r="AU103" s="2" t="str">
        <f ca="1">IFERROR(__xludf.DUMMYFUNCTION("""COMPUTED_VALUE"""),"")</f>
        <v/>
      </c>
      <c r="AV103" s="2" t="str">
        <f ca="1">IFERROR(__xludf.DUMMYFUNCTION("""COMPUTED_VALUE"""),"")</f>
        <v/>
      </c>
      <c r="AW103" s="2" t="str">
        <f ca="1">IFERROR(__xludf.DUMMYFUNCTION("""COMPUTED_VALUE"""),"")</f>
        <v/>
      </c>
      <c r="AX103" s="2" t="str">
        <f ca="1">IFERROR(__xludf.DUMMYFUNCTION("""COMPUTED_VALUE"""),"")</f>
        <v/>
      </c>
      <c r="AY103" s="2" t="str">
        <f ca="1">IFERROR(__xludf.DUMMYFUNCTION("""COMPUTED_VALUE"""),"")</f>
        <v/>
      </c>
      <c r="AZ103" s="2" t="str">
        <f ca="1">IFERROR(__xludf.DUMMYFUNCTION("""COMPUTED_VALUE"""),"")</f>
        <v/>
      </c>
      <c r="BA103" s="2" t="str">
        <f ca="1">IFERROR(__xludf.DUMMYFUNCTION("""COMPUTED_VALUE"""),"")</f>
        <v/>
      </c>
      <c r="BB103" s="2" t="str">
        <f ca="1">IFERROR(__xludf.DUMMYFUNCTION("""COMPUTED_VALUE"""),"")</f>
        <v/>
      </c>
      <c r="BC103" s="2" t="str">
        <f ca="1">IFERROR(__xludf.DUMMYFUNCTION("""COMPUTED_VALUE"""),"")</f>
        <v/>
      </c>
      <c r="BD103" s="2" t="str">
        <f ca="1">IFERROR(__xludf.DUMMYFUNCTION("""COMPUTED_VALUE"""),"")</f>
        <v/>
      </c>
      <c r="BE103" s="2" t="str">
        <f ca="1">IFERROR(__xludf.DUMMYFUNCTION("""COMPUTED_VALUE"""),"")</f>
        <v/>
      </c>
      <c r="BF103" t="str">
        <f ca="1">IFERROR(__xludf.DUMMYFUNCTION("""COMPUTED_VALUE"""),"")</f>
        <v/>
      </c>
      <c r="BG103" t="str">
        <f ca="1">IFERROR(__xludf.DUMMYFUNCTION("""COMPUTED_VALUE"""),"")</f>
        <v/>
      </c>
      <c r="BH103" s="2">
        <f ca="1">IFERROR(__xludf.DUMMYFUNCTION("""COMPUTED_VALUE"""),-37.4396782)</f>
        <v>-37.439678200000003</v>
      </c>
      <c r="BI103" s="12">
        <f ca="1">IFERROR(__xludf.DUMMYFUNCTION("""COMPUTED_VALUE"""),175.5365753)</f>
        <v>175.53657530000001</v>
      </c>
      <c r="BJ103" s="9">
        <f ca="1">IFERROR(__xludf.DUMMYFUNCTION("""COMPUTED_VALUE"""),43416)</f>
        <v>43416</v>
      </c>
      <c r="BK103" s="4">
        <f ca="1">IFERROR(__xludf.DUMMYFUNCTION("""COMPUTED_VALUE"""),0.457777777777664)</f>
        <v>0.45777777777766399</v>
      </c>
    </row>
    <row r="104" spans="1:63" ht="12.5" x14ac:dyDescent="0.25">
      <c r="A104" s="7" t="str">
        <f ca="1">IFERROR(__xludf.DUMMYFUNCTION("""COMPUTED_VALUE"""),"")</f>
        <v/>
      </c>
      <c r="B104" s="8" t="str">
        <f ca="1">IFERROR(__xludf.DUMMYFUNCTION("""COMPUTED_VALUE"""),"Waikato")</f>
        <v>Waikato</v>
      </c>
      <c r="C104" s="2">
        <f ca="1">IFERROR(__xludf.DUMMYFUNCTION("""COMPUTED_VALUE"""),64)</f>
        <v>64</v>
      </c>
      <c r="D104" s="9" t="str">
        <f ca="1">IFERROR(__xludf.DUMMYFUNCTION("""COMPUTED_VALUE"""),"")</f>
        <v/>
      </c>
      <c r="E104" s="4" t="str">
        <f ca="1">IFERROR(__xludf.DUMMYFUNCTION("""COMPUTED_VALUE"""),"")</f>
        <v/>
      </c>
      <c r="F104" s="2" t="str">
        <f ca="1">IFERROR(__xludf.DUMMYFUNCTION("""COMPUTED_VALUE"""),"")</f>
        <v/>
      </c>
      <c r="G104" s="2" t="str">
        <f ca="1">IFERROR(__xludf.DUMMYFUNCTION("""COMPUTED_VALUE"""),"GPS: I converted data downloaded from ARGOS using Pinpoint software")</f>
        <v>GPS: I converted data downloaded from ARGOS using Pinpoint software</v>
      </c>
      <c r="H104" s="2" t="str">
        <f ca="1">IFERROR(__xludf.DUMMYFUNCTION("""COMPUTED_VALUE"""),"3D")</f>
        <v>3D</v>
      </c>
      <c r="I104" s="2" t="str">
        <f ca="1">IFERROR(__xludf.DUMMYFUNCTION("""COMPUTED_VALUE"""),"")</f>
        <v/>
      </c>
      <c r="J104" s="2" t="str">
        <f ca="1">IFERROR(__xludf.DUMMYFUNCTION("""COMPUTED_VALUE"""),"")</f>
        <v/>
      </c>
      <c r="K104" s="2" t="str">
        <f ca="1">IFERROR(__xludf.DUMMYFUNCTION("""COMPUTED_VALUE"""),"")</f>
        <v/>
      </c>
      <c r="L104" s="2" t="str">
        <f ca="1">IFERROR(__xludf.DUMMYFUNCTION("""COMPUTED_VALUE"""),"")</f>
        <v/>
      </c>
      <c r="M104" s="5" t="str">
        <f ca="1">IFERROR(__xludf.DUMMYFUNCTION("""COMPUTED_VALUE"""),"")</f>
        <v/>
      </c>
      <c r="N104" s="5" t="str">
        <f ca="1">IFERROR(__xludf.DUMMYFUNCTION("""COMPUTED_VALUE"""),"")</f>
        <v/>
      </c>
      <c r="O104" s="2" t="str">
        <f ca="1">IFERROR(__xludf.DUMMYFUNCTION("""COMPUTED_VALUE"""),"")</f>
        <v/>
      </c>
      <c r="P104" s="2" t="str">
        <f ca="1">IFERROR(__xludf.DUMMYFUNCTION("""COMPUTED_VALUE"""),"")</f>
        <v/>
      </c>
      <c r="Q104" s="2" t="str">
        <f ca="1">IFERROR(__xludf.DUMMYFUNCTION("""COMPUTED_VALUE"""),"")</f>
        <v/>
      </c>
      <c r="R104" s="2" t="str">
        <f ca="1">IFERROR(__xludf.DUMMYFUNCTION("""COMPUTED_VALUE"""),"")</f>
        <v/>
      </c>
      <c r="S104" s="2" t="str">
        <f ca="1">IFERROR(__xludf.DUMMYFUNCTION("""COMPUTED_VALUE"""),"")</f>
        <v/>
      </c>
      <c r="T104" s="2" t="str">
        <f ca="1">IFERROR(__xludf.DUMMYFUNCTION("""COMPUTED_VALUE"""),"")</f>
        <v/>
      </c>
      <c r="U104" s="2" t="str">
        <f ca="1">IFERROR(__xludf.DUMMYFUNCTION("""COMPUTED_VALUE"""),"")</f>
        <v/>
      </c>
      <c r="V104" s="2" t="str">
        <f ca="1">IFERROR(__xludf.DUMMYFUNCTION("""COMPUTED_VALUE"""),"")</f>
        <v/>
      </c>
      <c r="W104" s="2" t="str">
        <f ca="1">IFERROR(__xludf.DUMMYFUNCTION("""COMPUTED_VALUE"""),"")</f>
        <v/>
      </c>
      <c r="X104" s="2" t="str">
        <f ca="1">IFERROR(__xludf.DUMMYFUNCTION("""COMPUTED_VALUE"""),"")</f>
        <v/>
      </c>
      <c r="Y104" s="2" t="str">
        <f ca="1">IFERROR(__xludf.DUMMYFUNCTION("""COMPUTED_VALUE"""),"")</f>
        <v/>
      </c>
      <c r="Z104" s="2" t="str">
        <f ca="1">IFERROR(__xludf.DUMMYFUNCTION("""COMPUTED_VALUE"""),"")</f>
        <v/>
      </c>
      <c r="AA104" s="2" t="str">
        <f ca="1">IFERROR(__xludf.DUMMYFUNCTION("""COMPUTED_VALUE"""),"")</f>
        <v/>
      </c>
      <c r="AB104" s="2" t="str">
        <f ca="1">IFERROR(__xludf.DUMMYFUNCTION("""COMPUTED_VALUE"""),"")</f>
        <v/>
      </c>
      <c r="AC104" s="2" t="str">
        <f ca="1">IFERROR(__xludf.DUMMYFUNCTION("""COMPUTED_VALUE"""),"")</f>
        <v/>
      </c>
      <c r="AD104" s="2" t="str">
        <f ca="1">IFERROR(__xludf.DUMMYFUNCTION("""COMPUTED_VALUE"""),"")</f>
        <v/>
      </c>
      <c r="AE104" s="2" t="str">
        <f ca="1">IFERROR(__xludf.DUMMYFUNCTION("""COMPUTED_VALUE"""),"")</f>
        <v/>
      </c>
      <c r="AF104" s="2" t="str">
        <f ca="1">IFERROR(__xludf.DUMMYFUNCTION("""COMPUTED_VALUE"""),"")</f>
        <v/>
      </c>
      <c r="AG104" s="2" t="str">
        <f ca="1">IFERROR(__xludf.DUMMYFUNCTION("""COMPUTED_VALUE"""),"")</f>
        <v/>
      </c>
      <c r="AH104" s="2" t="str">
        <f ca="1">IFERROR(__xludf.DUMMYFUNCTION("""COMPUTED_VALUE"""),"")</f>
        <v/>
      </c>
      <c r="AI104" s="2" t="str">
        <f ca="1">IFERROR(__xludf.DUMMYFUNCTION("""COMPUTED_VALUE"""),"")</f>
        <v/>
      </c>
      <c r="AJ104" s="2" t="str">
        <f ca="1">IFERROR(__xludf.DUMMYFUNCTION("""COMPUTED_VALUE"""),"")</f>
        <v/>
      </c>
      <c r="AK104" s="2" t="str">
        <f ca="1">IFERROR(__xludf.DUMMYFUNCTION("""COMPUTED_VALUE"""),"")</f>
        <v/>
      </c>
      <c r="AL104" s="2" t="str">
        <f ca="1">IFERROR(__xludf.DUMMYFUNCTION("""COMPUTED_VALUE"""),"")</f>
        <v/>
      </c>
      <c r="AM104" s="2" t="str">
        <f ca="1">IFERROR(__xludf.DUMMYFUNCTION("""COMPUTED_VALUE"""),"")</f>
        <v/>
      </c>
      <c r="AN104" s="2" t="str">
        <f ca="1">IFERROR(__xludf.DUMMYFUNCTION("""COMPUTED_VALUE"""),"")</f>
        <v/>
      </c>
      <c r="AO104" s="2" t="str">
        <f ca="1">IFERROR(__xludf.DUMMYFUNCTION("""COMPUTED_VALUE"""),"")</f>
        <v/>
      </c>
      <c r="AP104" s="2" t="str">
        <f ca="1">IFERROR(__xludf.DUMMYFUNCTION("""COMPUTED_VALUE"""),"")</f>
        <v/>
      </c>
      <c r="AQ104" s="2" t="str">
        <f ca="1">IFERROR(__xludf.DUMMYFUNCTION("""COMPUTED_VALUE"""),"")</f>
        <v/>
      </c>
      <c r="AR104" s="2" t="str">
        <f ca="1">IFERROR(__xludf.DUMMYFUNCTION("""COMPUTED_VALUE"""),"")</f>
        <v/>
      </c>
      <c r="AS104" s="2" t="str">
        <f ca="1">IFERROR(__xludf.DUMMYFUNCTION("""COMPUTED_VALUE"""),"")</f>
        <v/>
      </c>
      <c r="AT104" s="2" t="str">
        <f ca="1">IFERROR(__xludf.DUMMYFUNCTION("""COMPUTED_VALUE"""),"")</f>
        <v/>
      </c>
      <c r="AU104" s="2" t="str">
        <f ca="1">IFERROR(__xludf.DUMMYFUNCTION("""COMPUTED_VALUE"""),"")</f>
        <v/>
      </c>
      <c r="AV104" s="2" t="str">
        <f ca="1">IFERROR(__xludf.DUMMYFUNCTION("""COMPUTED_VALUE"""),"")</f>
        <v/>
      </c>
      <c r="AW104" s="2" t="str">
        <f ca="1">IFERROR(__xludf.DUMMYFUNCTION("""COMPUTED_VALUE"""),"")</f>
        <v/>
      </c>
      <c r="AX104" s="2" t="str">
        <f ca="1">IFERROR(__xludf.DUMMYFUNCTION("""COMPUTED_VALUE"""),"")</f>
        <v/>
      </c>
      <c r="AY104" s="2" t="str">
        <f ca="1">IFERROR(__xludf.DUMMYFUNCTION("""COMPUTED_VALUE"""),"")</f>
        <v/>
      </c>
      <c r="AZ104" s="2" t="str">
        <f ca="1">IFERROR(__xludf.DUMMYFUNCTION("""COMPUTED_VALUE"""),"")</f>
        <v/>
      </c>
      <c r="BA104" s="2" t="str">
        <f ca="1">IFERROR(__xludf.DUMMYFUNCTION("""COMPUTED_VALUE"""),"")</f>
        <v/>
      </c>
      <c r="BB104" s="2" t="str">
        <f ca="1">IFERROR(__xludf.DUMMYFUNCTION("""COMPUTED_VALUE"""),"")</f>
        <v/>
      </c>
      <c r="BC104" s="2" t="str">
        <f ca="1">IFERROR(__xludf.DUMMYFUNCTION("""COMPUTED_VALUE"""),"")</f>
        <v/>
      </c>
      <c r="BD104" s="2" t="str">
        <f ca="1">IFERROR(__xludf.DUMMYFUNCTION("""COMPUTED_VALUE"""),"")</f>
        <v/>
      </c>
      <c r="BE104" s="2" t="str">
        <f ca="1">IFERROR(__xludf.DUMMYFUNCTION("""COMPUTED_VALUE"""),"")</f>
        <v/>
      </c>
      <c r="BF104" t="str">
        <f ca="1">IFERROR(__xludf.DUMMYFUNCTION("""COMPUTED_VALUE"""),"")</f>
        <v/>
      </c>
      <c r="BG104" t="str">
        <f ca="1">IFERROR(__xludf.DUMMYFUNCTION("""COMPUTED_VALUE"""),"")</f>
        <v/>
      </c>
      <c r="BH104" s="2">
        <f ca="1">IFERROR(__xludf.DUMMYFUNCTION("""COMPUTED_VALUE"""),-37.7957497)</f>
        <v>-37.795749700000002</v>
      </c>
      <c r="BI104" s="13">
        <f ca="1">IFERROR(__xludf.DUMMYFUNCTION("""COMPUTED_VALUE"""),176.3596344)</f>
        <v>176.3596344</v>
      </c>
      <c r="BJ104" s="9">
        <f ca="1">IFERROR(__xludf.DUMMYFUNCTION("""COMPUTED_VALUE"""),43416)</f>
        <v>43416</v>
      </c>
      <c r="BK104" s="4">
        <f ca="1">IFERROR(__xludf.DUMMYFUNCTION("""COMPUTED_VALUE"""),0.958518518516939)</f>
        <v>0.95851851851693903</v>
      </c>
    </row>
    <row r="105" spans="1:63" ht="12.5" x14ac:dyDescent="0.25">
      <c r="A105" s="7" t="str">
        <f ca="1">IFERROR(__xludf.DUMMYFUNCTION("""COMPUTED_VALUE"""),"")</f>
        <v/>
      </c>
      <c r="B105" s="8" t="str">
        <f ca="1">IFERROR(__xludf.DUMMYFUNCTION("""COMPUTED_VALUE"""),"Waikato")</f>
        <v>Waikato</v>
      </c>
      <c r="C105" s="2">
        <f ca="1">IFERROR(__xludf.DUMMYFUNCTION("""COMPUTED_VALUE"""),64)</f>
        <v>64</v>
      </c>
      <c r="D105" s="9" t="str">
        <f ca="1">IFERROR(__xludf.DUMMYFUNCTION("""COMPUTED_VALUE"""),"")</f>
        <v/>
      </c>
      <c r="E105" s="4" t="str">
        <f ca="1">IFERROR(__xludf.DUMMYFUNCTION("""COMPUTED_VALUE"""),"")</f>
        <v/>
      </c>
      <c r="F105" s="2" t="str">
        <f ca="1">IFERROR(__xludf.DUMMYFUNCTION("""COMPUTED_VALUE"""),"")</f>
        <v/>
      </c>
      <c r="G105" s="2" t="str">
        <f ca="1">IFERROR(__xludf.DUMMYFUNCTION("""COMPUTED_VALUE"""),"GPS: I converted data downloaded from ARGOS using Pinpoint software")</f>
        <v>GPS: I converted data downloaded from ARGOS using Pinpoint software</v>
      </c>
      <c r="H105" s="2" t="str">
        <f ca="1">IFERROR(__xludf.DUMMYFUNCTION("""COMPUTED_VALUE"""),"3D")</f>
        <v>3D</v>
      </c>
      <c r="I105" s="2" t="str">
        <f ca="1">IFERROR(__xludf.DUMMYFUNCTION("""COMPUTED_VALUE"""),"")</f>
        <v/>
      </c>
      <c r="J105" s="2" t="str">
        <f ca="1">IFERROR(__xludf.DUMMYFUNCTION("""COMPUTED_VALUE"""),"")</f>
        <v/>
      </c>
      <c r="K105" s="2" t="str">
        <f ca="1">IFERROR(__xludf.DUMMYFUNCTION("""COMPUTED_VALUE"""),"")</f>
        <v/>
      </c>
      <c r="L105" s="2" t="str">
        <f ca="1">IFERROR(__xludf.DUMMYFUNCTION("""COMPUTED_VALUE"""),"")</f>
        <v/>
      </c>
      <c r="M105" s="5" t="str">
        <f ca="1">IFERROR(__xludf.DUMMYFUNCTION("""COMPUTED_VALUE"""),"")</f>
        <v/>
      </c>
      <c r="N105" s="5" t="str">
        <f ca="1">IFERROR(__xludf.DUMMYFUNCTION("""COMPUTED_VALUE"""),"")</f>
        <v/>
      </c>
      <c r="O105" s="2" t="str">
        <f ca="1">IFERROR(__xludf.DUMMYFUNCTION("""COMPUTED_VALUE"""),"")</f>
        <v/>
      </c>
      <c r="P105" s="2" t="str">
        <f ca="1">IFERROR(__xludf.DUMMYFUNCTION("""COMPUTED_VALUE"""),"")</f>
        <v/>
      </c>
      <c r="Q105" s="2" t="str">
        <f ca="1">IFERROR(__xludf.DUMMYFUNCTION("""COMPUTED_VALUE"""),"")</f>
        <v/>
      </c>
      <c r="R105" s="2" t="str">
        <f ca="1">IFERROR(__xludf.DUMMYFUNCTION("""COMPUTED_VALUE"""),"")</f>
        <v/>
      </c>
      <c r="S105" s="2" t="str">
        <f ca="1">IFERROR(__xludf.DUMMYFUNCTION("""COMPUTED_VALUE"""),"")</f>
        <v/>
      </c>
      <c r="T105" s="2" t="str">
        <f ca="1">IFERROR(__xludf.DUMMYFUNCTION("""COMPUTED_VALUE"""),"")</f>
        <v/>
      </c>
      <c r="U105" s="2" t="str">
        <f ca="1">IFERROR(__xludf.DUMMYFUNCTION("""COMPUTED_VALUE"""),"")</f>
        <v/>
      </c>
      <c r="V105" s="2" t="str">
        <f ca="1">IFERROR(__xludf.DUMMYFUNCTION("""COMPUTED_VALUE"""),"")</f>
        <v/>
      </c>
      <c r="W105" s="2" t="str">
        <f ca="1">IFERROR(__xludf.DUMMYFUNCTION("""COMPUTED_VALUE"""),"")</f>
        <v/>
      </c>
      <c r="X105" s="2" t="str">
        <f ca="1">IFERROR(__xludf.DUMMYFUNCTION("""COMPUTED_VALUE"""),"")</f>
        <v/>
      </c>
      <c r="Y105" s="2" t="str">
        <f ca="1">IFERROR(__xludf.DUMMYFUNCTION("""COMPUTED_VALUE"""),"")</f>
        <v/>
      </c>
      <c r="Z105" s="2" t="str">
        <f ca="1">IFERROR(__xludf.DUMMYFUNCTION("""COMPUTED_VALUE"""),"")</f>
        <v/>
      </c>
      <c r="AA105" s="2" t="str">
        <f ca="1">IFERROR(__xludf.DUMMYFUNCTION("""COMPUTED_VALUE"""),"")</f>
        <v/>
      </c>
      <c r="AB105" s="2" t="str">
        <f ca="1">IFERROR(__xludf.DUMMYFUNCTION("""COMPUTED_VALUE"""),"")</f>
        <v/>
      </c>
      <c r="AC105" s="2" t="str">
        <f ca="1">IFERROR(__xludf.DUMMYFUNCTION("""COMPUTED_VALUE"""),"")</f>
        <v/>
      </c>
      <c r="AD105" s="2" t="str">
        <f ca="1">IFERROR(__xludf.DUMMYFUNCTION("""COMPUTED_VALUE"""),"")</f>
        <v/>
      </c>
      <c r="AE105" s="2" t="str">
        <f ca="1">IFERROR(__xludf.DUMMYFUNCTION("""COMPUTED_VALUE"""),"")</f>
        <v/>
      </c>
      <c r="AF105" s="2" t="str">
        <f ca="1">IFERROR(__xludf.DUMMYFUNCTION("""COMPUTED_VALUE"""),"")</f>
        <v/>
      </c>
      <c r="AG105" s="2" t="str">
        <f ca="1">IFERROR(__xludf.DUMMYFUNCTION("""COMPUTED_VALUE"""),"")</f>
        <v/>
      </c>
      <c r="AH105" s="2" t="str">
        <f ca="1">IFERROR(__xludf.DUMMYFUNCTION("""COMPUTED_VALUE"""),"")</f>
        <v/>
      </c>
      <c r="AI105" s="2" t="str">
        <f ca="1">IFERROR(__xludf.DUMMYFUNCTION("""COMPUTED_VALUE"""),"")</f>
        <v/>
      </c>
      <c r="AJ105" s="2" t="str">
        <f ca="1">IFERROR(__xludf.DUMMYFUNCTION("""COMPUTED_VALUE"""),"")</f>
        <v/>
      </c>
      <c r="AK105" s="2" t="str">
        <f ca="1">IFERROR(__xludf.DUMMYFUNCTION("""COMPUTED_VALUE"""),"")</f>
        <v/>
      </c>
      <c r="AL105" s="2" t="str">
        <f ca="1">IFERROR(__xludf.DUMMYFUNCTION("""COMPUTED_VALUE"""),"")</f>
        <v/>
      </c>
      <c r="AM105" s="2" t="str">
        <f ca="1">IFERROR(__xludf.DUMMYFUNCTION("""COMPUTED_VALUE"""),"")</f>
        <v/>
      </c>
      <c r="AN105" s="2" t="str">
        <f ca="1">IFERROR(__xludf.DUMMYFUNCTION("""COMPUTED_VALUE"""),"")</f>
        <v/>
      </c>
      <c r="AO105" s="2" t="str">
        <f ca="1">IFERROR(__xludf.DUMMYFUNCTION("""COMPUTED_VALUE"""),"")</f>
        <v/>
      </c>
      <c r="AP105" s="2" t="str">
        <f ca="1">IFERROR(__xludf.DUMMYFUNCTION("""COMPUTED_VALUE"""),"")</f>
        <v/>
      </c>
      <c r="AQ105" s="2" t="str">
        <f ca="1">IFERROR(__xludf.DUMMYFUNCTION("""COMPUTED_VALUE"""),"")</f>
        <v/>
      </c>
      <c r="AR105" s="2" t="str">
        <f ca="1">IFERROR(__xludf.DUMMYFUNCTION("""COMPUTED_VALUE"""),"")</f>
        <v/>
      </c>
      <c r="AS105" s="2" t="str">
        <f ca="1">IFERROR(__xludf.DUMMYFUNCTION("""COMPUTED_VALUE"""),"")</f>
        <v/>
      </c>
      <c r="AT105" s="2" t="str">
        <f ca="1">IFERROR(__xludf.DUMMYFUNCTION("""COMPUTED_VALUE"""),"")</f>
        <v/>
      </c>
      <c r="AU105" s="2" t="str">
        <f ca="1">IFERROR(__xludf.DUMMYFUNCTION("""COMPUTED_VALUE"""),"")</f>
        <v/>
      </c>
      <c r="AV105" s="2" t="str">
        <f ca="1">IFERROR(__xludf.DUMMYFUNCTION("""COMPUTED_VALUE"""),"")</f>
        <v/>
      </c>
      <c r="AW105" s="2" t="str">
        <f ca="1">IFERROR(__xludf.DUMMYFUNCTION("""COMPUTED_VALUE"""),"")</f>
        <v/>
      </c>
      <c r="AX105" s="2" t="str">
        <f ca="1">IFERROR(__xludf.DUMMYFUNCTION("""COMPUTED_VALUE"""),"")</f>
        <v/>
      </c>
      <c r="AY105" s="2" t="str">
        <f ca="1">IFERROR(__xludf.DUMMYFUNCTION("""COMPUTED_VALUE"""),"")</f>
        <v/>
      </c>
      <c r="AZ105" s="2" t="str">
        <f ca="1">IFERROR(__xludf.DUMMYFUNCTION("""COMPUTED_VALUE"""),"")</f>
        <v/>
      </c>
      <c r="BA105" s="2" t="str">
        <f ca="1">IFERROR(__xludf.DUMMYFUNCTION("""COMPUTED_VALUE"""),"")</f>
        <v/>
      </c>
      <c r="BB105" s="2" t="str">
        <f ca="1">IFERROR(__xludf.DUMMYFUNCTION("""COMPUTED_VALUE"""),"")</f>
        <v/>
      </c>
      <c r="BC105" s="2" t="str">
        <f ca="1">IFERROR(__xludf.DUMMYFUNCTION("""COMPUTED_VALUE"""),"")</f>
        <v/>
      </c>
      <c r="BD105" s="2" t="str">
        <f ca="1">IFERROR(__xludf.DUMMYFUNCTION("""COMPUTED_VALUE"""),"")</f>
        <v/>
      </c>
      <c r="BE105" s="2" t="str">
        <f ca="1">IFERROR(__xludf.DUMMYFUNCTION("""COMPUTED_VALUE"""),"")</f>
        <v/>
      </c>
      <c r="BF105" t="str">
        <f ca="1">IFERROR(__xludf.DUMMYFUNCTION("""COMPUTED_VALUE"""),"")</f>
        <v/>
      </c>
      <c r="BG105" t="str">
        <f ca="1">IFERROR(__xludf.DUMMYFUNCTION("""COMPUTED_VALUE"""),"")</f>
        <v/>
      </c>
      <c r="BH105" s="2">
        <f ca="1">IFERROR(__xludf.DUMMYFUNCTION("""COMPUTED_VALUE"""),-37.7753487)</f>
        <v>-37.775348700000002</v>
      </c>
      <c r="BI105" s="12">
        <f ca="1">IFERROR(__xludf.DUMMYFUNCTION("""COMPUTED_VALUE"""),176.4751434)</f>
        <v>176.47514340000001</v>
      </c>
      <c r="BJ105" s="9">
        <f ca="1">IFERROR(__xludf.DUMMYFUNCTION("""COMPUTED_VALUE"""),43418)</f>
        <v>43418</v>
      </c>
      <c r="BK105" s="4">
        <f ca="1">IFERROR(__xludf.DUMMYFUNCTION("""COMPUTED_VALUE"""),0.457777777777664)</f>
        <v>0.45777777777766399</v>
      </c>
    </row>
    <row r="106" spans="1:63" ht="12.5" x14ac:dyDescent="0.25">
      <c r="A106" s="7" t="str">
        <f ca="1">IFERROR(__xludf.DUMMYFUNCTION("""COMPUTED_VALUE"""),"")</f>
        <v/>
      </c>
      <c r="B106" s="8" t="str">
        <f ca="1">IFERROR(__xludf.DUMMYFUNCTION("""COMPUTED_VALUE"""),"Waikato")</f>
        <v>Waikato</v>
      </c>
      <c r="C106" s="2">
        <f ca="1">IFERROR(__xludf.DUMMYFUNCTION("""COMPUTED_VALUE"""),64)</f>
        <v>64</v>
      </c>
      <c r="D106" s="9" t="str">
        <f ca="1">IFERROR(__xludf.DUMMYFUNCTION("""COMPUTED_VALUE"""),"")</f>
        <v/>
      </c>
      <c r="E106" s="4" t="str">
        <f ca="1">IFERROR(__xludf.DUMMYFUNCTION("""COMPUTED_VALUE"""),"")</f>
        <v/>
      </c>
      <c r="F106" s="2" t="str">
        <f ca="1">IFERROR(__xludf.DUMMYFUNCTION("""COMPUTED_VALUE"""),"")</f>
        <v/>
      </c>
      <c r="G106" s="2" t="str">
        <f ca="1">IFERROR(__xludf.DUMMYFUNCTION("""COMPUTED_VALUE"""),"GPS: I converted data downloaded from ARGOS using Pinpoint software")</f>
        <v>GPS: I converted data downloaded from ARGOS using Pinpoint software</v>
      </c>
      <c r="H106" s="2" t="str">
        <f ca="1">IFERROR(__xludf.DUMMYFUNCTION("""COMPUTED_VALUE"""),"3D")</f>
        <v>3D</v>
      </c>
      <c r="I106" s="2" t="str">
        <f ca="1">IFERROR(__xludf.DUMMYFUNCTION("""COMPUTED_VALUE"""),"")</f>
        <v/>
      </c>
      <c r="J106" s="2" t="str">
        <f ca="1">IFERROR(__xludf.DUMMYFUNCTION("""COMPUTED_VALUE"""),"")</f>
        <v/>
      </c>
      <c r="K106" s="2" t="str">
        <f ca="1">IFERROR(__xludf.DUMMYFUNCTION("""COMPUTED_VALUE"""),"")</f>
        <v/>
      </c>
      <c r="L106" s="2" t="str">
        <f ca="1">IFERROR(__xludf.DUMMYFUNCTION("""COMPUTED_VALUE"""),"")</f>
        <v/>
      </c>
      <c r="M106" s="5" t="str">
        <f ca="1">IFERROR(__xludf.DUMMYFUNCTION("""COMPUTED_VALUE"""),"")</f>
        <v/>
      </c>
      <c r="N106" s="5" t="str">
        <f ca="1">IFERROR(__xludf.DUMMYFUNCTION("""COMPUTED_VALUE"""),"")</f>
        <v/>
      </c>
      <c r="O106" s="2" t="str">
        <f ca="1">IFERROR(__xludf.DUMMYFUNCTION("""COMPUTED_VALUE"""),"")</f>
        <v/>
      </c>
      <c r="P106" s="2" t="str">
        <f ca="1">IFERROR(__xludf.DUMMYFUNCTION("""COMPUTED_VALUE"""),"")</f>
        <v/>
      </c>
      <c r="Q106" s="2" t="str">
        <f ca="1">IFERROR(__xludf.DUMMYFUNCTION("""COMPUTED_VALUE"""),"")</f>
        <v/>
      </c>
      <c r="R106" s="2" t="str">
        <f ca="1">IFERROR(__xludf.DUMMYFUNCTION("""COMPUTED_VALUE"""),"")</f>
        <v/>
      </c>
      <c r="S106" s="2" t="str">
        <f ca="1">IFERROR(__xludf.DUMMYFUNCTION("""COMPUTED_VALUE"""),"")</f>
        <v/>
      </c>
      <c r="T106" s="2" t="str">
        <f ca="1">IFERROR(__xludf.DUMMYFUNCTION("""COMPUTED_VALUE"""),"")</f>
        <v/>
      </c>
      <c r="U106" s="2" t="str">
        <f ca="1">IFERROR(__xludf.DUMMYFUNCTION("""COMPUTED_VALUE"""),"")</f>
        <v/>
      </c>
      <c r="V106" s="2" t="str">
        <f ca="1">IFERROR(__xludf.DUMMYFUNCTION("""COMPUTED_VALUE"""),"")</f>
        <v/>
      </c>
      <c r="W106" s="2" t="str">
        <f ca="1">IFERROR(__xludf.DUMMYFUNCTION("""COMPUTED_VALUE"""),"")</f>
        <v/>
      </c>
      <c r="X106" s="2" t="str">
        <f ca="1">IFERROR(__xludf.DUMMYFUNCTION("""COMPUTED_VALUE"""),"")</f>
        <v/>
      </c>
      <c r="Y106" s="2" t="str">
        <f ca="1">IFERROR(__xludf.DUMMYFUNCTION("""COMPUTED_VALUE"""),"")</f>
        <v/>
      </c>
      <c r="Z106" s="2" t="str">
        <f ca="1">IFERROR(__xludf.DUMMYFUNCTION("""COMPUTED_VALUE"""),"")</f>
        <v/>
      </c>
      <c r="AA106" s="2" t="str">
        <f ca="1">IFERROR(__xludf.DUMMYFUNCTION("""COMPUTED_VALUE"""),"")</f>
        <v/>
      </c>
      <c r="AB106" s="2" t="str">
        <f ca="1">IFERROR(__xludf.DUMMYFUNCTION("""COMPUTED_VALUE"""),"")</f>
        <v/>
      </c>
      <c r="AC106" s="2" t="str">
        <f ca="1">IFERROR(__xludf.DUMMYFUNCTION("""COMPUTED_VALUE"""),"")</f>
        <v/>
      </c>
      <c r="AD106" s="2" t="str">
        <f ca="1">IFERROR(__xludf.DUMMYFUNCTION("""COMPUTED_VALUE"""),"")</f>
        <v/>
      </c>
      <c r="AE106" s="2" t="str">
        <f ca="1">IFERROR(__xludf.DUMMYFUNCTION("""COMPUTED_VALUE"""),"")</f>
        <v/>
      </c>
      <c r="AF106" s="2" t="str">
        <f ca="1">IFERROR(__xludf.DUMMYFUNCTION("""COMPUTED_VALUE"""),"")</f>
        <v/>
      </c>
      <c r="AG106" s="2" t="str">
        <f ca="1">IFERROR(__xludf.DUMMYFUNCTION("""COMPUTED_VALUE"""),"")</f>
        <v/>
      </c>
      <c r="AH106" s="2" t="str">
        <f ca="1">IFERROR(__xludf.DUMMYFUNCTION("""COMPUTED_VALUE"""),"")</f>
        <v/>
      </c>
      <c r="AI106" s="2" t="str">
        <f ca="1">IFERROR(__xludf.DUMMYFUNCTION("""COMPUTED_VALUE"""),"")</f>
        <v/>
      </c>
      <c r="AJ106" s="2" t="str">
        <f ca="1">IFERROR(__xludf.DUMMYFUNCTION("""COMPUTED_VALUE"""),"")</f>
        <v/>
      </c>
      <c r="AK106" s="2" t="str">
        <f ca="1">IFERROR(__xludf.DUMMYFUNCTION("""COMPUTED_VALUE"""),"")</f>
        <v/>
      </c>
      <c r="AL106" s="2" t="str">
        <f ca="1">IFERROR(__xludf.DUMMYFUNCTION("""COMPUTED_VALUE"""),"")</f>
        <v/>
      </c>
      <c r="AM106" s="2" t="str">
        <f ca="1">IFERROR(__xludf.DUMMYFUNCTION("""COMPUTED_VALUE"""),"")</f>
        <v/>
      </c>
      <c r="AN106" s="2" t="str">
        <f ca="1">IFERROR(__xludf.DUMMYFUNCTION("""COMPUTED_VALUE"""),"")</f>
        <v/>
      </c>
      <c r="AO106" s="2" t="str">
        <f ca="1">IFERROR(__xludf.DUMMYFUNCTION("""COMPUTED_VALUE"""),"")</f>
        <v/>
      </c>
      <c r="AP106" s="2" t="str">
        <f ca="1">IFERROR(__xludf.DUMMYFUNCTION("""COMPUTED_VALUE"""),"")</f>
        <v/>
      </c>
      <c r="AQ106" s="2" t="str">
        <f ca="1">IFERROR(__xludf.DUMMYFUNCTION("""COMPUTED_VALUE"""),"")</f>
        <v/>
      </c>
      <c r="AR106" s="2" t="str">
        <f ca="1">IFERROR(__xludf.DUMMYFUNCTION("""COMPUTED_VALUE"""),"")</f>
        <v/>
      </c>
      <c r="AS106" s="2" t="str">
        <f ca="1">IFERROR(__xludf.DUMMYFUNCTION("""COMPUTED_VALUE"""),"")</f>
        <v/>
      </c>
      <c r="AT106" s="2" t="str">
        <f ca="1">IFERROR(__xludf.DUMMYFUNCTION("""COMPUTED_VALUE"""),"")</f>
        <v/>
      </c>
      <c r="AU106" s="2" t="str">
        <f ca="1">IFERROR(__xludf.DUMMYFUNCTION("""COMPUTED_VALUE"""),"")</f>
        <v/>
      </c>
      <c r="AV106" s="2" t="str">
        <f ca="1">IFERROR(__xludf.DUMMYFUNCTION("""COMPUTED_VALUE"""),"")</f>
        <v/>
      </c>
      <c r="AW106" s="2" t="str">
        <f ca="1">IFERROR(__xludf.DUMMYFUNCTION("""COMPUTED_VALUE"""),"")</f>
        <v/>
      </c>
      <c r="AX106" s="2" t="str">
        <f ca="1">IFERROR(__xludf.DUMMYFUNCTION("""COMPUTED_VALUE"""),"")</f>
        <v/>
      </c>
      <c r="AY106" s="2" t="str">
        <f ca="1">IFERROR(__xludf.DUMMYFUNCTION("""COMPUTED_VALUE"""),"")</f>
        <v/>
      </c>
      <c r="AZ106" s="2" t="str">
        <f ca="1">IFERROR(__xludf.DUMMYFUNCTION("""COMPUTED_VALUE"""),"")</f>
        <v/>
      </c>
      <c r="BA106" s="2" t="str">
        <f ca="1">IFERROR(__xludf.DUMMYFUNCTION("""COMPUTED_VALUE"""),"")</f>
        <v/>
      </c>
      <c r="BB106" s="2" t="str">
        <f ca="1">IFERROR(__xludf.DUMMYFUNCTION("""COMPUTED_VALUE"""),"")</f>
        <v/>
      </c>
      <c r="BC106" s="2" t="str">
        <f ca="1">IFERROR(__xludf.DUMMYFUNCTION("""COMPUTED_VALUE"""),"")</f>
        <v/>
      </c>
      <c r="BD106" s="2" t="str">
        <f ca="1">IFERROR(__xludf.DUMMYFUNCTION("""COMPUTED_VALUE"""),"")</f>
        <v/>
      </c>
      <c r="BE106" s="2" t="str">
        <f ca="1">IFERROR(__xludf.DUMMYFUNCTION("""COMPUTED_VALUE"""),"")</f>
        <v/>
      </c>
      <c r="BF106" t="str">
        <f ca="1">IFERROR(__xludf.DUMMYFUNCTION("""COMPUTED_VALUE"""),"")</f>
        <v/>
      </c>
      <c r="BG106" t="str">
        <f ca="1">IFERROR(__xludf.DUMMYFUNCTION("""COMPUTED_VALUE"""),"")</f>
        <v/>
      </c>
      <c r="BH106" s="2">
        <f ca="1">IFERROR(__xludf.DUMMYFUNCTION("""COMPUTED_VALUE"""),-37.8211708)</f>
        <v>-37.821170799999997</v>
      </c>
      <c r="BI106" s="13">
        <f ca="1">IFERROR(__xludf.DUMMYFUNCTION("""COMPUTED_VALUE"""),176.3582306)</f>
        <v>176.35823060000001</v>
      </c>
      <c r="BJ106" s="9">
        <f ca="1">IFERROR(__xludf.DUMMYFUNCTION("""COMPUTED_VALUE"""),43418)</f>
        <v>43418</v>
      </c>
      <c r="BK106" s="4">
        <f ca="1">IFERROR(__xludf.DUMMYFUNCTION("""COMPUTED_VALUE"""),0.958518518516939)</f>
        <v>0.95851851851693903</v>
      </c>
    </row>
    <row r="107" spans="1:63" ht="12.5" x14ac:dyDescent="0.25">
      <c r="A107" s="7" t="str">
        <f ca="1">IFERROR(__xludf.DUMMYFUNCTION("""COMPUTED_VALUE"""),"")</f>
        <v/>
      </c>
      <c r="B107" s="8" t="str">
        <f ca="1">IFERROR(__xludf.DUMMYFUNCTION("""COMPUTED_VALUE"""),"Waikato")</f>
        <v>Waikato</v>
      </c>
      <c r="C107" s="2">
        <f ca="1">IFERROR(__xludf.DUMMYFUNCTION("""COMPUTED_VALUE"""),64)</f>
        <v>64</v>
      </c>
      <c r="D107" s="9" t="str">
        <f ca="1">IFERROR(__xludf.DUMMYFUNCTION("""COMPUTED_VALUE"""),"")</f>
        <v/>
      </c>
      <c r="E107" s="4" t="str">
        <f ca="1">IFERROR(__xludf.DUMMYFUNCTION("""COMPUTED_VALUE"""),"")</f>
        <v/>
      </c>
      <c r="F107" s="2" t="str">
        <f ca="1">IFERROR(__xludf.DUMMYFUNCTION("""COMPUTED_VALUE"""),"")</f>
        <v/>
      </c>
      <c r="G107" s="2" t="str">
        <f ca="1">IFERROR(__xludf.DUMMYFUNCTION("""COMPUTED_VALUE"""),"GPS: I converted data downloaded from ARGOS using Pinpoint software")</f>
        <v>GPS: I converted data downloaded from ARGOS using Pinpoint software</v>
      </c>
      <c r="H107" s="2" t="str">
        <f ca="1">IFERROR(__xludf.DUMMYFUNCTION("""COMPUTED_VALUE"""),"3D")</f>
        <v>3D</v>
      </c>
      <c r="I107" s="2" t="str">
        <f ca="1">IFERROR(__xludf.DUMMYFUNCTION("""COMPUTED_VALUE"""),"")</f>
        <v/>
      </c>
      <c r="J107" s="2" t="str">
        <f ca="1">IFERROR(__xludf.DUMMYFUNCTION("""COMPUTED_VALUE"""),"")</f>
        <v/>
      </c>
      <c r="K107" s="2" t="str">
        <f ca="1">IFERROR(__xludf.DUMMYFUNCTION("""COMPUTED_VALUE"""),"")</f>
        <v/>
      </c>
      <c r="L107" s="2" t="str">
        <f ca="1">IFERROR(__xludf.DUMMYFUNCTION("""COMPUTED_VALUE"""),"")</f>
        <v/>
      </c>
      <c r="M107" s="5" t="str">
        <f ca="1">IFERROR(__xludf.DUMMYFUNCTION("""COMPUTED_VALUE"""),"")</f>
        <v/>
      </c>
      <c r="N107" s="5" t="str">
        <f ca="1">IFERROR(__xludf.DUMMYFUNCTION("""COMPUTED_VALUE"""),"")</f>
        <v/>
      </c>
      <c r="O107" s="2" t="str">
        <f ca="1">IFERROR(__xludf.DUMMYFUNCTION("""COMPUTED_VALUE"""),"")</f>
        <v/>
      </c>
      <c r="P107" s="2" t="str">
        <f ca="1">IFERROR(__xludf.DUMMYFUNCTION("""COMPUTED_VALUE"""),"")</f>
        <v/>
      </c>
      <c r="Q107" s="2" t="str">
        <f ca="1">IFERROR(__xludf.DUMMYFUNCTION("""COMPUTED_VALUE"""),"")</f>
        <v/>
      </c>
      <c r="R107" s="2" t="str">
        <f ca="1">IFERROR(__xludf.DUMMYFUNCTION("""COMPUTED_VALUE"""),"")</f>
        <v/>
      </c>
      <c r="S107" s="2" t="str">
        <f ca="1">IFERROR(__xludf.DUMMYFUNCTION("""COMPUTED_VALUE"""),"")</f>
        <v/>
      </c>
      <c r="T107" s="2" t="str">
        <f ca="1">IFERROR(__xludf.DUMMYFUNCTION("""COMPUTED_VALUE"""),"")</f>
        <v/>
      </c>
      <c r="U107" s="2" t="str">
        <f ca="1">IFERROR(__xludf.DUMMYFUNCTION("""COMPUTED_VALUE"""),"")</f>
        <v/>
      </c>
      <c r="V107" s="2" t="str">
        <f ca="1">IFERROR(__xludf.DUMMYFUNCTION("""COMPUTED_VALUE"""),"")</f>
        <v/>
      </c>
      <c r="W107" s="2" t="str">
        <f ca="1">IFERROR(__xludf.DUMMYFUNCTION("""COMPUTED_VALUE"""),"")</f>
        <v/>
      </c>
      <c r="X107" s="2" t="str">
        <f ca="1">IFERROR(__xludf.DUMMYFUNCTION("""COMPUTED_VALUE"""),"")</f>
        <v/>
      </c>
      <c r="Y107" s="2" t="str">
        <f ca="1">IFERROR(__xludf.DUMMYFUNCTION("""COMPUTED_VALUE"""),"")</f>
        <v/>
      </c>
      <c r="Z107" s="2" t="str">
        <f ca="1">IFERROR(__xludf.DUMMYFUNCTION("""COMPUTED_VALUE"""),"")</f>
        <v/>
      </c>
      <c r="AA107" s="2" t="str">
        <f ca="1">IFERROR(__xludf.DUMMYFUNCTION("""COMPUTED_VALUE"""),"")</f>
        <v/>
      </c>
      <c r="AB107" s="2" t="str">
        <f ca="1">IFERROR(__xludf.DUMMYFUNCTION("""COMPUTED_VALUE"""),"")</f>
        <v/>
      </c>
      <c r="AC107" s="2" t="str">
        <f ca="1">IFERROR(__xludf.DUMMYFUNCTION("""COMPUTED_VALUE"""),"")</f>
        <v/>
      </c>
      <c r="AD107" s="2" t="str">
        <f ca="1">IFERROR(__xludf.DUMMYFUNCTION("""COMPUTED_VALUE"""),"")</f>
        <v/>
      </c>
      <c r="AE107" s="2" t="str">
        <f ca="1">IFERROR(__xludf.DUMMYFUNCTION("""COMPUTED_VALUE"""),"")</f>
        <v/>
      </c>
      <c r="AF107" s="2" t="str">
        <f ca="1">IFERROR(__xludf.DUMMYFUNCTION("""COMPUTED_VALUE"""),"")</f>
        <v/>
      </c>
      <c r="AG107" s="2" t="str">
        <f ca="1">IFERROR(__xludf.DUMMYFUNCTION("""COMPUTED_VALUE"""),"")</f>
        <v/>
      </c>
      <c r="AH107" s="2" t="str">
        <f ca="1">IFERROR(__xludf.DUMMYFUNCTION("""COMPUTED_VALUE"""),"")</f>
        <v/>
      </c>
      <c r="AI107" s="2" t="str">
        <f ca="1">IFERROR(__xludf.DUMMYFUNCTION("""COMPUTED_VALUE"""),"")</f>
        <v/>
      </c>
      <c r="AJ107" s="2" t="str">
        <f ca="1">IFERROR(__xludf.DUMMYFUNCTION("""COMPUTED_VALUE"""),"")</f>
        <v/>
      </c>
      <c r="AK107" s="2" t="str">
        <f ca="1">IFERROR(__xludf.DUMMYFUNCTION("""COMPUTED_VALUE"""),"")</f>
        <v/>
      </c>
      <c r="AL107" s="2" t="str">
        <f ca="1">IFERROR(__xludf.DUMMYFUNCTION("""COMPUTED_VALUE"""),"")</f>
        <v/>
      </c>
      <c r="AM107" s="2" t="str">
        <f ca="1">IFERROR(__xludf.DUMMYFUNCTION("""COMPUTED_VALUE"""),"")</f>
        <v/>
      </c>
      <c r="AN107" s="2" t="str">
        <f ca="1">IFERROR(__xludf.DUMMYFUNCTION("""COMPUTED_VALUE"""),"")</f>
        <v/>
      </c>
      <c r="AO107" s="2" t="str">
        <f ca="1">IFERROR(__xludf.DUMMYFUNCTION("""COMPUTED_VALUE"""),"")</f>
        <v/>
      </c>
      <c r="AP107" s="2" t="str">
        <f ca="1">IFERROR(__xludf.DUMMYFUNCTION("""COMPUTED_VALUE"""),"")</f>
        <v/>
      </c>
      <c r="AQ107" s="2" t="str">
        <f ca="1">IFERROR(__xludf.DUMMYFUNCTION("""COMPUTED_VALUE"""),"")</f>
        <v/>
      </c>
      <c r="AR107" s="2" t="str">
        <f ca="1">IFERROR(__xludf.DUMMYFUNCTION("""COMPUTED_VALUE"""),"")</f>
        <v/>
      </c>
      <c r="AS107" s="2" t="str">
        <f ca="1">IFERROR(__xludf.DUMMYFUNCTION("""COMPUTED_VALUE"""),"")</f>
        <v/>
      </c>
      <c r="AT107" s="2" t="str">
        <f ca="1">IFERROR(__xludf.DUMMYFUNCTION("""COMPUTED_VALUE"""),"")</f>
        <v/>
      </c>
      <c r="AU107" s="2" t="str">
        <f ca="1">IFERROR(__xludf.DUMMYFUNCTION("""COMPUTED_VALUE"""),"")</f>
        <v/>
      </c>
      <c r="AV107" s="2" t="str">
        <f ca="1">IFERROR(__xludf.DUMMYFUNCTION("""COMPUTED_VALUE"""),"")</f>
        <v/>
      </c>
      <c r="AW107" s="2" t="str">
        <f ca="1">IFERROR(__xludf.DUMMYFUNCTION("""COMPUTED_VALUE"""),"")</f>
        <v/>
      </c>
      <c r="AX107" s="2" t="str">
        <f ca="1">IFERROR(__xludf.DUMMYFUNCTION("""COMPUTED_VALUE"""),"")</f>
        <v/>
      </c>
      <c r="AY107" s="2" t="str">
        <f ca="1">IFERROR(__xludf.DUMMYFUNCTION("""COMPUTED_VALUE"""),"")</f>
        <v/>
      </c>
      <c r="AZ107" s="2" t="str">
        <f ca="1">IFERROR(__xludf.DUMMYFUNCTION("""COMPUTED_VALUE"""),"")</f>
        <v/>
      </c>
      <c r="BA107" s="2" t="str">
        <f ca="1">IFERROR(__xludf.DUMMYFUNCTION("""COMPUTED_VALUE"""),"")</f>
        <v/>
      </c>
      <c r="BB107" s="2" t="str">
        <f ca="1">IFERROR(__xludf.DUMMYFUNCTION("""COMPUTED_VALUE"""),"")</f>
        <v/>
      </c>
      <c r="BC107" s="2" t="str">
        <f ca="1">IFERROR(__xludf.DUMMYFUNCTION("""COMPUTED_VALUE"""),"")</f>
        <v/>
      </c>
      <c r="BD107" s="2" t="str">
        <f ca="1">IFERROR(__xludf.DUMMYFUNCTION("""COMPUTED_VALUE"""),"")</f>
        <v/>
      </c>
      <c r="BE107" s="2" t="str">
        <f ca="1">IFERROR(__xludf.DUMMYFUNCTION("""COMPUTED_VALUE"""),"")</f>
        <v/>
      </c>
      <c r="BF107" t="str">
        <f ca="1">IFERROR(__xludf.DUMMYFUNCTION("""COMPUTED_VALUE"""),"")</f>
        <v/>
      </c>
      <c r="BG107" t="str">
        <f ca="1">IFERROR(__xludf.DUMMYFUNCTION("""COMPUTED_VALUE"""),"")</f>
        <v/>
      </c>
      <c r="BH107" s="2">
        <f ca="1">IFERROR(__xludf.DUMMYFUNCTION("""COMPUTED_VALUE"""),-37.8214798)</f>
        <v>-37.821479799999999</v>
      </c>
      <c r="BI107" s="12">
        <f ca="1">IFERROR(__xludf.DUMMYFUNCTION("""COMPUTED_VALUE"""),176.3588257)</f>
        <v>176.35882570000001</v>
      </c>
      <c r="BJ107" s="9">
        <f ca="1">IFERROR(__xludf.DUMMYFUNCTION("""COMPUTED_VALUE"""),43420)</f>
        <v>43420</v>
      </c>
      <c r="BK107" s="4">
        <f ca="1">IFERROR(__xludf.DUMMYFUNCTION("""COMPUTED_VALUE"""),0.457777777777664)</f>
        <v>0.45777777777766399</v>
      </c>
    </row>
    <row r="108" spans="1:63" ht="12.5" x14ac:dyDescent="0.25">
      <c r="A108" s="7" t="str">
        <f ca="1">IFERROR(__xludf.DUMMYFUNCTION("""COMPUTED_VALUE"""),"")</f>
        <v/>
      </c>
      <c r="B108" s="8" t="str">
        <f ca="1">IFERROR(__xludf.DUMMYFUNCTION("""COMPUTED_VALUE"""),"Waikato")</f>
        <v>Waikato</v>
      </c>
      <c r="C108" s="2">
        <f ca="1">IFERROR(__xludf.DUMMYFUNCTION("""COMPUTED_VALUE"""),64)</f>
        <v>64</v>
      </c>
      <c r="D108" s="9" t="str">
        <f ca="1">IFERROR(__xludf.DUMMYFUNCTION("""COMPUTED_VALUE"""),"")</f>
        <v/>
      </c>
      <c r="E108" s="4" t="str">
        <f ca="1">IFERROR(__xludf.DUMMYFUNCTION("""COMPUTED_VALUE"""),"")</f>
        <v/>
      </c>
      <c r="F108" s="2" t="str">
        <f ca="1">IFERROR(__xludf.DUMMYFUNCTION("""COMPUTED_VALUE"""),"")</f>
        <v/>
      </c>
      <c r="G108" s="2" t="str">
        <f ca="1">IFERROR(__xludf.DUMMYFUNCTION("""COMPUTED_VALUE"""),"GPS: I converted data downloaded from ARGOS using Pinpoint software")</f>
        <v>GPS: I converted data downloaded from ARGOS using Pinpoint software</v>
      </c>
      <c r="H108" s="2" t="str">
        <f ca="1">IFERROR(__xludf.DUMMYFUNCTION("""COMPUTED_VALUE"""),"3D")</f>
        <v>3D</v>
      </c>
      <c r="I108" s="2" t="str">
        <f ca="1">IFERROR(__xludf.DUMMYFUNCTION("""COMPUTED_VALUE"""),"")</f>
        <v/>
      </c>
      <c r="J108" s="2" t="str">
        <f ca="1">IFERROR(__xludf.DUMMYFUNCTION("""COMPUTED_VALUE"""),"")</f>
        <v/>
      </c>
      <c r="K108" s="2" t="str">
        <f ca="1">IFERROR(__xludf.DUMMYFUNCTION("""COMPUTED_VALUE"""),"")</f>
        <v/>
      </c>
      <c r="L108" s="2" t="str">
        <f ca="1">IFERROR(__xludf.DUMMYFUNCTION("""COMPUTED_VALUE"""),"")</f>
        <v/>
      </c>
      <c r="M108" s="5" t="str">
        <f ca="1">IFERROR(__xludf.DUMMYFUNCTION("""COMPUTED_VALUE"""),"")</f>
        <v/>
      </c>
      <c r="N108" s="5" t="str">
        <f ca="1">IFERROR(__xludf.DUMMYFUNCTION("""COMPUTED_VALUE"""),"")</f>
        <v/>
      </c>
      <c r="O108" s="2" t="str">
        <f ca="1">IFERROR(__xludf.DUMMYFUNCTION("""COMPUTED_VALUE"""),"")</f>
        <v/>
      </c>
      <c r="P108" s="2" t="str">
        <f ca="1">IFERROR(__xludf.DUMMYFUNCTION("""COMPUTED_VALUE"""),"")</f>
        <v/>
      </c>
      <c r="Q108" s="2" t="str">
        <f ca="1">IFERROR(__xludf.DUMMYFUNCTION("""COMPUTED_VALUE"""),"")</f>
        <v/>
      </c>
      <c r="R108" s="2" t="str">
        <f ca="1">IFERROR(__xludf.DUMMYFUNCTION("""COMPUTED_VALUE"""),"")</f>
        <v/>
      </c>
      <c r="S108" s="2" t="str">
        <f ca="1">IFERROR(__xludf.DUMMYFUNCTION("""COMPUTED_VALUE"""),"")</f>
        <v/>
      </c>
      <c r="T108" s="2" t="str">
        <f ca="1">IFERROR(__xludf.DUMMYFUNCTION("""COMPUTED_VALUE"""),"")</f>
        <v/>
      </c>
      <c r="U108" s="2" t="str">
        <f ca="1">IFERROR(__xludf.DUMMYFUNCTION("""COMPUTED_VALUE"""),"")</f>
        <v/>
      </c>
      <c r="V108" s="2" t="str">
        <f ca="1">IFERROR(__xludf.DUMMYFUNCTION("""COMPUTED_VALUE"""),"")</f>
        <v/>
      </c>
      <c r="W108" s="2" t="str">
        <f ca="1">IFERROR(__xludf.DUMMYFUNCTION("""COMPUTED_VALUE"""),"")</f>
        <v/>
      </c>
      <c r="X108" s="2" t="str">
        <f ca="1">IFERROR(__xludf.DUMMYFUNCTION("""COMPUTED_VALUE"""),"")</f>
        <v/>
      </c>
      <c r="Y108" s="2" t="str">
        <f ca="1">IFERROR(__xludf.DUMMYFUNCTION("""COMPUTED_VALUE"""),"")</f>
        <v/>
      </c>
      <c r="Z108" s="2" t="str">
        <f ca="1">IFERROR(__xludf.DUMMYFUNCTION("""COMPUTED_VALUE"""),"")</f>
        <v/>
      </c>
      <c r="AA108" s="2" t="str">
        <f ca="1">IFERROR(__xludf.DUMMYFUNCTION("""COMPUTED_VALUE"""),"")</f>
        <v/>
      </c>
      <c r="AB108" s="2" t="str">
        <f ca="1">IFERROR(__xludf.DUMMYFUNCTION("""COMPUTED_VALUE"""),"")</f>
        <v/>
      </c>
      <c r="AC108" s="2" t="str">
        <f ca="1">IFERROR(__xludf.DUMMYFUNCTION("""COMPUTED_VALUE"""),"")</f>
        <v/>
      </c>
      <c r="AD108" s="2" t="str">
        <f ca="1">IFERROR(__xludf.DUMMYFUNCTION("""COMPUTED_VALUE"""),"")</f>
        <v/>
      </c>
      <c r="AE108" s="2" t="str">
        <f ca="1">IFERROR(__xludf.DUMMYFUNCTION("""COMPUTED_VALUE"""),"")</f>
        <v/>
      </c>
      <c r="AF108" s="2" t="str">
        <f ca="1">IFERROR(__xludf.DUMMYFUNCTION("""COMPUTED_VALUE"""),"")</f>
        <v/>
      </c>
      <c r="AG108" s="2" t="str">
        <f ca="1">IFERROR(__xludf.DUMMYFUNCTION("""COMPUTED_VALUE"""),"")</f>
        <v/>
      </c>
      <c r="AH108" s="2" t="str">
        <f ca="1">IFERROR(__xludf.DUMMYFUNCTION("""COMPUTED_VALUE"""),"")</f>
        <v/>
      </c>
      <c r="AI108" s="2" t="str">
        <f ca="1">IFERROR(__xludf.DUMMYFUNCTION("""COMPUTED_VALUE"""),"")</f>
        <v/>
      </c>
      <c r="AJ108" s="2" t="str">
        <f ca="1">IFERROR(__xludf.DUMMYFUNCTION("""COMPUTED_VALUE"""),"")</f>
        <v/>
      </c>
      <c r="AK108" s="2" t="str">
        <f ca="1">IFERROR(__xludf.DUMMYFUNCTION("""COMPUTED_VALUE"""),"")</f>
        <v/>
      </c>
      <c r="AL108" s="2" t="str">
        <f ca="1">IFERROR(__xludf.DUMMYFUNCTION("""COMPUTED_VALUE"""),"")</f>
        <v/>
      </c>
      <c r="AM108" s="2" t="str">
        <f ca="1">IFERROR(__xludf.DUMMYFUNCTION("""COMPUTED_VALUE"""),"")</f>
        <v/>
      </c>
      <c r="AN108" s="2" t="str">
        <f ca="1">IFERROR(__xludf.DUMMYFUNCTION("""COMPUTED_VALUE"""),"")</f>
        <v/>
      </c>
      <c r="AO108" s="2" t="str">
        <f ca="1">IFERROR(__xludf.DUMMYFUNCTION("""COMPUTED_VALUE"""),"")</f>
        <v/>
      </c>
      <c r="AP108" s="2" t="str">
        <f ca="1">IFERROR(__xludf.DUMMYFUNCTION("""COMPUTED_VALUE"""),"")</f>
        <v/>
      </c>
      <c r="AQ108" s="2" t="str">
        <f ca="1">IFERROR(__xludf.DUMMYFUNCTION("""COMPUTED_VALUE"""),"")</f>
        <v/>
      </c>
      <c r="AR108" s="2" t="str">
        <f ca="1">IFERROR(__xludf.DUMMYFUNCTION("""COMPUTED_VALUE"""),"")</f>
        <v/>
      </c>
      <c r="AS108" s="2" t="str">
        <f ca="1">IFERROR(__xludf.DUMMYFUNCTION("""COMPUTED_VALUE"""),"")</f>
        <v/>
      </c>
      <c r="AT108" s="2" t="str">
        <f ca="1">IFERROR(__xludf.DUMMYFUNCTION("""COMPUTED_VALUE"""),"")</f>
        <v/>
      </c>
      <c r="AU108" s="2" t="str">
        <f ca="1">IFERROR(__xludf.DUMMYFUNCTION("""COMPUTED_VALUE"""),"")</f>
        <v/>
      </c>
      <c r="AV108" s="2" t="str">
        <f ca="1">IFERROR(__xludf.DUMMYFUNCTION("""COMPUTED_VALUE"""),"")</f>
        <v/>
      </c>
      <c r="AW108" s="2" t="str">
        <f ca="1">IFERROR(__xludf.DUMMYFUNCTION("""COMPUTED_VALUE"""),"")</f>
        <v/>
      </c>
      <c r="AX108" s="2" t="str">
        <f ca="1">IFERROR(__xludf.DUMMYFUNCTION("""COMPUTED_VALUE"""),"")</f>
        <v/>
      </c>
      <c r="AY108" s="2" t="str">
        <f ca="1">IFERROR(__xludf.DUMMYFUNCTION("""COMPUTED_VALUE"""),"")</f>
        <v/>
      </c>
      <c r="AZ108" s="2" t="str">
        <f ca="1">IFERROR(__xludf.DUMMYFUNCTION("""COMPUTED_VALUE"""),"")</f>
        <v/>
      </c>
      <c r="BA108" s="2" t="str">
        <f ca="1">IFERROR(__xludf.DUMMYFUNCTION("""COMPUTED_VALUE"""),"")</f>
        <v/>
      </c>
      <c r="BB108" s="2" t="str">
        <f ca="1">IFERROR(__xludf.DUMMYFUNCTION("""COMPUTED_VALUE"""),"")</f>
        <v/>
      </c>
      <c r="BC108" s="2" t="str">
        <f ca="1">IFERROR(__xludf.DUMMYFUNCTION("""COMPUTED_VALUE"""),"")</f>
        <v/>
      </c>
      <c r="BD108" s="2" t="str">
        <f ca="1">IFERROR(__xludf.DUMMYFUNCTION("""COMPUTED_VALUE"""),"")</f>
        <v/>
      </c>
      <c r="BE108" s="2" t="str">
        <f ca="1">IFERROR(__xludf.DUMMYFUNCTION("""COMPUTED_VALUE"""),"")</f>
        <v/>
      </c>
      <c r="BF108" t="str">
        <f ca="1">IFERROR(__xludf.DUMMYFUNCTION("""COMPUTED_VALUE"""),"")</f>
        <v/>
      </c>
      <c r="BG108" t="str">
        <f ca="1">IFERROR(__xludf.DUMMYFUNCTION("""COMPUTED_VALUE"""),"")</f>
        <v/>
      </c>
      <c r="BH108" s="2">
        <f ca="1">IFERROR(__xludf.DUMMYFUNCTION("""COMPUTED_VALUE"""),-37.7486458)</f>
        <v>-37.748645799999998</v>
      </c>
      <c r="BI108" s="13">
        <f ca="1">IFERROR(__xludf.DUMMYFUNCTION("""COMPUTED_VALUE"""),176.375946)</f>
        <v>176.375946</v>
      </c>
      <c r="BJ108" s="9">
        <f ca="1">IFERROR(__xludf.DUMMYFUNCTION("""COMPUTED_VALUE"""),43420)</f>
        <v>43420</v>
      </c>
      <c r="BK108" s="4">
        <f ca="1">IFERROR(__xludf.DUMMYFUNCTION("""COMPUTED_VALUE"""),0.875555555554456)</f>
        <v>0.87555555555445597</v>
      </c>
    </row>
    <row r="109" spans="1:63" ht="12.5" x14ac:dyDescent="0.25">
      <c r="A109" s="7" t="str">
        <f ca="1">IFERROR(__xludf.DUMMYFUNCTION("""COMPUTED_VALUE"""),"")</f>
        <v/>
      </c>
      <c r="B109" s="8" t="str">
        <f ca="1">IFERROR(__xludf.DUMMYFUNCTION("""COMPUTED_VALUE"""),"Waikato")</f>
        <v>Waikato</v>
      </c>
      <c r="C109" s="2">
        <f ca="1">IFERROR(__xludf.DUMMYFUNCTION("""COMPUTED_VALUE"""),64)</f>
        <v>64</v>
      </c>
      <c r="D109" s="9" t="str">
        <f ca="1">IFERROR(__xludf.DUMMYFUNCTION("""COMPUTED_VALUE"""),"")</f>
        <v/>
      </c>
      <c r="E109" s="4" t="str">
        <f ca="1">IFERROR(__xludf.DUMMYFUNCTION("""COMPUTED_VALUE"""),"")</f>
        <v/>
      </c>
      <c r="F109" s="2" t="str">
        <f ca="1">IFERROR(__xludf.DUMMYFUNCTION("""COMPUTED_VALUE"""),"")</f>
        <v/>
      </c>
      <c r="G109" s="2" t="str">
        <f ca="1">IFERROR(__xludf.DUMMYFUNCTION("""COMPUTED_VALUE"""),"GPS: I converted data downloaded from ARGOS using Pinpoint software")</f>
        <v>GPS: I converted data downloaded from ARGOS using Pinpoint software</v>
      </c>
      <c r="H109" s="2" t="str">
        <f ca="1">IFERROR(__xludf.DUMMYFUNCTION("""COMPUTED_VALUE"""),"3D")</f>
        <v>3D</v>
      </c>
      <c r="I109" s="2" t="str">
        <f ca="1">IFERROR(__xludf.DUMMYFUNCTION("""COMPUTED_VALUE"""),"")</f>
        <v/>
      </c>
      <c r="J109" s="2" t="str">
        <f ca="1">IFERROR(__xludf.DUMMYFUNCTION("""COMPUTED_VALUE"""),"")</f>
        <v/>
      </c>
      <c r="K109" s="2" t="str">
        <f ca="1">IFERROR(__xludf.DUMMYFUNCTION("""COMPUTED_VALUE"""),"")</f>
        <v/>
      </c>
      <c r="L109" s="2" t="str">
        <f ca="1">IFERROR(__xludf.DUMMYFUNCTION("""COMPUTED_VALUE"""),"")</f>
        <v/>
      </c>
      <c r="M109" s="5" t="str">
        <f ca="1">IFERROR(__xludf.DUMMYFUNCTION("""COMPUTED_VALUE"""),"")</f>
        <v/>
      </c>
      <c r="N109" s="5" t="str">
        <f ca="1">IFERROR(__xludf.DUMMYFUNCTION("""COMPUTED_VALUE"""),"")</f>
        <v/>
      </c>
      <c r="O109" s="2" t="str">
        <f ca="1">IFERROR(__xludf.DUMMYFUNCTION("""COMPUTED_VALUE"""),"")</f>
        <v/>
      </c>
      <c r="P109" s="2" t="str">
        <f ca="1">IFERROR(__xludf.DUMMYFUNCTION("""COMPUTED_VALUE"""),"")</f>
        <v/>
      </c>
      <c r="Q109" s="2" t="str">
        <f ca="1">IFERROR(__xludf.DUMMYFUNCTION("""COMPUTED_VALUE"""),"")</f>
        <v/>
      </c>
      <c r="R109" s="2" t="str">
        <f ca="1">IFERROR(__xludf.DUMMYFUNCTION("""COMPUTED_VALUE"""),"")</f>
        <v/>
      </c>
      <c r="S109" s="2" t="str">
        <f ca="1">IFERROR(__xludf.DUMMYFUNCTION("""COMPUTED_VALUE"""),"")</f>
        <v/>
      </c>
      <c r="T109" s="2" t="str">
        <f ca="1">IFERROR(__xludf.DUMMYFUNCTION("""COMPUTED_VALUE"""),"")</f>
        <v/>
      </c>
      <c r="U109" s="2" t="str">
        <f ca="1">IFERROR(__xludf.DUMMYFUNCTION("""COMPUTED_VALUE"""),"")</f>
        <v/>
      </c>
      <c r="V109" s="2" t="str">
        <f ca="1">IFERROR(__xludf.DUMMYFUNCTION("""COMPUTED_VALUE"""),"")</f>
        <v/>
      </c>
      <c r="W109" s="2" t="str">
        <f ca="1">IFERROR(__xludf.DUMMYFUNCTION("""COMPUTED_VALUE"""),"")</f>
        <v/>
      </c>
      <c r="X109" s="2" t="str">
        <f ca="1">IFERROR(__xludf.DUMMYFUNCTION("""COMPUTED_VALUE"""),"")</f>
        <v/>
      </c>
      <c r="Y109" s="2" t="str">
        <f ca="1">IFERROR(__xludf.DUMMYFUNCTION("""COMPUTED_VALUE"""),"")</f>
        <v/>
      </c>
      <c r="Z109" s="2" t="str">
        <f ca="1">IFERROR(__xludf.DUMMYFUNCTION("""COMPUTED_VALUE"""),"")</f>
        <v/>
      </c>
      <c r="AA109" s="2" t="str">
        <f ca="1">IFERROR(__xludf.DUMMYFUNCTION("""COMPUTED_VALUE"""),"")</f>
        <v/>
      </c>
      <c r="AB109" s="2" t="str">
        <f ca="1">IFERROR(__xludf.DUMMYFUNCTION("""COMPUTED_VALUE"""),"")</f>
        <v/>
      </c>
      <c r="AC109" s="2" t="str">
        <f ca="1">IFERROR(__xludf.DUMMYFUNCTION("""COMPUTED_VALUE"""),"")</f>
        <v/>
      </c>
      <c r="AD109" s="2" t="str">
        <f ca="1">IFERROR(__xludf.DUMMYFUNCTION("""COMPUTED_VALUE"""),"")</f>
        <v/>
      </c>
      <c r="AE109" s="2" t="str">
        <f ca="1">IFERROR(__xludf.DUMMYFUNCTION("""COMPUTED_VALUE"""),"")</f>
        <v/>
      </c>
      <c r="AF109" s="2" t="str">
        <f ca="1">IFERROR(__xludf.DUMMYFUNCTION("""COMPUTED_VALUE"""),"")</f>
        <v/>
      </c>
      <c r="AG109" s="2" t="str">
        <f ca="1">IFERROR(__xludf.DUMMYFUNCTION("""COMPUTED_VALUE"""),"")</f>
        <v/>
      </c>
      <c r="AH109" s="2" t="str">
        <f ca="1">IFERROR(__xludf.DUMMYFUNCTION("""COMPUTED_VALUE"""),"")</f>
        <v/>
      </c>
      <c r="AI109" s="2" t="str">
        <f ca="1">IFERROR(__xludf.DUMMYFUNCTION("""COMPUTED_VALUE"""),"")</f>
        <v/>
      </c>
      <c r="AJ109" s="2" t="str">
        <f ca="1">IFERROR(__xludf.DUMMYFUNCTION("""COMPUTED_VALUE"""),"")</f>
        <v/>
      </c>
      <c r="AK109" s="2" t="str">
        <f ca="1">IFERROR(__xludf.DUMMYFUNCTION("""COMPUTED_VALUE"""),"")</f>
        <v/>
      </c>
      <c r="AL109" s="2" t="str">
        <f ca="1">IFERROR(__xludf.DUMMYFUNCTION("""COMPUTED_VALUE"""),"")</f>
        <v/>
      </c>
      <c r="AM109" s="2" t="str">
        <f ca="1">IFERROR(__xludf.DUMMYFUNCTION("""COMPUTED_VALUE"""),"")</f>
        <v/>
      </c>
      <c r="AN109" s="2" t="str">
        <f ca="1">IFERROR(__xludf.DUMMYFUNCTION("""COMPUTED_VALUE"""),"")</f>
        <v/>
      </c>
      <c r="AO109" s="2" t="str">
        <f ca="1">IFERROR(__xludf.DUMMYFUNCTION("""COMPUTED_VALUE"""),"")</f>
        <v/>
      </c>
      <c r="AP109" s="2" t="str">
        <f ca="1">IFERROR(__xludf.DUMMYFUNCTION("""COMPUTED_VALUE"""),"")</f>
        <v/>
      </c>
      <c r="AQ109" s="2" t="str">
        <f ca="1">IFERROR(__xludf.DUMMYFUNCTION("""COMPUTED_VALUE"""),"")</f>
        <v/>
      </c>
      <c r="AR109" s="2" t="str">
        <f ca="1">IFERROR(__xludf.DUMMYFUNCTION("""COMPUTED_VALUE"""),"")</f>
        <v/>
      </c>
      <c r="AS109" s="2" t="str">
        <f ca="1">IFERROR(__xludf.DUMMYFUNCTION("""COMPUTED_VALUE"""),"")</f>
        <v/>
      </c>
      <c r="AT109" s="2" t="str">
        <f ca="1">IFERROR(__xludf.DUMMYFUNCTION("""COMPUTED_VALUE"""),"")</f>
        <v/>
      </c>
      <c r="AU109" s="2" t="str">
        <f ca="1">IFERROR(__xludf.DUMMYFUNCTION("""COMPUTED_VALUE"""),"")</f>
        <v/>
      </c>
      <c r="AV109" s="2" t="str">
        <f ca="1">IFERROR(__xludf.DUMMYFUNCTION("""COMPUTED_VALUE"""),"")</f>
        <v/>
      </c>
      <c r="AW109" s="2" t="str">
        <f ca="1">IFERROR(__xludf.DUMMYFUNCTION("""COMPUTED_VALUE"""),"")</f>
        <v/>
      </c>
      <c r="AX109" s="2" t="str">
        <f ca="1">IFERROR(__xludf.DUMMYFUNCTION("""COMPUTED_VALUE"""),"")</f>
        <v/>
      </c>
      <c r="AY109" s="2" t="str">
        <f ca="1">IFERROR(__xludf.DUMMYFUNCTION("""COMPUTED_VALUE"""),"")</f>
        <v/>
      </c>
      <c r="AZ109" s="2" t="str">
        <f ca="1">IFERROR(__xludf.DUMMYFUNCTION("""COMPUTED_VALUE"""),"")</f>
        <v/>
      </c>
      <c r="BA109" s="2" t="str">
        <f ca="1">IFERROR(__xludf.DUMMYFUNCTION("""COMPUTED_VALUE"""),"")</f>
        <v/>
      </c>
      <c r="BB109" s="2" t="str">
        <f ca="1">IFERROR(__xludf.DUMMYFUNCTION("""COMPUTED_VALUE"""),"")</f>
        <v/>
      </c>
      <c r="BC109" s="2" t="str">
        <f ca="1">IFERROR(__xludf.DUMMYFUNCTION("""COMPUTED_VALUE"""),"")</f>
        <v/>
      </c>
      <c r="BD109" s="2" t="str">
        <f ca="1">IFERROR(__xludf.DUMMYFUNCTION("""COMPUTED_VALUE"""),"")</f>
        <v/>
      </c>
      <c r="BE109" s="2" t="str">
        <f ca="1">IFERROR(__xludf.DUMMYFUNCTION("""COMPUTED_VALUE"""),"")</f>
        <v/>
      </c>
      <c r="BF109" t="str">
        <f ca="1">IFERROR(__xludf.DUMMYFUNCTION("""COMPUTED_VALUE"""),"")</f>
        <v/>
      </c>
      <c r="BG109" t="str">
        <f ca="1">IFERROR(__xludf.DUMMYFUNCTION("""COMPUTED_VALUE"""),"")</f>
        <v/>
      </c>
      <c r="BH109" s="2">
        <f ca="1">IFERROR(__xludf.DUMMYFUNCTION("""COMPUTED_VALUE"""),-37.7487221)</f>
        <v>-37.748722100000002</v>
      </c>
      <c r="BI109" s="12">
        <f ca="1">IFERROR(__xludf.DUMMYFUNCTION("""COMPUTED_VALUE"""),176.375946)</f>
        <v>176.375946</v>
      </c>
      <c r="BJ109" s="9">
        <f ca="1">IFERROR(__xludf.DUMMYFUNCTION("""COMPUTED_VALUE"""),43420)</f>
        <v>43420</v>
      </c>
      <c r="BK109" s="4">
        <f ca="1">IFERROR(__xludf.DUMMYFUNCTION("""COMPUTED_VALUE"""),0.958518518516939)</f>
        <v>0.95851851851693903</v>
      </c>
    </row>
    <row r="110" spans="1:63" ht="12.5" x14ac:dyDescent="0.25">
      <c r="A110" s="7" t="str">
        <f ca="1">IFERROR(__xludf.DUMMYFUNCTION("""COMPUTED_VALUE"""),"")</f>
        <v/>
      </c>
      <c r="B110" s="8" t="str">
        <f ca="1">IFERROR(__xludf.DUMMYFUNCTION("""COMPUTED_VALUE"""),"Waikato")</f>
        <v>Waikato</v>
      </c>
      <c r="C110" s="2">
        <f ca="1">IFERROR(__xludf.DUMMYFUNCTION("""COMPUTED_VALUE"""),64)</f>
        <v>64</v>
      </c>
      <c r="D110" s="9" t="str">
        <f ca="1">IFERROR(__xludf.DUMMYFUNCTION("""COMPUTED_VALUE"""),"")</f>
        <v/>
      </c>
      <c r="E110" s="4" t="str">
        <f ca="1">IFERROR(__xludf.DUMMYFUNCTION("""COMPUTED_VALUE"""),"")</f>
        <v/>
      </c>
      <c r="F110" s="2" t="str">
        <f ca="1">IFERROR(__xludf.DUMMYFUNCTION("""COMPUTED_VALUE"""),"")</f>
        <v/>
      </c>
      <c r="G110" s="2" t="str">
        <f ca="1">IFERROR(__xludf.DUMMYFUNCTION("""COMPUTED_VALUE"""),"GPS: I converted data downloaded from ARGOS using Pinpoint software")</f>
        <v>GPS: I converted data downloaded from ARGOS using Pinpoint software</v>
      </c>
      <c r="H110" s="2" t="str">
        <f ca="1">IFERROR(__xludf.DUMMYFUNCTION("""COMPUTED_VALUE"""),"3D")</f>
        <v>3D</v>
      </c>
      <c r="I110" s="2" t="str">
        <f ca="1">IFERROR(__xludf.DUMMYFUNCTION("""COMPUTED_VALUE"""),"")</f>
        <v/>
      </c>
      <c r="J110" s="2" t="str">
        <f ca="1">IFERROR(__xludf.DUMMYFUNCTION("""COMPUTED_VALUE"""),"")</f>
        <v/>
      </c>
      <c r="K110" s="2" t="str">
        <f ca="1">IFERROR(__xludf.DUMMYFUNCTION("""COMPUTED_VALUE"""),"")</f>
        <v/>
      </c>
      <c r="L110" s="2" t="str">
        <f ca="1">IFERROR(__xludf.DUMMYFUNCTION("""COMPUTED_VALUE"""),"")</f>
        <v/>
      </c>
      <c r="M110" s="5" t="str">
        <f ca="1">IFERROR(__xludf.DUMMYFUNCTION("""COMPUTED_VALUE"""),"")</f>
        <v/>
      </c>
      <c r="N110" s="5" t="str">
        <f ca="1">IFERROR(__xludf.DUMMYFUNCTION("""COMPUTED_VALUE"""),"")</f>
        <v/>
      </c>
      <c r="O110" s="2" t="str">
        <f ca="1">IFERROR(__xludf.DUMMYFUNCTION("""COMPUTED_VALUE"""),"")</f>
        <v/>
      </c>
      <c r="P110" s="2" t="str">
        <f ca="1">IFERROR(__xludf.DUMMYFUNCTION("""COMPUTED_VALUE"""),"")</f>
        <v/>
      </c>
      <c r="Q110" s="2" t="str">
        <f ca="1">IFERROR(__xludf.DUMMYFUNCTION("""COMPUTED_VALUE"""),"")</f>
        <v/>
      </c>
      <c r="R110" s="2" t="str">
        <f ca="1">IFERROR(__xludf.DUMMYFUNCTION("""COMPUTED_VALUE"""),"")</f>
        <v/>
      </c>
      <c r="S110" s="2" t="str">
        <f ca="1">IFERROR(__xludf.DUMMYFUNCTION("""COMPUTED_VALUE"""),"")</f>
        <v/>
      </c>
      <c r="T110" s="2" t="str">
        <f ca="1">IFERROR(__xludf.DUMMYFUNCTION("""COMPUTED_VALUE"""),"")</f>
        <v/>
      </c>
      <c r="U110" s="2" t="str">
        <f ca="1">IFERROR(__xludf.DUMMYFUNCTION("""COMPUTED_VALUE"""),"")</f>
        <v/>
      </c>
      <c r="V110" s="2" t="str">
        <f ca="1">IFERROR(__xludf.DUMMYFUNCTION("""COMPUTED_VALUE"""),"")</f>
        <v/>
      </c>
      <c r="W110" s="2" t="str">
        <f ca="1">IFERROR(__xludf.DUMMYFUNCTION("""COMPUTED_VALUE"""),"")</f>
        <v/>
      </c>
      <c r="X110" s="2" t="str">
        <f ca="1">IFERROR(__xludf.DUMMYFUNCTION("""COMPUTED_VALUE"""),"")</f>
        <v/>
      </c>
      <c r="Y110" s="2" t="str">
        <f ca="1">IFERROR(__xludf.DUMMYFUNCTION("""COMPUTED_VALUE"""),"")</f>
        <v/>
      </c>
      <c r="Z110" s="2" t="str">
        <f ca="1">IFERROR(__xludf.DUMMYFUNCTION("""COMPUTED_VALUE"""),"")</f>
        <v/>
      </c>
      <c r="AA110" s="2" t="str">
        <f ca="1">IFERROR(__xludf.DUMMYFUNCTION("""COMPUTED_VALUE"""),"")</f>
        <v/>
      </c>
      <c r="AB110" s="2" t="str">
        <f ca="1">IFERROR(__xludf.DUMMYFUNCTION("""COMPUTED_VALUE"""),"")</f>
        <v/>
      </c>
      <c r="AC110" s="2" t="str">
        <f ca="1">IFERROR(__xludf.DUMMYFUNCTION("""COMPUTED_VALUE"""),"")</f>
        <v/>
      </c>
      <c r="AD110" s="2" t="str">
        <f ca="1">IFERROR(__xludf.DUMMYFUNCTION("""COMPUTED_VALUE"""),"")</f>
        <v/>
      </c>
      <c r="AE110" s="2" t="str">
        <f ca="1">IFERROR(__xludf.DUMMYFUNCTION("""COMPUTED_VALUE"""),"")</f>
        <v/>
      </c>
      <c r="AF110" s="2" t="str">
        <f ca="1">IFERROR(__xludf.DUMMYFUNCTION("""COMPUTED_VALUE"""),"")</f>
        <v/>
      </c>
      <c r="AG110" s="2" t="str">
        <f ca="1">IFERROR(__xludf.DUMMYFUNCTION("""COMPUTED_VALUE"""),"")</f>
        <v/>
      </c>
      <c r="AH110" s="2" t="str">
        <f ca="1">IFERROR(__xludf.DUMMYFUNCTION("""COMPUTED_VALUE"""),"")</f>
        <v/>
      </c>
      <c r="AI110" s="2" t="str">
        <f ca="1">IFERROR(__xludf.DUMMYFUNCTION("""COMPUTED_VALUE"""),"")</f>
        <v/>
      </c>
      <c r="AJ110" s="2" t="str">
        <f ca="1">IFERROR(__xludf.DUMMYFUNCTION("""COMPUTED_VALUE"""),"")</f>
        <v/>
      </c>
      <c r="AK110" s="2" t="str">
        <f ca="1">IFERROR(__xludf.DUMMYFUNCTION("""COMPUTED_VALUE"""),"")</f>
        <v/>
      </c>
      <c r="AL110" s="2" t="str">
        <f ca="1">IFERROR(__xludf.DUMMYFUNCTION("""COMPUTED_VALUE"""),"")</f>
        <v/>
      </c>
      <c r="AM110" s="2" t="str">
        <f ca="1">IFERROR(__xludf.DUMMYFUNCTION("""COMPUTED_VALUE"""),"")</f>
        <v/>
      </c>
      <c r="AN110" s="2" t="str">
        <f ca="1">IFERROR(__xludf.DUMMYFUNCTION("""COMPUTED_VALUE"""),"")</f>
        <v/>
      </c>
      <c r="AO110" s="2" t="str">
        <f ca="1">IFERROR(__xludf.DUMMYFUNCTION("""COMPUTED_VALUE"""),"")</f>
        <v/>
      </c>
      <c r="AP110" s="2" t="str">
        <f ca="1">IFERROR(__xludf.DUMMYFUNCTION("""COMPUTED_VALUE"""),"")</f>
        <v/>
      </c>
      <c r="AQ110" s="2" t="str">
        <f ca="1">IFERROR(__xludf.DUMMYFUNCTION("""COMPUTED_VALUE"""),"")</f>
        <v/>
      </c>
      <c r="AR110" s="2" t="str">
        <f ca="1">IFERROR(__xludf.DUMMYFUNCTION("""COMPUTED_VALUE"""),"")</f>
        <v/>
      </c>
      <c r="AS110" s="2" t="str">
        <f ca="1">IFERROR(__xludf.DUMMYFUNCTION("""COMPUTED_VALUE"""),"")</f>
        <v/>
      </c>
      <c r="AT110" s="2" t="str">
        <f ca="1">IFERROR(__xludf.DUMMYFUNCTION("""COMPUTED_VALUE"""),"")</f>
        <v/>
      </c>
      <c r="AU110" s="2" t="str">
        <f ca="1">IFERROR(__xludf.DUMMYFUNCTION("""COMPUTED_VALUE"""),"")</f>
        <v/>
      </c>
      <c r="AV110" s="2" t="str">
        <f ca="1">IFERROR(__xludf.DUMMYFUNCTION("""COMPUTED_VALUE"""),"")</f>
        <v/>
      </c>
      <c r="AW110" s="2" t="str">
        <f ca="1">IFERROR(__xludf.DUMMYFUNCTION("""COMPUTED_VALUE"""),"")</f>
        <v/>
      </c>
      <c r="AX110" s="2" t="str">
        <f ca="1">IFERROR(__xludf.DUMMYFUNCTION("""COMPUTED_VALUE"""),"")</f>
        <v/>
      </c>
      <c r="AY110" s="2" t="str">
        <f ca="1">IFERROR(__xludf.DUMMYFUNCTION("""COMPUTED_VALUE"""),"")</f>
        <v/>
      </c>
      <c r="AZ110" s="2" t="str">
        <f ca="1">IFERROR(__xludf.DUMMYFUNCTION("""COMPUTED_VALUE"""),"")</f>
        <v/>
      </c>
      <c r="BA110" s="2" t="str">
        <f ca="1">IFERROR(__xludf.DUMMYFUNCTION("""COMPUTED_VALUE"""),"")</f>
        <v/>
      </c>
      <c r="BB110" s="2" t="str">
        <f ca="1">IFERROR(__xludf.DUMMYFUNCTION("""COMPUTED_VALUE"""),"")</f>
        <v/>
      </c>
      <c r="BC110" s="2" t="str">
        <f ca="1">IFERROR(__xludf.DUMMYFUNCTION("""COMPUTED_VALUE"""),"")</f>
        <v/>
      </c>
      <c r="BD110" s="2" t="str">
        <f ca="1">IFERROR(__xludf.DUMMYFUNCTION("""COMPUTED_VALUE"""),"")</f>
        <v/>
      </c>
      <c r="BE110" s="2" t="str">
        <f ca="1">IFERROR(__xludf.DUMMYFUNCTION("""COMPUTED_VALUE"""),"")</f>
        <v/>
      </c>
      <c r="BF110" t="str">
        <f ca="1">IFERROR(__xludf.DUMMYFUNCTION("""COMPUTED_VALUE"""),"")</f>
        <v/>
      </c>
      <c r="BG110" t="str">
        <f ca="1">IFERROR(__xludf.DUMMYFUNCTION("""COMPUTED_VALUE"""),"")</f>
        <v/>
      </c>
      <c r="BH110" s="2">
        <f ca="1">IFERROR(__xludf.DUMMYFUNCTION("""COMPUTED_VALUE"""),-37.7527428)</f>
        <v>-37.7527428</v>
      </c>
      <c r="BI110" s="13">
        <f ca="1">IFERROR(__xludf.DUMMYFUNCTION("""COMPUTED_VALUE"""),176.3899994)</f>
        <v>176.38999939999999</v>
      </c>
      <c r="BJ110" s="9">
        <f ca="1">IFERROR(__xludf.DUMMYFUNCTION("""COMPUTED_VALUE"""),43422)</f>
        <v>43422</v>
      </c>
      <c r="BK110" s="4">
        <f ca="1">IFERROR(__xludf.DUMMYFUNCTION("""COMPUTED_VALUE"""),0.457777777777664)</f>
        <v>0.45777777777766399</v>
      </c>
    </row>
    <row r="111" spans="1:63" ht="12.5" x14ac:dyDescent="0.25">
      <c r="A111" s="7" t="str">
        <f ca="1">IFERROR(__xludf.DUMMYFUNCTION("""COMPUTED_VALUE"""),"")</f>
        <v/>
      </c>
      <c r="B111" s="8" t="str">
        <f ca="1">IFERROR(__xludf.DUMMYFUNCTION("""COMPUTED_VALUE"""),"Waikato")</f>
        <v>Waikato</v>
      </c>
      <c r="C111" s="2">
        <f ca="1">IFERROR(__xludf.DUMMYFUNCTION("""COMPUTED_VALUE"""),64)</f>
        <v>64</v>
      </c>
      <c r="D111" s="9" t="str">
        <f ca="1">IFERROR(__xludf.DUMMYFUNCTION("""COMPUTED_VALUE"""),"")</f>
        <v/>
      </c>
      <c r="E111" s="4" t="str">
        <f ca="1">IFERROR(__xludf.DUMMYFUNCTION("""COMPUTED_VALUE"""),"")</f>
        <v/>
      </c>
      <c r="F111" s="2" t="str">
        <f ca="1">IFERROR(__xludf.DUMMYFUNCTION("""COMPUTED_VALUE"""),"")</f>
        <v/>
      </c>
      <c r="G111" s="2" t="str">
        <f ca="1">IFERROR(__xludf.DUMMYFUNCTION("""COMPUTED_VALUE"""),"GPS: I converted data downloaded from ARGOS using Pinpoint software")</f>
        <v>GPS: I converted data downloaded from ARGOS using Pinpoint software</v>
      </c>
      <c r="H111" s="2" t="str">
        <f ca="1">IFERROR(__xludf.DUMMYFUNCTION("""COMPUTED_VALUE"""),"3D")</f>
        <v>3D</v>
      </c>
      <c r="I111" s="2" t="str">
        <f ca="1">IFERROR(__xludf.DUMMYFUNCTION("""COMPUTED_VALUE"""),"")</f>
        <v/>
      </c>
      <c r="J111" s="2" t="str">
        <f ca="1">IFERROR(__xludf.DUMMYFUNCTION("""COMPUTED_VALUE"""),"")</f>
        <v/>
      </c>
      <c r="K111" s="2" t="str">
        <f ca="1">IFERROR(__xludf.DUMMYFUNCTION("""COMPUTED_VALUE"""),"")</f>
        <v/>
      </c>
      <c r="L111" s="2" t="str">
        <f ca="1">IFERROR(__xludf.DUMMYFUNCTION("""COMPUTED_VALUE"""),"")</f>
        <v/>
      </c>
      <c r="M111" s="5" t="str">
        <f ca="1">IFERROR(__xludf.DUMMYFUNCTION("""COMPUTED_VALUE"""),"")</f>
        <v/>
      </c>
      <c r="N111" s="5" t="str">
        <f ca="1">IFERROR(__xludf.DUMMYFUNCTION("""COMPUTED_VALUE"""),"")</f>
        <v/>
      </c>
      <c r="O111" s="2" t="str">
        <f ca="1">IFERROR(__xludf.DUMMYFUNCTION("""COMPUTED_VALUE"""),"")</f>
        <v/>
      </c>
      <c r="P111" s="2" t="str">
        <f ca="1">IFERROR(__xludf.DUMMYFUNCTION("""COMPUTED_VALUE"""),"")</f>
        <v/>
      </c>
      <c r="Q111" s="2" t="str">
        <f ca="1">IFERROR(__xludf.DUMMYFUNCTION("""COMPUTED_VALUE"""),"")</f>
        <v/>
      </c>
      <c r="R111" s="2" t="str">
        <f ca="1">IFERROR(__xludf.DUMMYFUNCTION("""COMPUTED_VALUE"""),"")</f>
        <v/>
      </c>
      <c r="S111" s="2" t="str">
        <f ca="1">IFERROR(__xludf.DUMMYFUNCTION("""COMPUTED_VALUE"""),"")</f>
        <v/>
      </c>
      <c r="T111" s="2" t="str">
        <f ca="1">IFERROR(__xludf.DUMMYFUNCTION("""COMPUTED_VALUE"""),"")</f>
        <v/>
      </c>
      <c r="U111" s="2" t="str">
        <f ca="1">IFERROR(__xludf.DUMMYFUNCTION("""COMPUTED_VALUE"""),"")</f>
        <v/>
      </c>
      <c r="V111" s="2" t="str">
        <f ca="1">IFERROR(__xludf.DUMMYFUNCTION("""COMPUTED_VALUE"""),"")</f>
        <v/>
      </c>
      <c r="W111" s="2" t="str">
        <f ca="1">IFERROR(__xludf.DUMMYFUNCTION("""COMPUTED_VALUE"""),"")</f>
        <v/>
      </c>
      <c r="X111" s="2" t="str">
        <f ca="1">IFERROR(__xludf.DUMMYFUNCTION("""COMPUTED_VALUE"""),"")</f>
        <v/>
      </c>
      <c r="Y111" s="2" t="str">
        <f ca="1">IFERROR(__xludf.DUMMYFUNCTION("""COMPUTED_VALUE"""),"")</f>
        <v/>
      </c>
      <c r="Z111" s="2" t="str">
        <f ca="1">IFERROR(__xludf.DUMMYFUNCTION("""COMPUTED_VALUE"""),"")</f>
        <v/>
      </c>
      <c r="AA111" s="2" t="str">
        <f ca="1">IFERROR(__xludf.DUMMYFUNCTION("""COMPUTED_VALUE"""),"")</f>
        <v/>
      </c>
      <c r="AB111" s="2" t="str">
        <f ca="1">IFERROR(__xludf.DUMMYFUNCTION("""COMPUTED_VALUE"""),"")</f>
        <v/>
      </c>
      <c r="AC111" s="2" t="str">
        <f ca="1">IFERROR(__xludf.DUMMYFUNCTION("""COMPUTED_VALUE"""),"")</f>
        <v/>
      </c>
      <c r="AD111" s="2" t="str">
        <f ca="1">IFERROR(__xludf.DUMMYFUNCTION("""COMPUTED_VALUE"""),"")</f>
        <v/>
      </c>
      <c r="AE111" s="2" t="str">
        <f ca="1">IFERROR(__xludf.DUMMYFUNCTION("""COMPUTED_VALUE"""),"")</f>
        <v/>
      </c>
      <c r="AF111" s="2" t="str">
        <f ca="1">IFERROR(__xludf.DUMMYFUNCTION("""COMPUTED_VALUE"""),"")</f>
        <v/>
      </c>
      <c r="AG111" s="2" t="str">
        <f ca="1">IFERROR(__xludf.DUMMYFUNCTION("""COMPUTED_VALUE"""),"")</f>
        <v/>
      </c>
      <c r="AH111" s="2" t="str">
        <f ca="1">IFERROR(__xludf.DUMMYFUNCTION("""COMPUTED_VALUE"""),"")</f>
        <v/>
      </c>
      <c r="AI111" s="2" t="str">
        <f ca="1">IFERROR(__xludf.DUMMYFUNCTION("""COMPUTED_VALUE"""),"")</f>
        <v/>
      </c>
      <c r="AJ111" s="2" t="str">
        <f ca="1">IFERROR(__xludf.DUMMYFUNCTION("""COMPUTED_VALUE"""),"")</f>
        <v/>
      </c>
      <c r="AK111" s="2" t="str">
        <f ca="1">IFERROR(__xludf.DUMMYFUNCTION("""COMPUTED_VALUE"""),"")</f>
        <v/>
      </c>
      <c r="AL111" s="2" t="str">
        <f ca="1">IFERROR(__xludf.DUMMYFUNCTION("""COMPUTED_VALUE"""),"")</f>
        <v/>
      </c>
      <c r="AM111" s="2" t="str">
        <f ca="1">IFERROR(__xludf.DUMMYFUNCTION("""COMPUTED_VALUE"""),"")</f>
        <v/>
      </c>
      <c r="AN111" s="2" t="str">
        <f ca="1">IFERROR(__xludf.DUMMYFUNCTION("""COMPUTED_VALUE"""),"")</f>
        <v/>
      </c>
      <c r="AO111" s="2" t="str">
        <f ca="1">IFERROR(__xludf.DUMMYFUNCTION("""COMPUTED_VALUE"""),"")</f>
        <v/>
      </c>
      <c r="AP111" s="2" t="str">
        <f ca="1">IFERROR(__xludf.DUMMYFUNCTION("""COMPUTED_VALUE"""),"")</f>
        <v/>
      </c>
      <c r="AQ111" s="2" t="str">
        <f ca="1">IFERROR(__xludf.DUMMYFUNCTION("""COMPUTED_VALUE"""),"")</f>
        <v/>
      </c>
      <c r="AR111" s="2" t="str">
        <f ca="1">IFERROR(__xludf.DUMMYFUNCTION("""COMPUTED_VALUE"""),"")</f>
        <v/>
      </c>
      <c r="AS111" s="2" t="str">
        <f ca="1">IFERROR(__xludf.DUMMYFUNCTION("""COMPUTED_VALUE"""),"")</f>
        <v/>
      </c>
      <c r="AT111" s="2" t="str">
        <f ca="1">IFERROR(__xludf.DUMMYFUNCTION("""COMPUTED_VALUE"""),"")</f>
        <v/>
      </c>
      <c r="AU111" s="2" t="str">
        <f ca="1">IFERROR(__xludf.DUMMYFUNCTION("""COMPUTED_VALUE"""),"")</f>
        <v/>
      </c>
      <c r="AV111" s="2" t="str">
        <f ca="1">IFERROR(__xludf.DUMMYFUNCTION("""COMPUTED_VALUE"""),"")</f>
        <v/>
      </c>
      <c r="AW111" s="2" t="str">
        <f ca="1">IFERROR(__xludf.DUMMYFUNCTION("""COMPUTED_VALUE"""),"")</f>
        <v/>
      </c>
      <c r="AX111" s="2" t="str">
        <f ca="1">IFERROR(__xludf.DUMMYFUNCTION("""COMPUTED_VALUE"""),"")</f>
        <v/>
      </c>
      <c r="AY111" s="2" t="str">
        <f ca="1">IFERROR(__xludf.DUMMYFUNCTION("""COMPUTED_VALUE"""),"")</f>
        <v/>
      </c>
      <c r="AZ111" s="2" t="str">
        <f ca="1">IFERROR(__xludf.DUMMYFUNCTION("""COMPUTED_VALUE"""),"")</f>
        <v/>
      </c>
      <c r="BA111" s="2" t="str">
        <f ca="1">IFERROR(__xludf.DUMMYFUNCTION("""COMPUTED_VALUE"""),"")</f>
        <v/>
      </c>
      <c r="BB111" s="2" t="str">
        <f ca="1">IFERROR(__xludf.DUMMYFUNCTION("""COMPUTED_VALUE"""),"")</f>
        <v/>
      </c>
      <c r="BC111" s="2" t="str">
        <f ca="1">IFERROR(__xludf.DUMMYFUNCTION("""COMPUTED_VALUE"""),"")</f>
        <v/>
      </c>
      <c r="BD111" s="2" t="str">
        <f ca="1">IFERROR(__xludf.DUMMYFUNCTION("""COMPUTED_VALUE"""),"")</f>
        <v/>
      </c>
      <c r="BE111" s="2" t="str">
        <f ca="1">IFERROR(__xludf.DUMMYFUNCTION("""COMPUTED_VALUE"""),"")</f>
        <v/>
      </c>
      <c r="BF111" t="str">
        <f ca="1">IFERROR(__xludf.DUMMYFUNCTION("""COMPUTED_VALUE"""),"")</f>
        <v/>
      </c>
      <c r="BG111" t="str">
        <f ca="1">IFERROR(__xludf.DUMMYFUNCTION("""COMPUTED_VALUE"""),"")</f>
        <v/>
      </c>
      <c r="BH111" s="2">
        <f ca="1">IFERROR(__xludf.DUMMYFUNCTION("""COMPUTED_VALUE"""),-37.7476997)</f>
        <v>-37.747699699999998</v>
      </c>
      <c r="BI111" s="12">
        <f ca="1">IFERROR(__xludf.DUMMYFUNCTION("""COMPUTED_VALUE"""),176.3896637)</f>
        <v>176.3896637</v>
      </c>
      <c r="BJ111" s="9">
        <f ca="1">IFERROR(__xludf.DUMMYFUNCTION("""COMPUTED_VALUE"""),43422)</f>
        <v>43422</v>
      </c>
      <c r="BK111" s="4">
        <f ca="1">IFERROR(__xludf.DUMMYFUNCTION("""COMPUTED_VALUE"""),0.958518518516939)</f>
        <v>0.95851851851693903</v>
      </c>
    </row>
    <row r="112" spans="1:63" ht="12.5" x14ac:dyDescent="0.25">
      <c r="A112" s="7" t="str">
        <f ca="1">IFERROR(__xludf.DUMMYFUNCTION("""COMPUTED_VALUE"""),"")</f>
        <v/>
      </c>
      <c r="B112" s="8" t="str">
        <f ca="1">IFERROR(__xludf.DUMMYFUNCTION("""COMPUTED_VALUE"""),"Waikato")</f>
        <v>Waikato</v>
      </c>
      <c r="C112" s="2">
        <f ca="1">IFERROR(__xludf.DUMMYFUNCTION("""COMPUTED_VALUE"""),64)</f>
        <v>64</v>
      </c>
      <c r="D112" s="9" t="str">
        <f ca="1">IFERROR(__xludf.DUMMYFUNCTION("""COMPUTED_VALUE"""),"")</f>
        <v/>
      </c>
      <c r="E112" s="4" t="str">
        <f ca="1">IFERROR(__xludf.DUMMYFUNCTION("""COMPUTED_VALUE"""),"")</f>
        <v/>
      </c>
      <c r="F112" s="2" t="str">
        <f ca="1">IFERROR(__xludf.DUMMYFUNCTION("""COMPUTED_VALUE"""),"")</f>
        <v/>
      </c>
      <c r="G112" s="2" t="str">
        <f ca="1">IFERROR(__xludf.DUMMYFUNCTION("""COMPUTED_VALUE"""),"GPS: I converted data downloaded from ARGOS using Pinpoint software")</f>
        <v>GPS: I converted data downloaded from ARGOS using Pinpoint software</v>
      </c>
      <c r="H112" s="2" t="str">
        <f ca="1">IFERROR(__xludf.DUMMYFUNCTION("""COMPUTED_VALUE"""),"3D")</f>
        <v>3D</v>
      </c>
      <c r="I112" s="2" t="str">
        <f ca="1">IFERROR(__xludf.DUMMYFUNCTION("""COMPUTED_VALUE"""),"")</f>
        <v/>
      </c>
      <c r="J112" s="2" t="str">
        <f ca="1">IFERROR(__xludf.DUMMYFUNCTION("""COMPUTED_VALUE"""),"")</f>
        <v/>
      </c>
      <c r="K112" s="2" t="str">
        <f ca="1">IFERROR(__xludf.DUMMYFUNCTION("""COMPUTED_VALUE"""),"")</f>
        <v/>
      </c>
      <c r="L112" s="2" t="str">
        <f ca="1">IFERROR(__xludf.DUMMYFUNCTION("""COMPUTED_VALUE"""),"")</f>
        <v/>
      </c>
      <c r="M112" s="5" t="str">
        <f ca="1">IFERROR(__xludf.DUMMYFUNCTION("""COMPUTED_VALUE"""),"")</f>
        <v/>
      </c>
      <c r="N112" s="5" t="str">
        <f ca="1">IFERROR(__xludf.DUMMYFUNCTION("""COMPUTED_VALUE"""),"")</f>
        <v/>
      </c>
      <c r="O112" s="2" t="str">
        <f ca="1">IFERROR(__xludf.DUMMYFUNCTION("""COMPUTED_VALUE"""),"")</f>
        <v/>
      </c>
      <c r="P112" s="2" t="str">
        <f ca="1">IFERROR(__xludf.DUMMYFUNCTION("""COMPUTED_VALUE"""),"")</f>
        <v/>
      </c>
      <c r="Q112" s="2" t="str">
        <f ca="1">IFERROR(__xludf.DUMMYFUNCTION("""COMPUTED_VALUE"""),"")</f>
        <v/>
      </c>
      <c r="R112" s="2" t="str">
        <f ca="1">IFERROR(__xludf.DUMMYFUNCTION("""COMPUTED_VALUE"""),"")</f>
        <v/>
      </c>
      <c r="S112" s="2" t="str">
        <f ca="1">IFERROR(__xludf.DUMMYFUNCTION("""COMPUTED_VALUE"""),"")</f>
        <v/>
      </c>
      <c r="T112" s="2" t="str">
        <f ca="1">IFERROR(__xludf.DUMMYFUNCTION("""COMPUTED_VALUE"""),"")</f>
        <v/>
      </c>
      <c r="U112" s="2" t="str">
        <f ca="1">IFERROR(__xludf.DUMMYFUNCTION("""COMPUTED_VALUE"""),"")</f>
        <v/>
      </c>
      <c r="V112" s="2" t="str">
        <f ca="1">IFERROR(__xludf.DUMMYFUNCTION("""COMPUTED_VALUE"""),"")</f>
        <v/>
      </c>
      <c r="W112" s="2" t="str">
        <f ca="1">IFERROR(__xludf.DUMMYFUNCTION("""COMPUTED_VALUE"""),"")</f>
        <v/>
      </c>
      <c r="X112" s="2" t="str">
        <f ca="1">IFERROR(__xludf.DUMMYFUNCTION("""COMPUTED_VALUE"""),"")</f>
        <v/>
      </c>
      <c r="Y112" s="2" t="str">
        <f ca="1">IFERROR(__xludf.DUMMYFUNCTION("""COMPUTED_VALUE"""),"")</f>
        <v/>
      </c>
      <c r="Z112" s="2" t="str">
        <f ca="1">IFERROR(__xludf.DUMMYFUNCTION("""COMPUTED_VALUE"""),"")</f>
        <v/>
      </c>
      <c r="AA112" s="2" t="str">
        <f ca="1">IFERROR(__xludf.DUMMYFUNCTION("""COMPUTED_VALUE"""),"")</f>
        <v/>
      </c>
      <c r="AB112" s="2" t="str">
        <f ca="1">IFERROR(__xludf.DUMMYFUNCTION("""COMPUTED_VALUE"""),"")</f>
        <v/>
      </c>
      <c r="AC112" s="2" t="str">
        <f ca="1">IFERROR(__xludf.DUMMYFUNCTION("""COMPUTED_VALUE"""),"")</f>
        <v/>
      </c>
      <c r="AD112" s="2" t="str">
        <f ca="1">IFERROR(__xludf.DUMMYFUNCTION("""COMPUTED_VALUE"""),"")</f>
        <v/>
      </c>
      <c r="AE112" s="2" t="str">
        <f ca="1">IFERROR(__xludf.DUMMYFUNCTION("""COMPUTED_VALUE"""),"")</f>
        <v/>
      </c>
      <c r="AF112" s="2" t="str">
        <f ca="1">IFERROR(__xludf.DUMMYFUNCTION("""COMPUTED_VALUE"""),"")</f>
        <v/>
      </c>
      <c r="AG112" s="2" t="str">
        <f ca="1">IFERROR(__xludf.DUMMYFUNCTION("""COMPUTED_VALUE"""),"")</f>
        <v/>
      </c>
      <c r="AH112" s="2" t="str">
        <f ca="1">IFERROR(__xludf.DUMMYFUNCTION("""COMPUTED_VALUE"""),"")</f>
        <v/>
      </c>
      <c r="AI112" s="2" t="str">
        <f ca="1">IFERROR(__xludf.DUMMYFUNCTION("""COMPUTED_VALUE"""),"")</f>
        <v/>
      </c>
      <c r="AJ112" s="2" t="str">
        <f ca="1">IFERROR(__xludf.DUMMYFUNCTION("""COMPUTED_VALUE"""),"")</f>
        <v/>
      </c>
      <c r="AK112" s="2" t="str">
        <f ca="1">IFERROR(__xludf.DUMMYFUNCTION("""COMPUTED_VALUE"""),"")</f>
        <v/>
      </c>
      <c r="AL112" s="2" t="str">
        <f ca="1">IFERROR(__xludf.DUMMYFUNCTION("""COMPUTED_VALUE"""),"")</f>
        <v/>
      </c>
      <c r="AM112" s="2" t="str">
        <f ca="1">IFERROR(__xludf.DUMMYFUNCTION("""COMPUTED_VALUE"""),"")</f>
        <v/>
      </c>
      <c r="AN112" s="2" t="str">
        <f ca="1">IFERROR(__xludf.DUMMYFUNCTION("""COMPUTED_VALUE"""),"")</f>
        <v/>
      </c>
      <c r="AO112" s="2" t="str">
        <f ca="1">IFERROR(__xludf.DUMMYFUNCTION("""COMPUTED_VALUE"""),"")</f>
        <v/>
      </c>
      <c r="AP112" s="2" t="str">
        <f ca="1">IFERROR(__xludf.DUMMYFUNCTION("""COMPUTED_VALUE"""),"")</f>
        <v/>
      </c>
      <c r="AQ112" s="2" t="str">
        <f ca="1">IFERROR(__xludf.DUMMYFUNCTION("""COMPUTED_VALUE"""),"")</f>
        <v/>
      </c>
      <c r="AR112" s="2" t="str">
        <f ca="1">IFERROR(__xludf.DUMMYFUNCTION("""COMPUTED_VALUE"""),"")</f>
        <v/>
      </c>
      <c r="AS112" s="2" t="str">
        <f ca="1">IFERROR(__xludf.DUMMYFUNCTION("""COMPUTED_VALUE"""),"")</f>
        <v/>
      </c>
      <c r="AT112" s="2" t="str">
        <f ca="1">IFERROR(__xludf.DUMMYFUNCTION("""COMPUTED_VALUE"""),"")</f>
        <v/>
      </c>
      <c r="AU112" s="2" t="str">
        <f ca="1">IFERROR(__xludf.DUMMYFUNCTION("""COMPUTED_VALUE"""),"")</f>
        <v/>
      </c>
      <c r="AV112" s="2" t="str">
        <f ca="1">IFERROR(__xludf.DUMMYFUNCTION("""COMPUTED_VALUE"""),"")</f>
        <v/>
      </c>
      <c r="AW112" s="2" t="str">
        <f ca="1">IFERROR(__xludf.DUMMYFUNCTION("""COMPUTED_VALUE"""),"")</f>
        <v/>
      </c>
      <c r="AX112" s="2" t="str">
        <f ca="1">IFERROR(__xludf.DUMMYFUNCTION("""COMPUTED_VALUE"""),"")</f>
        <v/>
      </c>
      <c r="AY112" s="2" t="str">
        <f ca="1">IFERROR(__xludf.DUMMYFUNCTION("""COMPUTED_VALUE"""),"")</f>
        <v/>
      </c>
      <c r="AZ112" s="2" t="str">
        <f ca="1">IFERROR(__xludf.DUMMYFUNCTION("""COMPUTED_VALUE"""),"")</f>
        <v/>
      </c>
      <c r="BA112" s="2" t="str">
        <f ca="1">IFERROR(__xludf.DUMMYFUNCTION("""COMPUTED_VALUE"""),"")</f>
        <v/>
      </c>
      <c r="BB112" s="2" t="str">
        <f ca="1">IFERROR(__xludf.DUMMYFUNCTION("""COMPUTED_VALUE"""),"")</f>
        <v/>
      </c>
      <c r="BC112" s="2" t="str">
        <f ca="1">IFERROR(__xludf.DUMMYFUNCTION("""COMPUTED_VALUE"""),"")</f>
        <v/>
      </c>
      <c r="BD112" s="2" t="str">
        <f ca="1">IFERROR(__xludf.DUMMYFUNCTION("""COMPUTED_VALUE"""),"")</f>
        <v/>
      </c>
      <c r="BE112" s="2" t="str">
        <f ca="1">IFERROR(__xludf.DUMMYFUNCTION("""COMPUTED_VALUE"""),"")</f>
        <v/>
      </c>
      <c r="BF112" t="str">
        <f ca="1">IFERROR(__xludf.DUMMYFUNCTION("""COMPUTED_VALUE"""),"")</f>
        <v/>
      </c>
      <c r="BG112" t="str">
        <f ca="1">IFERROR(__xludf.DUMMYFUNCTION("""COMPUTED_VALUE"""),"")</f>
        <v/>
      </c>
      <c r="BH112" s="2">
        <f ca="1">IFERROR(__xludf.DUMMYFUNCTION("""COMPUTED_VALUE"""),-37.7505417)</f>
        <v>-37.750541699999999</v>
      </c>
      <c r="BI112" s="13">
        <f ca="1">IFERROR(__xludf.DUMMYFUNCTION("""COMPUTED_VALUE"""),176.381073)</f>
        <v>176.38107299999999</v>
      </c>
      <c r="BJ112" s="9">
        <f ca="1">IFERROR(__xludf.DUMMYFUNCTION("""COMPUTED_VALUE"""),43424)</f>
        <v>43424</v>
      </c>
      <c r="BK112" s="4">
        <f ca="1">IFERROR(__xludf.DUMMYFUNCTION("""COMPUTED_VALUE"""),0.457777777777664)</f>
        <v>0.45777777777766399</v>
      </c>
    </row>
    <row r="113" spans="1:63" ht="12.5" x14ac:dyDescent="0.25">
      <c r="A113" s="7" t="str">
        <f ca="1">IFERROR(__xludf.DUMMYFUNCTION("""COMPUTED_VALUE"""),"")</f>
        <v/>
      </c>
      <c r="B113" s="8" t="str">
        <f ca="1">IFERROR(__xludf.DUMMYFUNCTION("""COMPUTED_VALUE"""),"Waikato")</f>
        <v>Waikato</v>
      </c>
      <c r="C113" s="2">
        <f ca="1">IFERROR(__xludf.DUMMYFUNCTION("""COMPUTED_VALUE"""),64)</f>
        <v>64</v>
      </c>
      <c r="D113" s="9" t="str">
        <f ca="1">IFERROR(__xludf.DUMMYFUNCTION("""COMPUTED_VALUE"""),"")</f>
        <v/>
      </c>
      <c r="E113" s="4" t="str">
        <f ca="1">IFERROR(__xludf.DUMMYFUNCTION("""COMPUTED_VALUE"""),"")</f>
        <v/>
      </c>
      <c r="F113" s="2" t="str">
        <f ca="1">IFERROR(__xludf.DUMMYFUNCTION("""COMPUTED_VALUE"""),"")</f>
        <v/>
      </c>
      <c r="G113" s="2" t="str">
        <f ca="1">IFERROR(__xludf.DUMMYFUNCTION("""COMPUTED_VALUE"""),"GPS: I converted data downloaded from ARGOS using Pinpoint software")</f>
        <v>GPS: I converted data downloaded from ARGOS using Pinpoint software</v>
      </c>
      <c r="H113" s="2" t="str">
        <f ca="1">IFERROR(__xludf.DUMMYFUNCTION("""COMPUTED_VALUE"""),"3D")</f>
        <v>3D</v>
      </c>
      <c r="I113" s="2" t="str">
        <f ca="1">IFERROR(__xludf.DUMMYFUNCTION("""COMPUTED_VALUE"""),"")</f>
        <v/>
      </c>
      <c r="J113" s="2" t="str">
        <f ca="1">IFERROR(__xludf.DUMMYFUNCTION("""COMPUTED_VALUE"""),"")</f>
        <v/>
      </c>
      <c r="K113" s="2" t="str">
        <f ca="1">IFERROR(__xludf.DUMMYFUNCTION("""COMPUTED_VALUE"""),"")</f>
        <v/>
      </c>
      <c r="L113" s="2" t="str">
        <f ca="1">IFERROR(__xludf.DUMMYFUNCTION("""COMPUTED_VALUE"""),"")</f>
        <v/>
      </c>
      <c r="M113" s="5" t="str">
        <f ca="1">IFERROR(__xludf.DUMMYFUNCTION("""COMPUTED_VALUE"""),"")</f>
        <v/>
      </c>
      <c r="N113" s="5" t="str">
        <f ca="1">IFERROR(__xludf.DUMMYFUNCTION("""COMPUTED_VALUE"""),"")</f>
        <v/>
      </c>
      <c r="O113" s="2" t="str">
        <f ca="1">IFERROR(__xludf.DUMMYFUNCTION("""COMPUTED_VALUE"""),"")</f>
        <v/>
      </c>
      <c r="P113" s="2" t="str">
        <f ca="1">IFERROR(__xludf.DUMMYFUNCTION("""COMPUTED_VALUE"""),"")</f>
        <v/>
      </c>
      <c r="Q113" s="2" t="str">
        <f ca="1">IFERROR(__xludf.DUMMYFUNCTION("""COMPUTED_VALUE"""),"")</f>
        <v/>
      </c>
      <c r="R113" s="2" t="str">
        <f ca="1">IFERROR(__xludf.DUMMYFUNCTION("""COMPUTED_VALUE"""),"")</f>
        <v/>
      </c>
      <c r="S113" s="2" t="str">
        <f ca="1">IFERROR(__xludf.DUMMYFUNCTION("""COMPUTED_VALUE"""),"")</f>
        <v/>
      </c>
      <c r="T113" s="2" t="str">
        <f ca="1">IFERROR(__xludf.DUMMYFUNCTION("""COMPUTED_VALUE"""),"")</f>
        <v/>
      </c>
      <c r="U113" s="2" t="str">
        <f ca="1">IFERROR(__xludf.DUMMYFUNCTION("""COMPUTED_VALUE"""),"")</f>
        <v/>
      </c>
      <c r="V113" s="2" t="str">
        <f ca="1">IFERROR(__xludf.DUMMYFUNCTION("""COMPUTED_VALUE"""),"")</f>
        <v/>
      </c>
      <c r="W113" s="2" t="str">
        <f ca="1">IFERROR(__xludf.DUMMYFUNCTION("""COMPUTED_VALUE"""),"")</f>
        <v/>
      </c>
      <c r="X113" s="2" t="str">
        <f ca="1">IFERROR(__xludf.DUMMYFUNCTION("""COMPUTED_VALUE"""),"")</f>
        <v/>
      </c>
      <c r="Y113" s="2" t="str">
        <f ca="1">IFERROR(__xludf.DUMMYFUNCTION("""COMPUTED_VALUE"""),"")</f>
        <v/>
      </c>
      <c r="Z113" s="2" t="str">
        <f ca="1">IFERROR(__xludf.DUMMYFUNCTION("""COMPUTED_VALUE"""),"")</f>
        <v/>
      </c>
      <c r="AA113" s="2" t="str">
        <f ca="1">IFERROR(__xludf.DUMMYFUNCTION("""COMPUTED_VALUE"""),"")</f>
        <v/>
      </c>
      <c r="AB113" s="2" t="str">
        <f ca="1">IFERROR(__xludf.DUMMYFUNCTION("""COMPUTED_VALUE"""),"")</f>
        <v/>
      </c>
      <c r="AC113" s="2" t="str">
        <f ca="1">IFERROR(__xludf.DUMMYFUNCTION("""COMPUTED_VALUE"""),"")</f>
        <v/>
      </c>
      <c r="AD113" s="2" t="str">
        <f ca="1">IFERROR(__xludf.DUMMYFUNCTION("""COMPUTED_VALUE"""),"")</f>
        <v/>
      </c>
      <c r="AE113" s="2" t="str">
        <f ca="1">IFERROR(__xludf.DUMMYFUNCTION("""COMPUTED_VALUE"""),"")</f>
        <v/>
      </c>
      <c r="AF113" s="2" t="str">
        <f ca="1">IFERROR(__xludf.DUMMYFUNCTION("""COMPUTED_VALUE"""),"")</f>
        <v/>
      </c>
      <c r="AG113" s="2" t="str">
        <f ca="1">IFERROR(__xludf.DUMMYFUNCTION("""COMPUTED_VALUE"""),"")</f>
        <v/>
      </c>
      <c r="AH113" s="2" t="str">
        <f ca="1">IFERROR(__xludf.DUMMYFUNCTION("""COMPUTED_VALUE"""),"")</f>
        <v/>
      </c>
      <c r="AI113" s="2" t="str">
        <f ca="1">IFERROR(__xludf.DUMMYFUNCTION("""COMPUTED_VALUE"""),"")</f>
        <v/>
      </c>
      <c r="AJ113" s="2" t="str">
        <f ca="1">IFERROR(__xludf.DUMMYFUNCTION("""COMPUTED_VALUE"""),"")</f>
        <v/>
      </c>
      <c r="AK113" s="2" t="str">
        <f ca="1">IFERROR(__xludf.DUMMYFUNCTION("""COMPUTED_VALUE"""),"")</f>
        <v/>
      </c>
      <c r="AL113" s="2" t="str">
        <f ca="1">IFERROR(__xludf.DUMMYFUNCTION("""COMPUTED_VALUE"""),"")</f>
        <v/>
      </c>
      <c r="AM113" s="2" t="str">
        <f ca="1">IFERROR(__xludf.DUMMYFUNCTION("""COMPUTED_VALUE"""),"")</f>
        <v/>
      </c>
      <c r="AN113" s="2" t="str">
        <f ca="1">IFERROR(__xludf.DUMMYFUNCTION("""COMPUTED_VALUE"""),"")</f>
        <v/>
      </c>
      <c r="AO113" s="2" t="str">
        <f ca="1">IFERROR(__xludf.DUMMYFUNCTION("""COMPUTED_VALUE"""),"")</f>
        <v/>
      </c>
      <c r="AP113" s="2" t="str">
        <f ca="1">IFERROR(__xludf.DUMMYFUNCTION("""COMPUTED_VALUE"""),"")</f>
        <v/>
      </c>
      <c r="AQ113" s="2" t="str">
        <f ca="1">IFERROR(__xludf.DUMMYFUNCTION("""COMPUTED_VALUE"""),"")</f>
        <v/>
      </c>
      <c r="AR113" s="2" t="str">
        <f ca="1">IFERROR(__xludf.DUMMYFUNCTION("""COMPUTED_VALUE"""),"")</f>
        <v/>
      </c>
      <c r="AS113" s="2" t="str">
        <f ca="1">IFERROR(__xludf.DUMMYFUNCTION("""COMPUTED_VALUE"""),"")</f>
        <v/>
      </c>
      <c r="AT113" s="2" t="str">
        <f ca="1">IFERROR(__xludf.DUMMYFUNCTION("""COMPUTED_VALUE"""),"")</f>
        <v/>
      </c>
      <c r="AU113" s="2" t="str">
        <f ca="1">IFERROR(__xludf.DUMMYFUNCTION("""COMPUTED_VALUE"""),"")</f>
        <v/>
      </c>
      <c r="AV113" s="2" t="str">
        <f ca="1">IFERROR(__xludf.DUMMYFUNCTION("""COMPUTED_VALUE"""),"")</f>
        <v/>
      </c>
      <c r="AW113" s="2" t="str">
        <f ca="1">IFERROR(__xludf.DUMMYFUNCTION("""COMPUTED_VALUE"""),"")</f>
        <v/>
      </c>
      <c r="AX113" s="2" t="str">
        <f ca="1">IFERROR(__xludf.DUMMYFUNCTION("""COMPUTED_VALUE"""),"")</f>
        <v/>
      </c>
      <c r="AY113" s="2" t="str">
        <f ca="1">IFERROR(__xludf.DUMMYFUNCTION("""COMPUTED_VALUE"""),"")</f>
        <v/>
      </c>
      <c r="AZ113" s="2" t="str">
        <f ca="1">IFERROR(__xludf.DUMMYFUNCTION("""COMPUTED_VALUE"""),"")</f>
        <v/>
      </c>
      <c r="BA113" s="2" t="str">
        <f ca="1">IFERROR(__xludf.DUMMYFUNCTION("""COMPUTED_VALUE"""),"")</f>
        <v/>
      </c>
      <c r="BB113" s="2" t="str">
        <f ca="1">IFERROR(__xludf.DUMMYFUNCTION("""COMPUTED_VALUE"""),"")</f>
        <v/>
      </c>
      <c r="BC113" s="2" t="str">
        <f ca="1">IFERROR(__xludf.DUMMYFUNCTION("""COMPUTED_VALUE"""),"")</f>
        <v/>
      </c>
      <c r="BD113" s="2" t="str">
        <f ca="1">IFERROR(__xludf.DUMMYFUNCTION("""COMPUTED_VALUE"""),"")</f>
        <v/>
      </c>
      <c r="BE113" s="2" t="str">
        <f ca="1">IFERROR(__xludf.DUMMYFUNCTION("""COMPUTED_VALUE"""),"")</f>
        <v/>
      </c>
      <c r="BF113" t="str">
        <f ca="1">IFERROR(__xludf.DUMMYFUNCTION("""COMPUTED_VALUE"""),"")</f>
        <v/>
      </c>
      <c r="BG113" t="str">
        <f ca="1">IFERROR(__xludf.DUMMYFUNCTION("""COMPUTED_VALUE"""),"")</f>
        <v/>
      </c>
      <c r="BH113" s="2">
        <f ca="1">IFERROR(__xludf.DUMMYFUNCTION("""COMPUTED_VALUE"""),-37.7501297)</f>
        <v>-37.750129700000002</v>
      </c>
      <c r="BI113" s="12">
        <f ca="1">IFERROR(__xludf.DUMMYFUNCTION("""COMPUTED_VALUE"""),176.3804016)</f>
        <v>176.3804016</v>
      </c>
      <c r="BJ113" s="9">
        <f ca="1">IFERROR(__xludf.DUMMYFUNCTION("""COMPUTED_VALUE"""),43424)</f>
        <v>43424</v>
      </c>
      <c r="BK113" s="4">
        <f ca="1">IFERROR(__xludf.DUMMYFUNCTION("""COMPUTED_VALUE"""),0.958518518516939)</f>
        <v>0.95851851851693903</v>
      </c>
    </row>
    <row r="114" spans="1:63" ht="12.5" x14ac:dyDescent="0.25">
      <c r="A114" s="7" t="str">
        <f ca="1">IFERROR(__xludf.DUMMYFUNCTION("""COMPUTED_VALUE"""),"")</f>
        <v/>
      </c>
      <c r="B114" s="8" t="str">
        <f ca="1">IFERROR(__xludf.DUMMYFUNCTION("""COMPUTED_VALUE"""),"Waikato")</f>
        <v>Waikato</v>
      </c>
      <c r="C114" s="2">
        <f ca="1">IFERROR(__xludf.DUMMYFUNCTION("""COMPUTED_VALUE"""),64)</f>
        <v>64</v>
      </c>
      <c r="D114" s="9" t="str">
        <f ca="1">IFERROR(__xludf.DUMMYFUNCTION("""COMPUTED_VALUE"""),"")</f>
        <v/>
      </c>
      <c r="E114" s="4" t="str">
        <f ca="1">IFERROR(__xludf.DUMMYFUNCTION("""COMPUTED_VALUE"""),"")</f>
        <v/>
      </c>
      <c r="F114" s="2" t="str">
        <f ca="1">IFERROR(__xludf.DUMMYFUNCTION("""COMPUTED_VALUE"""),"")</f>
        <v/>
      </c>
      <c r="G114" s="2" t="str">
        <f ca="1">IFERROR(__xludf.DUMMYFUNCTION("""COMPUTED_VALUE"""),"GPS: I converted data downloaded from ARGOS using Pinpoint software")</f>
        <v>GPS: I converted data downloaded from ARGOS using Pinpoint software</v>
      </c>
      <c r="H114" s="2" t="str">
        <f ca="1">IFERROR(__xludf.DUMMYFUNCTION("""COMPUTED_VALUE"""),"3D")</f>
        <v>3D</v>
      </c>
      <c r="I114" s="2" t="str">
        <f ca="1">IFERROR(__xludf.DUMMYFUNCTION("""COMPUTED_VALUE"""),"")</f>
        <v/>
      </c>
      <c r="J114" s="2" t="str">
        <f ca="1">IFERROR(__xludf.DUMMYFUNCTION("""COMPUTED_VALUE"""),"")</f>
        <v/>
      </c>
      <c r="K114" s="2" t="str">
        <f ca="1">IFERROR(__xludf.DUMMYFUNCTION("""COMPUTED_VALUE"""),"")</f>
        <v/>
      </c>
      <c r="L114" s="2" t="str">
        <f ca="1">IFERROR(__xludf.DUMMYFUNCTION("""COMPUTED_VALUE"""),"")</f>
        <v/>
      </c>
      <c r="M114" s="5" t="str">
        <f ca="1">IFERROR(__xludf.DUMMYFUNCTION("""COMPUTED_VALUE"""),"")</f>
        <v/>
      </c>
      <c r="N114" s="5" t="str">
        <f ca="1">IFERROR(__xludf.DUMMYFUNCTION("""COMPUTED_VALUE"""),"")</f>
        <v/>
      </c>
      <c r="O114" s="2" t="str">
        <f ca="1">IFERROR(__xludf.DUMMYFUNCTION("""COMPUTED_VALUE"""),"")</f>
        <v/>
      </c>
      <c r="P114" s="2" t="str">
        <f ca="1">IFERROR(__xludf.DUMMYFUNCTION("""COMPUTED_VALUE"""),"")</f>
        <v/>
      </c>
      <c r="Q114" s="2" t="str">
        <f ca="1">IFERROR(__xludf.DUMMYFUNCTION("""COMPUTED_VALUE"""),"")</f>
        <v/>
      </c>
      <c r="R114" s="2" t="str">
        <f ca="1">IFERROR(__xludf.DUMMYFUNCTION("""COMPUTED_VALUE"""),"")</f>
        <v/>
      </c>
      <c r="S114" s="2" t="str">
        <f ca="1">IFERROR(__xludf.DUMMYFUNCTION("""COMPUTED_VALUE"""),"")</f>
        <v/>
      </c>
      <c r="T114" s="2" t="str">
        <f ca="1">IFERROR(__xludf.DUMMYFUNCTION("""COMPUTED_VALUE"""),"")</f>
        <v/>
      </c>
      <c r="U114" s="2" t="str">
        <f ca="1">IFERROR(__xludf.DUMMYFUNCTION("""COMPUTED_VALUE"""),"")</f>
        <v/>
      </c>
      <c r="V114" s="2" t="str">
        <f ca="1">IFERROR(__xludf.DUMMYFUNCTION("""COMPUTED_VALUE"""),"")</f>
        <v/>
      </c>
      <c r="W114" s="2" t="str">
        <f ca="1">IFERROR(__xludf.DUMMYFUNCTION("""COMPUTED_VALUE"""),"")</f>
        <v/>
      </c>
      <c r="X114" s="2" t="str">
        <f ca="1">IFERROR(__xludf.DUMMYFUNCTION("""COMPUTED_VALUE"""),"")</f>
        <v/>
      </c>
      <c r="Y114" s="2" t="str">
        <f ca="1">IFERROR(__xludf.DUMMYFUNCTION("""COMPUTED_VALUE"""),"")</f>
        <v/>
      </c>
      <c r="Z114" s="2" t="str">
        <f ca="1">IFERROR(__xludf.DUMMYFUNCTION("""COMPUTED_VALUE"""),"")</f>
        <v/>
      </c>
      <c r="AA114" s="2" t="str">
        <f ca="1">IFERROR(__xludf.DUMMYFUNCTION("""COMPUTED_VALUE"""),"")</f>
        <v/>
      </c>
      <c r="AB114" s="2" t="str">
        <f ca="1">IFERROR(__xludf.DUMMYFUNCTION("""COMPUTED_VALUE"""),"")</f>
        <v/>
      </c>
      <c r="AC114" s="2" t="str">
        <f ca="1">IFERROR(__xludf.DUMMYFUNCTION("""COMPUTED_VALUE"""),"")</f>
        <v/>
      </c>
      <c r="AD114" s="2" t="str">
        <f ca="1">IFERROR(__xludf.DUMMYFUNCTION("""COMPUTED_VALUE"""),"")</f>
        <v/>
      </c>
      <c r="AE114" s="2" t="str">
        <f ca="1">IFERROR(__xludf.DUMMYFUNCTION("""COMPUTED_VALUE"""),"")</f>
        <v/>
      </c>
      <c r="AF114" s="2" t="str">
        <f ca="1">IFERROR(__xludf.DUMMYFUNCTION("""COMPUTED_VALUE"""),"")</f>
        <v/>
      </c>
      <c r="AG114" s="2" t="str">
        <f ca="1">IFERROR(__xludf.DUMMYFUNCTION("""COMPUTED_VALUE"""),"")</f>
        <v/>
      </c>
      <c r="AH114" s="2" t="str">
        <f ca="1">IFERROR(__xludf.DUMMYFUNCTION("""COMPUTED_VALUE"""),"")</f>
        <v/>
      </c>
      <c r="AI114" s="2" t="str">
        <f ca="1">IFERROR(__xludf.DUMMYFUNCTION("""COMPUTED_VALUE"""),"")</f>
        <v/>
      </c>
      <c r="AJ114" s="2" t="str">
        <f ca="1">IFERROR(__xludf.DUMMYFUNCTION("""COMPUTED_VALUE"""),"")</f>
        <v/>
      </c>
      <c r="AK114" s="2" t="str">
        <f ca="1">IFERROR(__xludf.DUMMYFUNCTION("""COMPUTED_VALUE"""),"")</f>
        <v/>
      </c>
      <c r="AL114" s="2" t="str">
        <f ca="1">IFERROR(__xludf.DUMMYFUNCTION("""COMPUTED_VALUE"""),"")</f>
        <v/>
      </c>
      <c r="AM114" s="2" t="str">
        <f ca="1">IFERROR(__xludf.DUMMYFUNCTION("""COMPUTED_VALUE"""),"")</f>
        <v/>
      </c>
      <c r="AN114" s="2" t="str">
        <f ca="1">IFERROR(__xludf.DUMMYFUNCTION("""COMPUTED_VALUE"""),"")</f>
        <v/>
      </c>
      <c r="AO114" s="2" t="str">
        <f ca="1">IFERROR(__xludf.DUMMYFUNCTION("""COMPUTED_VALUE"""),"")</f>
        <v/>
      </c>
      <c r="AP114" s="2" t="str">
        <f ca="1">IFERROR(__xludf.DUMMYFUNCTION("""COMPUTED_VALUE"""),"")</f>
        <v/>
      </c>
      <c r="AQ114" s="2" t="str">
        <f ca="1">IFERROR(__xludf.DUMMYFUNCTION("""COMPUTED_VALUE"""),"")</f>
        <v/>
      </c>
      <c r="AR114" s="2" t="str">
        <f ca="1">IFERROR(__xludf.DUMMYFUNCTION("""COMPUTED_VALUE"""),"")</f>
        <v/>
      </c>
      <c r="AS114" s="2" t="str">
        <f ca="1">IFERROR(__xludf.DUMMYFUNCTION("""COMPUTED_VALUE"""),"")</f>
        <v/>
      </c>
      <c r="AT114" s="2" t="str">
        <f ca="1">IFERROR(__xludf.DUMMYFUNCTION("""COMPUTED_VALUE"""),"")</f>
        <v/>
      </c>
      <c r="AU114" s="2" t="str">
        <f ca="1">IFERROR(__xludf.DUMMYFUNCTION("""COMPUTED_VALUE"""),"")</f>
        <v/>
      </c>
      <c r="AV114" s="2" t="str">
        <f ca="1">IFERROR(__xludf.DUMMYFUNCTION("""COMPUTED_VALUE"""),"")</f>
        <v/>
      </c>
      <c r="AW114" s="2" t="str">
        <f ca="1">IFERROR(__xludf.DUMMYFUNCTION("""COMPUTED_VALUE"""),"")</f>
        <v/>
      </c>
      <c r="AX114" s="2" t="str">
        <f ca="1">IFERROR(__xludf.DUMMYFUNCTION("""COMPUTED_VALUE"""),"")</f>
        <v/>
      </c>
      <c r="AY114" s="2" t="str">
        <f ca="1">IFERROR(__xludf.DUMMYFUNCTION("""COMPUTED_VALUE"""),"")</f>
        <v/>
      </c>
      <c r="AZ114" s="2" t="str">
        <f ca="1">IFERROR(__xludf.DUMMYFUNCTION("""COMPUTED_VALUE"""),"")</f>
        <v/>
      </c>
      <c r="BA114" s="2" t="str">
        <f ca="1">IFERROR(__xludf.DUMMYFUNCTION("""COMPUTED_VALUE"""),"")</f>
        <v/>
      </c>
      <c r="BB114" s="2" t="str">
        <f ca="1">IFERROR(__xludf.DUMMYFUNCTION("""COMPUTED_VALUE"""),"")</f>
        <v/>
      </c>
      <c r="BC114" s="2" t="str">
        <f ca="1">IFERROR(__xludf.DUMMYFUNCTION("""COMPUTED_VALUE"""),"")</f>
        <v/>
      </c>
      <c r="BD114" s="2" t="str">
        <f ca="1">IFERROR(__xludf.DUMMYFUNCTION("""COMPUTED_VALUE"""),"")</f>
        <v/>
      </c>
      <c r="BE114" s="2" t="str">
        <f ca="1">IFERROR(__xludf.DUMMYFUNCTION("""COMPUTED_VALUE"""),"")</f>
        <v/>
      </c>
      <c r="BF114" t="str">
        <f ca="1">IFERROR(__xludf.DUMMYFUNCTION("""COMPUTED_VALUE"""),"")</f>
        <v/>
      </c>
      <c r="BG114" t="str">
        <f ca="1">IFERROR(__xludf.DUMMYFUNCTION("""COMPUTED_VALUE"""),"")</f>
        <v/>
      </c>
      <c r="BH114" s="2">
        <f ca="1">IFERROR(__xludf.DUMMYFUNCTION("""COMPUTED_VALUE"""),-37.7493896)</f>
        <v>-37.749389600000001</v>
      </c>
      <c r="BI114" s="13">
        <f ca="1">IFERROR(__xludf.DUMMYFUNCTION("""COMPUTED_VALUE"""),176.3800659)</f>
        <v>176.38006590000001</v>
      </c>
      <c r="BJ114" s="9">
        <f ca="1">IFERROR(__xludf.DUMMYFUNCTION("""COMPUTED_VALUE"""),43426)</f>
        <v>43426</v>
      </c>
      <c r="BK114" s="4">
        <f ca="1">IFERROR(__xludf.DUMMYFUNCTION("""COMPUTED_VALUE"""),0.457777777777664)</f>
        <v>0.45777777777766399</v>
      </c>
    </row>
    <row r="115" spans="1:63" ht="12.5" x14ac:dyDescent="0.25">
      <c r="A115" s="7" t="str">
        <f ca="1">IFERROR(__xludf.DUMMYFUNCTION("""COMPUTED_VALUE"""),"")</f>
        <v/>
      </c>
      <c r="B115" s="8" t="str">
        <f ca="1">IFERROR(__xludf.DUMMYFUNCTION("""COMPUTED_VALUE"""),"Waikato")</f>
        <v>Waikato</v>
      </c>
      <c r="C115" s="2">
        <f ca="1">IFERROR(__xludf.DUMMYFUNCTION("""COMPUTED_VALUE"""),64)</f>
        <v>64</v>
      </c>
      <c r="D115" s="9" t="str">
        <f ca="1">IFERROR(__xludf.DUMMYFUNCTION("""COMPUTED_VALUE"""),"")</f>
        <v/>
      </c>
      <c r="E115" s="4" t="str">
        <f ca="1">IFERROR(__xludf.DUMMYFUNCTION("""COMPUTED_VALUE"""),"")</f>
        <v/>
      </c>
      <c r="F115" s="2" t="str">
        <f ca="1">IFERROR(__xludf.DUMMYFUNCTION("""COMPUTED_VALUE"""),"")</f>
        <v/>
      </c>
      <c r="G115" s="2" t="str">
        <f ca="1">IFERROR(__xludf.DUMMYFUNCTION("""COMPUTED_VALUE"""),"GPS: I converted data downloaded from ARGOS using Pinpoint software")</f>
        <v>GPS: I converted data downloaded from ARGOS using Pinpoint software</v>
      </c>
      <c r="H115" s="2" t="str">
        <f ca="1">IFERROR(__xludf.DUMMYFUNCTION("""COMPUTED_VALUE"""),"3D")</f>
        <v>3D</v>
      </c>
      <c r="I115" s="2" t="str">
        <f ca="1">IFERROR(__xludf.DUMMYFUNCTION("""COMPUTED_VALUE"""),"")</f>
        <v/>
      </c>
      <c r="J115" s="2" t="str">
        <f ca="1">IFERROR(__xludf.DUMMYFUNCTION("""COMPUTED_VALUE"""),"")</f>
        <v/>
      </c>
      <c r="K115" s="2" t="str">
        <f ca="1">IFERROR(__xludf.DUMMYFUNCTION("""COMPUTED_VALUE"""),"")</f>
        <v/>
      </c>
      <c r="L115" s="2" t="str">
        <f ca="1">IFERROR(__xludf.DUMMYFUNCTION("""COMPUTED_VALUE"""),"")</f>
        <v/>
      </c>
      <c r="M115" s="5" t="str">
        <f ca="1">IFERROR(__xludf.DUMMYFUNCTION("""COMPUTED_VALUE"""),"")</f>
        <v/>
      </c>
      <c r="N115" s="5" t="str">
        <f ca="1">IFERROR(__xludf.DUMMYFUNCTION("""COMPUTED_VALUE"""),"")</f>
        <v/>
      </c>
      <c r="O115" s="2" t="str">
        <f ca="1">IFERROR(__xludf.DUMMYFUNCTION("""COMPUTED_VALUE"""),"")</f>
        <v/>
      </c>
      <c r="P115" s="2" t="str">
        <f ca="1">IFERROR(__xludf.DUMMYFUNCTION("""COMPUTED_VALUE"""),"")</f>
        <v/>
      </c>
      <c r="Q115" s="2" t="str">
        <f ca="1">IFERROR(__xludf.DUMMYFUNCTION("""COMPUTED_VALUE"""),"")</f>
        <v/>
      </c>
      <c r="R115" s="2" t="str">
        <f ca="1">IFERROR(__xludf.DUMMYFUNCTION("""COMPUTED_VALUE"""),"")</f>
        <v/>
      </c>
      <c r="S115" s="2" t="str">
        <f ca="1">IFERROR(__xludf.DUMMYFUNCTION("""COMPUTED_VALUE"""),"")</f>
        <v/>
      </c>
      <c r="T115" s="2" t="str">
        <f ca="1">IFERROR(__xludf.DUMMYFUNCTION("""COMPUTED_VALUE"""),"")</f>
        <v/>
      </c>
      <c r="U115" s="2" t="str">
        <f ca="1">IFERROR(__xludf.DUMMYFUNCTION("""COMPUTED_VALUE"""),"")</f>
        <v/>
      </c>
      <c r="V115" s="2" t="str">
        <f ca="1">IFERROR(__xludf.DUMMYFUNCTION("""COMPUTED_VALUE"""),"")</f>
        <v/>
      </c>
      <c r="W115" s="2" t="str">
        <f ca="1">IFERROR(__xludf.DUMMYFUNCTION("""COMPUTED_VALUE"""),"")</f>
        <v/>
      </c>
      <c r="X115" s="2" t="str">
        <f ca="1">IFERROR(__xludf.DUMMYFUNCTION("""COMPUTED_VALUE"""),"")</f>
        <v/>
      </c>
      <c r="Y115" s="2" t="str">
        <f ca="1">IFERROR(__xludf.DUMMYFUNCTION("""COMPUTED_VALUE"""),"")</f>
        <v/>
      </c>
      <c r="Z115" s="2" t="str">
        <f ca="1">IFERROR(__xludf.DUMMYFUNCTION("""COMPUTED_VALUE"""),"")</f>
        <v/>
      </c>
      <c r="AA115" s="2" t="str">
        <f ca="1">IFERROR(__xludf.DUMMYFUNCTION("""COMPUTED_VALUE"""),"")</f>
        <v/>
      </c>
      <c r="AB115" s="2" t="str">
        <f ca="1">IFERROR(__xludf.DUMMYFUNCTION("""COMPUTED_VALUE"""),"")</f>
        <v/>
      </c>
      <c r="AC115" s="2" t="str">
        <f ca="1">IFERROR(__xludf.DUMMYFUNCTION("""COMPUTED_VALUE"""),"")</f>
        <v/>
      </c>
      <c r="AD115" s="2" t="str">
        <f ca="1">IFERROR(__xludf.DUMMYFUNCTION("""COMPUTED_VALUE"""),"")</f>
        <v/>
      </c>
      <c r="AE115" s="2" t="str">
        <f ca="1">IFERROR(__xludf.DUMMYFUNCTION("""COMPUTED_VALUE"""),"")</f>
        <v/>
      </c>
      <c r="AF115" s="2" t="str">
        <f ca="1">IFERROR(__xludf.DUMMYFUNCTION("""COMPUTED_VALUE"""),"")</f>
        <v/>
      </c>
      <c r="AG115" s="2" t="str">
        <f ca="1">IFERROR(__xludf.DUMMYFUNCTION("""COMPUTED_VALUE"""),"")</f>
        <v/>
      </c>
      <c r="AH115" s="2" t="str">
        <f ca="1">IFERROR(__xludf.DUMMYFUNCTION("""COMPUTED_VALUE"""),"")</f>
        <v/>
      </c>
      <c r="AI115" s="2" t="str">
        <f ca="1">IFERROR(__xludf.DUMMYFUNCTION("""COMPUTED_VALUE"""),"")</f>
        <v/>
      </c>
      <c r="AJ115" s="2" t="str">
        <f ca="1">IFERROR(__xludf.DUMMYFUNCTION("""COMPUTED_VALUE"""),"")</f>
        <v/>
      </c>
      <c r="AK115" s="2" t="str">
        <f ca="1">IFERROR(__xludf.DUMMYFUNCTION("""COMPUTED_VALUE"""),"")</f>
        <v/>
      </c>
      <c r="AL115" s="2" t="str">
        <f ca="1">IFERROR(__xludf.DUMMYFUNCTION("""COMPUTED_VALUE"""),"")</f>
        <v/>
      </c>
      <c r="AM115" s="2" t="str">
        <f ca="1">IFERROR(__xludf.DUMMYFUNCTION("""COMPUTED_VALUE"""),"")</f>
        <v/>
      </c>
      <c r="AN115" s="2" t="str">
        <f ca="1">IFERROR(__xludf.DUMMYFUNCTION("""COMPUTED_VALUE"""),"")</f>
        <v/>
      </c>
      <c r="AO115" s="2" t="str">
        <f ca="1">IFERROR(__xludf.DUMMYFUNCTION("""COMPUTED_VALUE"""),"")</f>
        <v/>
      </c>
      <c r="AP115" s="2" t="str">
        <f ca="1">IFERROR(__xludf.DUMMYFUNCTION("""COMPUTED_VALUE"""),"")</f>
        <v/>
      </c>
      <c r="AQ115" s="2" t="str">
        <f ca="1">IFERROR(__xludf.DUMMYFUNCTION("""COMPUTED_VALUE"""),"")</f>
        <v/>
      </c>
      <c r="AR115" s="2" t="str">
        <f ca="1">IFERROR(__xludf.DUMMYFUNCTION("""COMPUTED_VALUE"""),"")</f>
        <v/>
      </c>
      <c r="AS115" s="2" t="str">
        <f ca="1">IFERROR(__xludf.DUMMYFUNCTION("""COMPUTED_VALUE"""),"")</f>
        <v/>
      </c>
      <c r="AT115" s="2" t="str">
        <f ca="1">IFERROR(__xludf.DUMMYFUNCTION("""COMPUTED_VALUE"""),"")</f>
        <v/>
      </c>
      <c r="AU115" s="2" t="str">
        <f ca="1">IFERROR(__xludf.DUMMYFUNCTION("""COMPUTED_VALUE"""),"")</f>
        <v/>
      </c>
      <c r="AV115" s="2" t="str">
        <f ca="1">IFERROR(__xludf.DUMMYFUNCTION("""COMPUTED_VALUE"""),"")</f>
        <v/>
      </c>
      <c r="AW115" s="2" t="str">
        <f ca="1">IFERROR(__xludf.DUMMYFUNCTION("""COMPUTED_VALUE"""),"")</f>
        <v/>
      </c>
      <c r="AX115" s="2" t="str">
        <f ca="1">IFERROR(__xludf.DUMMYFUNCTION("""COMPUTED_VALUE"""),"")</f>
        <v/>
      </c>
      <c r="AY115" s="2" t="str">
        <f ca="1">IFERROR(__xludf.DUMMYFUNCTION("""COMPUTED_VALUE"""),"")</f>
        <v/>
      </c>
      <c r="AZ115" s="2" t="str">
        <f ca="1">IFERROR(__xludf.DUMMYFUNCTION("""COMPUTED_VALUE"""),"")</f>
        <v/>
      </c>
      <c r="BA115" s="2" t="str">
        <f ca="1">IFERROR(__xludf.DUMMYFUNCTION("""COMPUTED_VALUE"""),"")</f>
        <v/>
      </c>
      <c r="BB115" s="2" t="str">
        <f ca="1">IFERROR(__xludf.DUMMYFUNCTION("""COMPUTED_VALUE"""),"")</f>
        <v/>
      </c>
      <c r="BC115" s="2" t="str">
        <f ca="1">IFERROR(__xludf.DUMMYFUNCTION("""COMPUTED_VALUE"""),"")</f>
        <v/>
      </c>
      <c r="BD115" s="2" t="str">
        <f ca="1">IFERROR(__xludf.DUMMYFUNCTION("""COMPUTED_VALUE"""),"")</f>
        <v/>
      </c>
      <c r="BE115" s="2" t="str">
        <f ca="1">IFERROR(__xludf.DUMMYFUNCTION("""COMPUTED_VALUE"""),"")</f>
        <v/>
      </c>
      <c r="BF115" t="str">
        <f ca="1">IFERROR(__xludf.DUMMYFUNCTION("""COMPUTED_VALUE"""),"")</f>
        <v/>
      </c>
      <c r="BG115" t="str">
        <f ca="1">IFERROR(__xludf.DUMMYFUNCTION("""COMPUTED_VALUE"""),"")</f>
        <v/>
      </c>
      <c r="BH115" s="2">
        <f ca="1">IFERROR(__xludf.DUMMYFUNCTION("""COMPUTED_VALUE"""),-37.750412)</f>
        <v>-37.750411999999997</v>
      </c>
      <c r="BI115" s="12">
        <f ca="1">IFERROR(__xludf.DUMMYFUNCTION("""COMPUTED_VALUE"""),176.3820648)</f>
        <v>176.38206479999999</v>
      </c>
      <c r="BJ115" s="9">
        <f ca="1">IFERROR(__xludf.DUMMYFUNCTION("""COMPUTED_VALUE"""),43426)</f>
        <v>43426</v>
      </c>
      <c r="BK115" s="4">
        <f ca="1">IFERROR(__xludf.DUMMYFUNCTION("""COMPUTED_VALUE"""),0.958518518516939)</f>
        <v>0.95851851851693903</v>
      </c>
    </row>
    <row r="116" spans="1:63" ht="12.5" x14ac:dyDescent="0.25">
      <c r="A116" s="7" t="str">
        <f ca="1">IFERROR(__xludf.DUMMYFUNCTION("""COMPUTED_VALUE"""),"")</f>
        <v/>
      </c>
      <c r="B116" s="8" t="str">
        <f ca="1">IFERROR(__xludf.DUMMYFUNCTION("""COMPUTED_VALUE"""),"Waikato")</f>
        <v>Waikato</v>
      </c>
      <c r="C116" s="2">
        <f ca="1">IFERROR(__xludf.DUMMYFUNCTION("""COMPUTED_VALUE"""),64)</f>
        <v>64</v>
      </c>
      <c r="D116" s="9" t="str">
        <f ca="1">IFERROR(__xludf.DUMMYFUNCTION("""COMPUTED_VALUE"""),"")</f>
        <v/>
      </c>
      <c r="E116" s="4" t="str">
        <f ca="1">IFERROR(__xludf.DUMMYFUNCTION("""COMPUTED_VALUE"""),"")</f>
        <v/>
      </c>
      <c r="F116" s="2" t="str">
        <f ca="1">IFERROR(__xludf.DUMMYFUNCTION("""COMPUTED_VALUE"""),"")</f>
        <v/>
      </c>
      <c r="G116" s="2" t="str">
        <f ca="1">IFERROR(__xludf.DUMMYFUNCTION("""COMPUTED_VALUE"""),"GPS: I converted data downloaded from ARGOS using Pinpoint software")</f>
        <v>GPS: I converted data downloaded from ARGOS using Pinpoint software</v>
      </c>
      <c r="H116" s="2" t="str">
        <f ca="1">IFERROR(__xludf.DUMMYFUNCTION("""COMPUTED_VALUE"""),"3D")</f>
        <v>3D</v>
      </c>
      <c r="I116" s="2" t="str">
        <f ca="1">IFERROR(__xludf.DUMMYFUNCTION("""COMPUTED_VALUE"""),"")</f>
        <v/>
      </c>
      <c r="J116" s="2" t="str">
        <f ca="1">IFERROR(__xludf.DUMMYFUNCTION("""COMPUTED_VALUE"""),"")</f>
        <v/>
      </c>
      <c r="K116" s="2" t="str">
        <f ca="1">IFERROR(__xludf.DUMMYFUNCTION("""COMPUTED_VALUE"""),"")</f>
        <v/>
      </c>
      <c r="L116" s="2" t="str">
        <f ca="1">IFERROR(__xludf.DUMMYFUNCTION("""COMPUTED_VALUE"""),"")</f>
        <v/>
      </c>
      <c r="M116" s="5" t="str">
        <f ca="1">IFERROR(__xludf.DUMMYFUNCTION("""COMPUTED_VALUE"""),"")</f>
        <v/>
      </c>
      <c r="N116" s="5" t="str">
        <f ca="1">IFERROR(__xludf.DUMMYFUNCTION("""COMPUTED_VALUE"""),"")</f>
        <v/>
      </c>
      <c r="O116" s="2" t="str">
        <f ca="1">IFERROR(__xludf.DUMMYFUNCTION("""COMPUTED_VALUE"""),"")</f>
        <v/>
      </c>
      <c r="P116" s="2" t="str">
        <f ca="1">IFERROR(__xludf.DUMMYFUNCTION("""COMPUTED_VALUE"""),"")</f>
        <v/>
      </c>
      <c r="Q116" s="2" t="str">
        <f ca="1">IFERROR(__xludf.DUMMYFUNCTION("""COMPUTED_VALUE"""),"")</f>
        <v/>
      </c>
      <c r="R116" s="2" t="str">
        <f ca="1">IFERROR(__xludf.DUMMYFUNCTION("""COMPUTED_VALUE"""),"")</f>
        <v/>
      </c>
      <c r="S116" s="2" t="str">
        <f ca="1">IFERROR(__xludf.DUMMYFUNCTION("""COMPUTED_VALUE"""),"")</f>
        <v/>
      </c>
      <c r="T116" s="2" t="str">
        <f ca="1">IFERROR(__xludf.DUMMYFUNCTION("""COMPUTED_VALUE"""),"")</f>
        <v/>
      </c>
      <c r="U116" s="2" t="str">
        <f ca="1">IFERROR(__xludf.DUMMYFUNCTION("""COMPUTED_VALUE"""),"")</f>
        <v/>
      </c>
      <c r="V116" s="2" t="str">
        <f ca="1">IFERROR(__xludf.DUMMYFUNCTION("""COMPUTED_VALUE"""),"")</f>
        <v/>
      </c>
      <c r="W116" s="2" t="str">
        <f ca="1">IFERROR(__xludf.DUMMYFUNCTION("""COMPUTED_VALUE"""),"")</f>
        <v/>
      </c>
      <c r="X116" s="2" t="str">
        <f ca="1">IFERROR(__xludf.DUMMYFUNCTION("""COMPUTED_VALUE"""),"")</f>
        <v/>
      </c>
      <c r="Y116" s="2" t="str">
        <f ca="1">IFERROR(__xludf.DUMMYFUNCTION("""COMPUTED_VALUE"""),"")</f>
        <v/>
      </c>
      <c r="Z116" s="2" t="str">
        <f ca="1">IFERROR(__xludf.DUMMYFUNCTION("""COMPUTED_VALUE"""),"")</f>
        <v/>
      </c>
      <c r="AA116" s="2" t="str">
        <f ca="1">IFERROR(__xludf.DUMMYFUNCTION("""COMPUTED_VALUE"""),"")</f>
        <v/>
      </c>
      <c r="AB116" s="2" t="str">
        <f ca="1">IFERROR(__xludf.DUMMYFUNCTION("""COMPUTED_VALUE"""),"")</f>
        <v/>
      </c>
      <c r="AC116" s="2" t="str">
        <f ca="1">IFERROR(__xludf.DUMMYFUNCTION("""COMPUTED_VALUE"""),"")</f>
        <v/>
      </c>
      <c r="AD116" s="2" t="str">
        <f ca="1">IFERROR(__xludf.DUMMYFUNCTION("""COMPUTED_VALUE"""),"")</f>
        <v/>
      </c>
      <c r="AE116" s="2" t="str">
        <f ca="1">IFERROR(__xludf.DUMMYFUNCTION("""COMPUTED_VALUE"""),"")</f>
        <v/>
      </c>
      <c r="AF116" s="2" t="str">
        <f ca="1">IFERROR(__xludf.DUMMYFUNCTION("""COMPUTED_VALUE"""),"")</f>
        <v/>
      </c>
      <c r="AG116" s="2" t="str">
        <f ca="1">IFERROR(__xludf.DUMMYFUNCTION("""COMPUTED_VALUE"""),"")</f>
        <v/>
      </c>
      <c r="AH116" s="2" t="str">
        <f ca="1">IFERROR(__xludf.DUMMYFUNCTION("""COMPUTED_VALUE"""),"")</f>
        <v/>
      </c>
      <c r="AI116" s="2" t="str">
        <f ca="1">IFERROR(__xludf.DUMMYFUNCTION("""COMPUTED_VALUE"""),"")</f>
        <v/>
      </c>
      <c r="AJ116" s="2" t="str">
        <f ca="1">IFERROR(__xludf.DUMMYFUNCTION("""COMPUTED_VALUE"""),"")</f>
        <v/>
      </c>
      <c r="AK116" s="2" t="str">
        <f ca="1">IFERROR(__xludf.DUMMYFUNCTION("""COMPUTED_VALUE"""),"")</f>
        <v/>
      </c>
      <c r="AL116" s="2" t="str">
        <f ca="1">IFERROR(__xludf.DUMMYFUNCTION("""COMPUTED_VALUE"""),"")</f>
        <v/>
      </c>
      <c r="AM116" s="2" t="str">
        <f ca="1">IFERROR(__xludf.DUMMYFUNCTION("""COMPUTED_VALUE"""),"")</f>
        <v/>
      </c>
      <c r="AN116" s="2" t="str">
        <f ca="1">IFERROR(__xludf.DUMMYFUNCTION("""COMPUTED_VALUE"""),"")</f>
        <v/>
      </c>
      <c r="AO116" s="2" t="str">
        <f ca="1">IFERROR(__xludf.DUMMYFUNCTION("""COMPUTED_VALUE"""),"")</f>
        <v/>
      </c>
      <c r="AP116" s="2" t="str">
        <f ca="1">IFERROR(__xludf.DUMMYFUNCTION("""COMPUTED_VALUE"""),"")</f>
        <v/>
      </c>
      <c r="AQ116" s="2" t="str">
        <f ca="1">IFERROR(__xludf.DUMMYFUNCTION("""COMPUTED_VALUE"""),"")</f>
        <v/>
      </c>
      <c r="AR116" s="2" t="str">
        <f ca="1">IFERROR(__xludf.DUMMYFUNCTION("""COMPUTED_VALUE"""),"")</f>
        <v/>
      </c>
      <c r="AS116" s="2" t="str">
        <f ca="1">IFERROR(__xludf.DUMMYFUNCTION("""COMPUTED_VALUE"""),"")</f>
        <v/>
      </c>
      <c r="AT116" s="2" t="str">
        <f ca="1">IFERROR(__xludf.DUMMYFUNCTION("""COMPUTED_VALUE"""),"")</f>
        <v/>
      </c>
      <c r="AU116" s="2" t="str">
        <f ca="1">IFERROR(__xludf.DUMMYFUNCTION("""COMPUTED_VALUE"""),"")</f>
        <v/>
      </c>
      <c r="AV116" s="2" t="str">
        <f ca="1">IFERROR(__xludf.DUMMYFUNCTION("""COMPUTED_VALUE"""),"")</f>
        <v/>
      </c>
      <c r="AW116" s="2" t="str">
        <f ca="1">IFERROR(__xludf.DUMMYFUNCTION("""COMPUTED_VALUE"""),"")</f>
        <v/>
      </c>
      <c r="AX116" s="2" t="str">
        <f ca="1">IFERROR(__xludf.DUMMYFUNCTION("""COMPUTED_VALUE"""),"")</f>
        <v/>
      </c>
      <c r="AY116" s="2" t="str">
        <f ca="1">IFERROR(__xludf.DUMMYFUNCTION("""COMPUTED_VALUE"""),"")</f>
        <v/>
      </c>
      <c r="AZ116" s="2" t="str">
        <f ca="1">IFERROR(__xludf.DUMMYFUNCTION("""COMPUTED_VALUE"""),"")</f>
        <v/>
      </c>
      <c r="BA116" s="2" t="str">
        <f ca="1">IFERROR(__xludf.DUMMYFUNCTION("""COMPUTED_VALUE"""),"")</f>
        <v/>
      </c>
      <c r="BB116" s="2" t="str">
        <f ca="1">IFERROR(__xludf.DUMMYFUNCTION("""COMPUTED_VALUE"""),"")</f>
        <v/>
      </c>
      <c r="BC116" s="2" t="str">
        <f ca="1">IFERROR(__xludf.DUMMYFUNCTION("""COMPUTED_VALUE"""),"")</f>
        <v/>
      </c>
      <c r="BD116" s="2" t="str">
        <f ca="1">IFERROR(__xludf.DUMMYFUNCTION("""COMPUTED_VALUE"""),"")</f>
        <v/>
      </c>
      <c r="BE116" s="2" t="str">
        <f ca="1">IFERROR(__xludf.DUMMYFUNCTION("""COMPUTED_VALUE"""),"")</f>
        <v/>
      </c>
      <c r="BF116" t="str">
        <f ca="1">IFERROR(__xludf.DUMMYFUNCTION("""COMPUTED_VALUE"""),"")</f>
        <v/>
      </c>
      <c r="BG116" t="str">
        <f ca="1">IFERROR(__xludf.DUMMYFUNCTION("""COMPUTED_VALUE"""),"")</f>
        <v/>
      </c>
      <c r="BH116" s="2">
        <f ca="1">IFERROR(__xludf.DUMMYFUNCTION("""COMPUTED_VALUE"""),-37.7494392)</f>
        <v>-37.749439199999998</v>
      </c>
      <c r="BI116" s="13">
        <f ca="1">IFERROR(__xludf.DUMMYFUNCTION("""COMPUTED_VALUE"""),176.3808441)</f>
        <v>176.38084409999999</v>
      </c>
      <c r="BJ116" s="9">
        <f ca="1">IFERROR(__xludf.DUMMYFUNCTION("""COMPUTED_VALUE"""),43427)</f>
        <v>43427</v>
      </c>
      <c r="BK116" s="4">
        <f ca="1">IFERROR(__xludf.DUMMYFUNCTION("""COMPUTED_VALUE"""),0.874074074072268)</f>
        <v>0.874074074072268</v>
      </c>
    </row>
    <row r="117" spans="1:63" ht="12.5" x14ac:dyDescent="0.25">
      <c r="A117" s="7" t="str">
        <f ca="1">IFERROR(__xludf.DUMMYFUNCTION("""COMPUTED_VALUE"""),"")</f>
        <v/>
      </c>
      <c r="B117" s="8" t="str">
        <f ca="1">IFERROR(__xludf.DUMMYFUNCTION("""COMPUTED_VALUE"""),"Waikato")</f>
        <v>Waikato</v>
      </c>
      <c r="C117" s="2">
        <f ca="1">IFERROR(__xludf.DUMMYFUNCTION("""COMPUTED_VALUE"""),64)</f>
        <v>64</v>
      </c>
      <c r="D117" s="9" t="str">
        <f ca="1">IFERROR(__xludf.DUMMYFUNCTION("""COMPUTED_VALUE"""),"")</f>
        <v/>
      </c>
      <c r="E117" s="4" t="str">
        <f ca="1">IFERROR(__xludf.DUMMYFUNCTION("""COMPUTED_VALUE"""),"")</f>
        <v/>
      </c>
      <c r="F117" s="2" t="str">
        <f ca="1">IFERROR(__xludf.DUMMYFUNCTION("""COMPUTED_VALUE"""),"")</f>
        <v/>
      </c>
      <c r="G117" s="2" t="str">
        <f ca="1">IFERROR(__xludf.DUMMYFUNCTION("""COMPUTED_VALUE"""),"GPS: I converted data downloaded from ARGOS using Pinpoint software")</f>
        <v>GPS: I converted data downloaded from ARGOS using Pinpoint software</v>
      </c>
      <c r="H117" s="2" t="str">
        <f ca="1">IFERROR(__xludf.DUMMYFUNCTION("""COMPUTED_VALUE"""),"3D")</f>
        <v>3D</v>
      </c>
      <c r="I117" s="2" t="str">
        <f ca="1">IFERROR(__xludf.DUMMYFUNCTION("""COMPUTED_VALUE"""),"")</f>
        <v/>
      </c>
      <c r="J117" s="2" t="str">
        <f ca="1">IFERROR(__xludf.DUMMYFUNCTION("""COMPUTED_VALUE"""),"")</f>
        <v/>
      </c>
      <c r="K117" s="2" t="str">
        <f ca="1">IFERROR(__xludf.DUMMYFUNCTION("""COMPUTED_VALUE"""),"")</f>
        <v/>
      </c>
      <c r="L117" s="2" t="str">
        <f ca="1">IFERROR(__xludf.DUMMYFUNCTION("""COMPUTED_VALUE"""),"")</f>
        <v/>
      </c>
      <c r="M117" s="5" t="str">
        <f ca="1">IFERROR(__xludf.DUMMYFUNCTION("""COMPUTED_VALUE"""),"")</f>
        <v/>
      </c>
      <c r="N117" s="5" t="str">
        <f ca="1">IFERROR(__xludf.DUMMYFUNCTION("""COMPUTED_VALUE"""),"")</f>
        <v/>
      </c>
      <c r="O117" s="2" t="str">
        <f ca="1">IFERROR(__xludf.DUMMYFUNCTION("""COMPUTED_VALUE"""),"")</f>
        <v/>
      </c>
      <c r="P117" s="2" t="str">
        <f ca="1">IFERROR(__xludf.DUMMYFUNCTION("""COMPUTED_VALUE"""),"")</f>
        <v/>
      </c>
      <c r="Q117" s="2" t="str">
        <f ca="1">IFERROR(__xludf.DUMMYFUNCTION("""COMPUTED_VALUE"""),"")</f>
        <v/>
      </c>
      <c r="R117" s="2" t="str">
        <f ca="1">IFERROR(__xludf.DUMMYFUNCTION("""COMPUTED_VALUE"""),"")</f>
        <v/>
      </c>
      <c r="S117" s="2" t="str">
        <f ca="1">IFERROR(__xludf.DUMMYFUNCTION("""COMPUTED_VALUE"""),"")</f>
        <v/>
      </c>
      <c r="T117" s="2" t="str">
        <f ca="1">IFERROR(__xludf.DUMMYFUNCTION("""COMPUTED_VALUE"""),"")</f>
        <v/>
      </c>
      <c r="U117" s="2" t="str">
        <f ca="1">IFERROR(__xludf.DUMMYFUNCTION("""COMPUTED_VALUE"""),"")</f>
        <v/>
      </c>
      <c r="V117" s="2" t="str">
        <f ca="1">IFERROR(__xludf.DUMMYFUNCTION("""COMPUTED_VALUE"""),"")</f>
        <v/>
      </c>
      <c r="W117" s="2" t="str">
        <f ca="1">IFERROR(__xludf.DUMMYFUNCTION("""COMPUTED_VALUE"""),"")</f>
        <v/>
      </c>
      <c r="X117" s="2" t="str">
        <f ca="1">IFERROR(__xludf.DUMMYFUNCTION("""COMPUTED_VALUE"""),"")</f>
        <v/>
      </c>
      <c r="Y117" s="2" t="str">
        <f ca="1">IFERROR(__xludf.DUMMYFUNCTION("""COMPUTED_VALUE"""),"")</f>
        <v/>
      </c>
      <c r="Z117" s="2" t="str">
        <f ca="1">IFERROR(__xludf.DUMMYFUNCTION("""COMPUTED_VALUE"""),"")</f>
        <v/>
      </c>
      <c r="AA117" s="2" t="str">
        <f ca="1">IFERROR(__xludf.DUMMYFUNCTION("""COMPUTED_VALUE"""),"")</f>
        <v/>
      </c>
      <c r="AB117" s="2" t="str">
        <f ca="1">IFERROR(__xludf.DUMMYFUNCTION("""COMPUTED_VALUE"""),"")</f>
        <v/>
      </c>
      <c r="AC117" s="2" t="str">
        <f ca="1">IFERROR(__xludf.DUMMYFUNCTION("""COMPUTED_VALUE"""),"")</f>
        <v/>
      </c>
      <c r="AD117" s="2" t="str">
        <f ca="1">IFERROR(__xludf.DUMMYFUNCTION("""COMPUTED_VALUE"""),"")</f>
        <v/>
      </c>
      <c r="AE117" s="2" t="str">
        <f ca="1">IFERROR(__xludf.DUMMYFUNCTION("""COMPUTED_VALUE"""),"")</f>
        <v/>
      </c>
      <c r="AF117" s="2" t="str">
        <f ca="1">IFERROR(__xludf.DUMMYFUNCTION("""COMPUTED_VALUE"""),"")</f>
        <v/>
      </c>
      <c r="AG117" s="2" t="str">
        <f ca="1">IFERROR(__xludf.DUMMYFUNCTION("""COMPUTED_VALUE"""),"")</f>
        <v/>
      </c>
      <c r="AH117" s="2" t="str">
        <f ca="1">IFERROR(__xludf.DUMMYFUNCTION("""COMPUTED_VALUE"""),"")</f>
        <v/>
      </c>
      <c r="AI117" s="2" t="str">
        <f ca="1">IFERROR(__xludf.DUMMYFUNCTION("""COMPUTED_VALUE"""),"")</f>
        <v/>
      </c>
      <c r="AJ117" s="2" t="str">
        <f ca="1">IFERROR(__xludf.DUMMYFUNCTION("""COMPUTED_VALUE"""),"")</f>
        <v/>
      </c>
      <c r="AK117" s="2" t="str">
        <f ca="1">IFERROR(__xludf.DUMMYFUNCTION("""COMPUTED_VALUE"""),"")</f>
        <v/>
      </c>
      <c r="AL117" s="2" t="str">
        <f ca="1">IFERROR(__xludf.DUMMYFUNCTION("""COMPUTED_VALUE"""),"")</f>
        <v/>
      </c>
      <c r="AM117" s="2" t="str">
        <f ca="1">IFERROR(__xludf.DUMMYFUNCTION("""COMPUTED_VALUE"""),"")</f>
        <v/>
      </c>
      <c r="AN117" s="2" t="str">
        <f ca="1">IFERROR(__xludf.DUMMYFUNCTION("""COMPUTED_VALUE"""),"")</f>
        <v/>
      </c>
      <c r="AO117" s="2" t="str">
        <f ca="1">IFERROR(__xludf.DUMMYFUNCTION("""COMPUTED_VALUE"""),"")</f>
        <v/>
      </c>
      <c r="AP117" s="2" t="str">
        <f ca="1">IFERROR(__xludf.DUMMYFUNCTION("""COMPUTED_VALUE"""),"")</f>
        <v/>
      </c>
      <c r="AQ117" s="2" t="str">
        <f ca="1">IFERROR(__xludf.DUMMYFUNCTION("""COMPUTED_VALUE"""),"")</f>
        <v/>
      </c>
      <c r="AR117" s="2" t="str">
        <f ca="1">IFERROR(__xludf.DUMMYFUNCTION("""COMPUTED_VALUE"""),"")</f>
        <v/>
      </c>
      <c r="AS117" s="2" t="str">
        <f ca="1">IFERROR(__xludf.DUMMYFUNCTION("""COMPUTED_VALUE"""),"")</f>
        <v/>
      </c>
      <c r="AT117" s="2" t="str">
        <f ca="1">IFERROR(__xludf.DUMMYFUNCTION("""COMPUTED_VALUE"""),"")</f>
        <v/>
      </c>
      <c r="AU117" s="2" t="str">
        <f ca="1">IFERROR(__xludf.DUMMYFUNCTION("""COMPUTED_VALUE"""),"")</f>
        <v/>
      </c>
      <c r="AV117" s="2" t="str">
        <f ca="1">IFERROR(__xludf.DUMMYFUNCTION("""COMPUTED_VALUE"""),"")</f>
        <v/>
      </c>
      <c r="AW117" s="2" t="str">
        <f ca="1">IFERROR(__xludf.DUMMYFUNCTION("""COMPUTED_VALUE"""),"")</f>
        <v/>
      </c>
      <c r="AX117" s="2" t="str">
        <f ca="1">IFERROR(__xludf.DUMMYFUNCTION("""COMPUTED_VALUE"""),"")</f>
        <v/>
      </c>
      <c r="AY117" s="2" t="str">
        <f ca="1">IFERROR(__xludf.DUMMYFUNCTION("""COMPUTED_VALUE"""),"")</f>
        <v/>
      </c>
      <c r="AZ117" s="2" t="str">
        <f ca="1">IFERROR(__xludf.DUMMYFUNCTION("""COMPUTED_VALUE"""),"")</f>
        <v/>
      </c>
      <c r="BA117" s="2" t="str">
        <f ca="1">IFERROR(__xludf.DUMMYFUNCTION("""COMPUTED_VALUE"""),"")</f>
        <v/>
      </c>
      <c r="BB117" s="2" t="str">
        <f ca="1">IFERROR(__xludf.DUMMYFUNCTION("""COMPUTED_VALUE"""),"")</f>
        <v/>
      </c>
      <c r="BC117" s="2" t="str">
        <f ca="1">IFERROR(__xludf.DUMMYFUNCTION("""COMPUTED_VALUE"""),"")</f>
        <v/>
      </c>
      <c r="BD117" s="2" t="str">
        <f ca="1">IFERROR(__xludf.DUMMYFUNCTION("""COMPUTED_VALUE"""),"")</f>
        <v/>
      </c>
      <c r="BE117" s="2" t="str">
        <f ca="1">IFERROR(__xludf.DUMMYFUNCTION("""COMPUTED_VALUE"""),"")</f>
        <v/>
      </c>
      <c r="BF117" t="str">
        <f ca="1">IFERROR(__xludf.DUMMYFUNCTION("""COMPUTED_VALUE"""),"")</f>
        <v/>
      </c>
      <c r="BG117" t="str">
        <f ca="1">IFERROR(__xludf.DUMMYFUNCTION("""COMPUTED_VALUE"""),"")</f>
        <v/>
      </c>
      <c r="BH117" s="2">
        <f ca="1">IFERROR(__xludf.DUMMYFUNCTION("""COMPUTED_VALUE"""),-37.7522545)</f>
        <v>-37.752254499999999</v>
      </c>
      <c r="BI117" s="12">
        <f ca="1">IFERROR(__xludf.DUMMYFUNCTION("""COMPUTED_VALUE"""),176.3843231)</f>
        <v>176.38432309999999</v>
      </c>
      <c r="BJ117" s="9">
        <f ca="1">IFERROR(__xludf.DUMMYFUNCTION("""COMPUTED_VALUE"""),43428)</f>
        <v>43428</v>
      </c>
      <c r="BK117" s="4">
        <f ca="1">IFERROR(__xludf.DUMMYFUNCTION("""COMPUTED_VALUE"""),0.457777777777664)</f>
        <v>0.45777777777766399</v>
      </c>
    </row>
    <row r="118" spans="1:63" ht="12.5" x14ac:dyDescent="0.25">
      <c r="A118" s="7" t="str">
        <f ca="1">IFERROR(__xludf.DUMMYFUNCTION("""COMPUTED_VALUE"""),"")</f>
        <v/>
      </c>
      <c r="B118" s="8" t="str">
        <f ca="1">IFERROR(__xludf.DUMMYFUNCTION("""COMPUTED_VALUE"""),"Waikato")</f>
        <v>Waikato</v>
      </c>
      <c r="C118" s="2">
        <f ca="1">IFERROR(__xludf.DUMMYFUNCTION("""COMPUTED_VALUE"""),64)</f>
        <v>64</v>
      </c>
      <c r="D118" s="9" t="str">
        <f ca="1">IFERROR(__xludf.DUMMYFUNCTION("""COMPUTED_VALUE"""),"")</f>
        <v/>
      </c>
      <c r="E118" s="4" t="str">
        <f ca="1">IFERROR(__xludf.DUMMYFUNCTION("""COMPUTED_VALUE"""),"")</f>
        <v/>
      </c>
      <c r="F118" s="2" t="str">
        <f ca="1">IFERROR(__xludf.DUMMYFUNCTION("""COMPUTED_VALUE"""),"")</f>
        <v/>
      </c>
      <c r="G118" s="2" t="str">
        <f ca="1">IFERROR(__xludf.DUMMYFUNCTION("""COMPUTED_VALUE"""),"GPS: I converted data downloaded from ARGOS using Pinpoint software")</f>
        <v>GPS: I converted data downloaded from ARGOS using Pinpoint software</v>
      </c>
      <c r="H118" s="2" t="str">
        <f ca="1">IFERROR(__xludf.DUMMYFUNCTION("""COMPUTED_VALUE"""),"3D")</f>
        <v>3D</v>
      </c>
      <c r="I118" s="2" t="str">
        <f ca="1">IFERROR(__xludf.DUMMYFUNCTION("""COMPUTED_VALUE"""),"")</f>
        <v/>
      </c>
      <c r="J118" s="2" t="str">
        <f ca="1">IFERROR(__xludf.DUMMYFUNCTION("""COMPUTED_VALUE"""),"")</f>
        <v/>
      </c>
      <c r="K118" s="2" t="str">
        <f ca="1">IFERROR(__xludf.DUMMYFUNCTION("""COMPUTED_VALUE"""),"")</f>
        <v/>
      </c>
      <c r="L118" s="2" t="str">
        <f ca="1">IFERROR(__xludf.DUMMYFUNCTION("""COMPUTED_VALUE"""),"")</f>
        <v/>
      </c>
      <c r="M118" s="5" t="str">
        <f ca="1">IFERROR(__xludf.DUMMYFUNCTION("""COMPUTED_VALUE"""),"")</f>
        <v/>
      </c>
      <c r="N118" s="5" t="str">
        <f ca="1">IFERROR(__xludf.DUMMYFUNCTION("""COMPUTED_VALUE"""),"")</f>
        <v/>
      </c>
      <c r="O118" s="2" t="str">
        <f ca="1">IFERROR(__xludf.DUMMYFUNCTION("""COMPUTED_VALUE"""),"")</f>
        <v/>
      </c>
      <c r="P118" s="2" t="str">
        <f ca="1">IFERROR(__xludf.DUMMYFUNCTION("""COMPUTED_VALUE"""),"")</f>
        <v/>
      </c>
      <c r="Q118" s="2" t="str">
        <f ca="1">IFERROR(__xludf.DUMMYFUNCTION("""COMPUTED_VALUE"""),"")</f>
        <v/>
      </c>
      <c r="R118" s="2" t="str">
        <f ca="1">IFERROR(__xludf.DUMMYFUNCTION("""COMPUTED_VALUE"""),"")</f>
        <v/>
      </c>
      <c r="S118" s="2" t="str">
        <f ca="1">IFERROR(__xludf.DUMMYFUNCTION("""COMPUTED_VALUE"""),"")</f>
        <v/>
      </c>
      <c r="T118" s="2" t="str">
        <f ca="1">IFERROR(__xludf.DUMMYFUNCTION("""COMPUTED_VALUE"""),"")</f>
        <v/>
      </c>
      <c r="U118" s="2" t="str">
        <f ca="1">IFERROR(__xludf.DUMMYFUNCTION("""COMPUTED_VALUE"""),"")</f>
        <v/>
      </c>
      <c r="V118" s="2" t="str">
        <f ca="1">IFERROR(__xludf.DUMMYFUNCTION("""COMPUTED_VALUE"""),"")</f>
        <v/>
      </c>
      <c r="W118" s="2" t="str">
        <f ca="1">IFERROR(__xludf.DUMMYFUNCTION("""COMPUTED_VALUE"""),"")</f>
        <v/>
      </c>
      <c r="X118" s="2" t="str">
        <f ca="1">IFERROR(__xludf.DUMMYFUNCTION("""COMPUTED_VALUE"""),"")</f>
        <v/>
      </c>
      <c r="Y118" s="2" t="str">
        <f ca="1">IFERROR(__xludf.DUMMYFUNCTION("""COMPUTED_VALUE"""),"")</f>
        <v/>
      </c>
      <c r="Z118" s="2" t="str">
        <f ca="1">IFERROR(__xludf.DUMMYFUNCTION("""COMPUTED_VALUE"""),"")</f>
        <v/>
      </c>
      <c r="AA118" s="2" t="str">
        <f ca="1">IFERROR(__xludf.DUMMYFUNCTION("""COMPUTED_VALUE"""),"")</f>
        <v/>
      </c>
      <c r="AB118" s="2" t="str">
        <f ca="1">IFERROR(__xludf.DUMMYFUNCTION("""COMPUTED_VALUE"""),"")</f>
        <v/>
      </c>
      <c r="AC118" s="2" t="str">
        <f ca="1">IFERROR(__xludf.DUMMYFUNCTION("""COMPUTED_VALUE"""),"")</f>
        <v/>
      </c>
      <c r="AD118" s="2" t="str">
        <f ca="1">IFERROR(__xludf.DUMMYFUNCTION("""COMPUTED_VALUE"""),"")</f>
        <v/>
      </c>
      <c r="AE118" s="2" t="str">
        <f ca="1">IFERROR(__xludf.DUMMYFUNCTION("""COMPUTED_VALUE"""),"")</f>
        <v/>
      </c>
      <c r="AF118" s="2" t="str">
        <f ca="1">IFERROR(__xludf.DUMMYFUNCTION("""COMPUTED_VALUE"""),"")</f>
        <v/>
      </c>
      <c r="AG118" s="2" t="str">
        <f ca="1">IFERROR(__xludf.DUMMYFUNCTION("""COMPUTED_VALUE"""),"")</f>
        <v/>
      </c>
      <c r="AH118" s="2" t="str">
        <f ca="1">IFERROR(__xludf.DUMMYFUNCTION("""COMPUTED_VALUE"""),"")</f>
        <v/>
      </c>
      <c r="AI118" s="2" t="str">
        <f ca="1">IFERROR(__xludf.DUMMYFUNCTION("""COMPUTED_VALUE"""),"")</f>
        <v/>
      </c>
      <c r="AJ118" s="2" t="str">
        <f ca="1">IFERROR(__xludf.DUMMYFUNCTION("""COMPUTED_VALUE"""),"")</f>
        <v/>
      </c>
      <c r="AK118" s="2" t="str">
        <f ca="1">IFERROR(__xludf.DUMMYFUNCTION("""COMPUTED_VALUE"""),"")</f>
        <v/>
      </c>
      <c r="AL118" s="2" t="str">
        <f ca="1">IFERROR(__xludf.DUMMYFUNCTION("""COMPUTED_VALUE"""),"")</f>
        <v/>
      </c>
      <c r="AM118" s="2" t="str">
        <f ca="1">IFERROR(__xludf.DUMMYFUNCTION("""COMPUTED_VALUE"""),"")</f>
        <v/>
      </c>
      <c r="AN118" s="2" t="str">
        <f ca="1">IFERROR(__xludf.DUMMYFUNCTION("""COMPUTED_VALUE"""),"")</f>
        <v/>
      </c>
      <c r="AO118" s="2" t="str">
        <f ca="1">IFERROR(__xludf.DUMMYFUNCTION("""COMPUTED_VALUE"""),"")</f>
        <v/>
      </c>
      <c r="AP118" s="2" t="str">
        <f ca="1">IFERROR(__xludf.DUMMYFUNCTION("""COMPUTED_VALUE"""),"")</f>
        <v/>
      </c>
      <c r="AQ118" s="2" t="str">
        <f ca="1">IFERROR(__xludf.DUMMYFUNCTION("""COMPUTED_VALUE"""),"")</f>
        <v/>
      </c>
      <c r="AR118" s="2" t="str">
        <f ca="1">IFERROR(__xludf.DUMMYFUNCTION("""COMPUTED_VALUE"""),"")</f>
        <v/>
      </c>
      <c r="AS118" s="2" t="str">
        <f ca="1">IFERROR(__xludf.DUMMYFUNCTION("""COMPUTED_VALUE"""),"")</f>
        <v/>
      </c>
      <c r="AT118" s="2" t="str">
        <f ca="1">IFERROR(__xludf.DUMMYFUNCTION("""COMPUTED_VALUE"""),"")</f>
        <v/>
      </c>
      <c r="AU118" s="2" t="str">
        <f ca="1">IFERROR(__xludf.DUMMYFUNCTION("""COMPUTED_VALUE"""),"")</f>
        <v/>
      </c>
      <c r="AV118" s="2" t="str">
        <f ca="1">IFERROR(__xludf.DUMMYFUNCTION("""COMPUTED_VALUE"""),"")</f>
        <v/>
      </c>
      <c r="AW118" s="2" t="str">
        <f ca="1">IFERROR(__xludf.DUMMYFUNCTION("""COMPUTED_VALUE"""),"")</f>
        <v/>
      </c>
      <c r="AX118" s="2" t="str">
        <f ca="1">IFERROR(__xludf.DUMMYFUNCTION("""COMPUTED_VALUE"""),"")</f>
        <v/>
      </c>
      <c r="AY118" s="2" t="str">
        <f ca="1">IFERROR(__xludf.DUMMYFUNCTION("""COMPUTED_VALUE"""),"")</f>
        <v/>
      </c>
      <c r="AZ118" s="2" t="str">
        <f ca="1">IFERROR(__xludf.DUMMYFUNCTION("""COMPUTED_VALUE"""),"")</f>
        <v/>
      </c>
      <c r="BA118" s="2" t="str">
        <f ca="1">IFERROR(__xludf.DUMMYFUNCTION("""COMPUTED_VALUE"""),"")</f>
        <v/>
      </c>
      <c r="BB118" s="2" t="str">
        <f ca="1">IFERROR(__xludf.DUMMYFUNCTION("""COMPUTED_VALUE"""),"")</f>
        <v/>
      </c>
      <c r="BC118" s="2" t="str">
        <f ca="1">IFERROR(__xludf.DUMMYFUNCTION("""COMPUTED_VALUE"""),"")</f>
        <v/>
      </c>
      <c r="BD118" s="2" t="str">
        <f ca="1">IFERROR(__xludf.DUMMYFUNCTION("""COMPUTED_VALUE"""),"")</f>
        <v/>
      </c>
      <c r="BE118" s="2" t="str">
        <f ca="1">IFERROR(__xludf.DUMMYFUNCTION("""COMPUTED_VALUE"""),"")</f>
        <v/>
      </c>
      <c r="BF118" t="str">
        <f ca="1">IFERROR(__xludf.DUMMYFUNCTION("""COMPUTED_VALUE"""),"")</f>
        <v/>
      </c>
      <c r="BG118" t="str">
        <f ca="1">IFERROR(__xludf.DUMMYFUNCTION("""COMPUTED_VALUE"""),"")</f>
        <v/>
      </c>
      <c r="BH118" s="2">
        <f ca="1">IFERROR(__xludf.DUMMYFUNCTION("""COMPUTED_VALUE"""),-37.7495689)</f>
        <v>-37.7495689</v>
      </c>
      <c r="BI118" s="13">
        <f ca="1">IFERROR(__xludf.DUMMYFUNCTION("""COMPUTED_VALUE"""),176.3810883)</f>
        <v>176.38108829999999</v>
      </c>
      <c r="BJ118" s="9">
        <f ca="1">IFERROR(__xludf.DUMMYFUNCTION("""COMPUTED_VALUE"""),43428)</f>
        <v>43428</v>
      </c>
      <c r="BK118" s="4">
        <f ca="1">IFERROR(__xludf.DUMMYFUNCTION("""COMPUTED_VALUE"""),0.958518518516939)</f>
        <v>0.95851851851693903</v>
      </c>
    </row>
    <row r="119" spans="1:63" ht="12.5" x14ac:dyDescent="0.25">
      <c r="A119" s="7" t="str">
        <f ca="1">IFERROR(__xludf.DUMMYFUNCTION("""COMPUTED_VALUE"""),"")</f>
        <v/>
      </c>
      <c r="B119" s="8" t="str">
        <f ca="1">IFERROR(__xludf.DUMMYFUNCTION("""COMPUTED_VALUE"""),"Waikato")</f>
        <v>Waikato</v>
      </c>
      <c r="C119" s="2">
        <f ca="1">IFERROR(__xludf.DUMMYFUNCTION("""COMPUTED_VALUE"""),64)</f>
        <v>64</v>
      </c>
      <c r="D119" s="9" t="str">
        <f ca="1">IFERROR(__xludf.DUMMYFUNCTION("""COMPUTED_VALUE"""),"")</f>
        <v/>
      </c>
      <c r="E119" s="4" t="str">
        <f ca="1">IFERROR(__xludf.DUMMYFUNCTION("""COMPUTED_VALUE"""),"")</f>
        <v/>
      </c>
      <c r="F119" s="2" t="str">
        <f ca="1">IFERROR(__xludf.DUMMYFUNCTION("""COMPUTED_VALUE"""),"")</f>
        <v/>
      </c>
      <c r="G119" s="2" t="str">
        <f ca="1">IFERROR(__xludf.DUMMYFUNCTION("""COMPUTED_VALUE"""),"GPS: I converted data downloaded from ARGOS using Pinpoint software")</f>
        <v>GPS: I converted data downloaded from ARGOS using Pinpoint software</v>
      </c>
      <c r="H119" s="2" t="str">
        <f ca="1">IFERROR(__xludf.DUMMYFUNCTION("""COMPUTED_VALUE"""),"3D")</f>
        <v>3D</v>
      </c>
      <c r="I119" s="2" t="str">
        <f ca="1">IFERROR(__xludf.DUMMYFUNCTION("""COMPUTED_VALUE"""),"")</f>
        <v/>
      </c>
      <c r="J119" s="2" t="str">
        <f ca="1">IFERROR(__xludf.DUMMYFUNCTION("""COMPUTED_VALUE"""),"")</f>
        <v/>
      </c>
      <c r="K119" s="2" t="str">
        <f ca="1">IFERROR(__xludf.DUMMYFUNCTION("""COMPUTED_VALUE"""),"")</f>
        <v/>
      </c>
      <c r="L119" s="2" t="str">
        <f ca="1">IFERROR(__xludf.DUMMYFUNCTION("""COMPUTED_VALUE"""),"")</f>
        <v/>
      </c>
      <c r="M119" s="5" t="str">
        <f ca="1">IFERROR(__xludf.DUMMYFUNCTION("""COMPUTED_VALUE"""),"")</f>
        <v/>
      </c>
      <c r="N119" s="5" t="str">
        <f ca="1">IFERROR(__xludf.DUMMYFUNCTION("""COMPUTED_VALUE"""),"")</f>
        <v/>
      </c>
      <c r="O119" s="2" t="str">
        <f ca="1">IFERROR(__xludf.DUMMYFUNCTION("""COMPUTED_VALUE"""),"")</f>
        <v/>
      </c>
      <c r="P119" s="2" t="str">
        <f ca="1">IFERROR(__xludf.DUMMYFUNCTION("""COMPUTED_VALUE"""),"")</f>
        <v/>
      </c>
      <c r="Q119" s="2" t="str">
        <f ca="1">IFERROR(__xludf.DUMMYFUNCTION("""COMPUTED_VALUE"""),"")</f>
        <v/>
      </c>
      <c r="R119" s="2" t="str">
        <f ca="1">IFERROR(__xludf.DUMMYFUNCTION("""COMPUTED_VALUE"""),"")</f>
        <v/>
      </c>
      <c r="S119" s="2" t="str">
        <f ca="1">IFERROR(__xludf.DUMMYFUNCTION("""COMPUTED_VALUE"""),"")</f>
        <v/>
      </c>
      <c r="T119" s="2" t="str">
        <f ca="1">IFERROR(__xludf.DUMMYFUNCTION("""COMPUTED_VALUE"""),"")</f>
        <v/>
      </c>
      <c r="U119" s="2" t="str">
        <f ca="1">IFERROR(__xludf.DUMMYFUNCTION("""COMPUTED_VALUE"""),"")</f>
        <v/>
      </c>
      <c r="V119" s="2" t="str">
        <f ca="1">IFERROR(__xludf.DUMMYFUNCTION("""COMPUTED_VALUE"""),"")</f>
        <v/>
      </c>
      <c r="W119" s="2" t="str">
        <f ca="1">IFERROR(__xludf.DUMMYFUNCTION("""COMPUTED_VALUE"""),"")</f>
        <v/>
      </c>
      <c r="X119" s="2" t="str">
        <f ca="1">IFERROR(__xludf.DUMMYFUNCTION("""COMPUTED_VALUE"""),"")</f>
        <v/>
      </c>
      <c r="Y119" s="2" t="str">
        <f ca="1">IFERROR(__xludf.DUMMYFUNCTION("""COMPUTED_VALUE"""),"")</f>
        <v/>
      </c>
      <c r="Z119" s="2" t="str">
        <f ca="1">IFERROR(__xludf.DUMMYFUNCTION("""COMPUTED_VALUE"""),"")</f>
        <v/>
      </c>
      <c r="AA119" s="2" t="str">
        <f ca="1">IFERROR(__xludf.DUMMYFUNCTION("""COMPUTED_VALUE"""),"")</f>
        <v/>
      </c>
      <c r="AB119" s="2" t="str">
        <f ca="1">IFERROR(__xludf.DUMMYFUNCTION("""COMPUTED_VALUE"""),"")</f>
        <v/>
      </c>
      <c r="AC119" s="2" t="str">
        <f ca="1">IFERROR(__xludf.DUMMYFUNCTION("""COMPUTED_VALUE"""),"")</f>
        <v/>
      </c>
      <c r="AD119" s="2" t="str">
        <f ca="1">IFERROR(__xludf.DUMMYFUNCTION("""COMPUTED_VALUE"""),"")</f>
        <v/>
      </c>
      <c r="AE119" s="2" t="str">
        <f ca="1">IFERROR(__xludf.DUMMYFUNCTION("""COMPUTED_VALUE"""),"")</f>
        <v/>
      </c>
      <c r="AF119" s="2" t="str">
        <f ca="1">IFERROR(__xludf.DUMMYFUNCTION("""COMPUTED_VALUE"""),"")</f>
        <v/>
      </c>
      <c r="AG119" s="2" t="str">
        <f ca="1">IFERROR(__xludf.DUMMYFUNCTION("""COMPUTED_VALUE"""),"")</f>
        <v/>
      </c>
      <c r="AH119" s="2" t="str">
        <f ca="1">IFERROR(__xludf.DUMMYFUNCTION("""COMPUTED_VALUE"""),"")</f>
        <v/>
      </c>
      <c r="AI119" s="2" t="str">
        <f ca="1">IFERROR(__xludf.DUMMYFUNCTION("""COMPUTED_VALUE"""),"")</f>
        <v/>
      </c>
      <c r="AJ119" s="2" t="str">
        <f ca="1">IFERROR(__xludf.DUMMYFUNCTION("""COMPUTED_VALUE"""),"")</f>
        <v/>
      </c>
      <c r="AK119" s="2" t="str">
        <f ca="1">IFERROR(__xludf.DUMMYFUNCTION("""COMPUTED_VALUE"""),"")</f>
        <v/>
      </c>
      <c r="AL119" s="2" t="str">
        <f ca="1">IFERROR(__xludf.DUMMYFUNCTION("""COMPUTED_VALUE"""),"")</f>
        <v/>
      </c>
      <c r="AM119" s="2" t="str">
        <f ca="1">IFERROR(__xludf.DUMMYFUNCTION("""COMPUTED_VALUE"""),"")</f>
        <v/>
      </c>
      <c r="AN119" s="2" t="str">
        <f ca="1">IFERROR(__xludf.DUMMYFUNCTION("""COMPUTED_VALUE"""),"")</f>
        <v/>
      </c>
      <c r="AO119" s="2" t="str">
        <f ca="1">IFERROR(__xludf.DUMMYFUNCTION("""COMPUTED_VALUE"""),"")</f>
        <v/>
      </c>
      <c r="AP119" s="2" t="str">
        <f ca="1">IFERROR(__xludf.DUMMYFUNCTION("""COMPUTED_VALUE"""),"")</f>
        <v/>
      </c>
      <c r="AQ119" s="2" t="str">
        <f ca="1">IFERROR(__xludf.DUMMYFUNCTION("""COMPUTED_VALUE"""),"")</f>
        <v/>
      </c>
      <c r="AR119" s="2" t="str">
        <f ca="1">IFERROR(__xludf.DUMMYFUNCTION("""COMPUTED_VALUE"""),"")</f>
        <v/>
      </c>
      <c r="AS119" s="2" t="str">
        <f ca="1">IFERROR(__xludf.DUMMYFUNCTION("""COMPUTED_VALUE"""),"")</f>
        <v/>
      </c>
      <c r="AT119" s="2" t="str">
        <f ca="1">IFERROR(__xludf.DUMMYFUNCTION("""COMPUTED_VALUE"""),"")</f>
        <v/>
      </c>
      <c r="AU119" s="2" t="str">
        <f ca="1">IFERROR(__xludf.DUMMYFUNCTION("""COMPUTED_VALUE"""),"")</f>
        <v/>
      </c>
      <c r="AV119" s="2" t="str">
        <f ca="1">IFERROR(__xludf.DUMMYFUNCTION("""COMPUTED_VALUE"""),"")</f>
        <v/>
      </c>
      <c r="AW119" s="2" t="str">
        <f ca="1">IFERROR(__xludf.DUMMYFUNCTION("""COMPUTED_VALUE"""),"")</f>
        <v/>
      </c>
      <c r="AX119" s="2" t="str">
        <f ca="1">IFERROR(__xludf.DUMMYFUNCTION("""COMPUTED_VALUE"""),"")</f>
        <v/>
      </c>
      <c r="AY119" s="2" t="str">
        <f ca="1">IFERROR(__xludf.DUMMYFUNCTION("""COMPUTED_VALUE"""),"")</f>
        <v/>
      </c>
      <c r="AZ119" s="2" t="str">
        <f ca="1">IFERROR(__xludf.DUMMYFUNCTION("""COMPUTED_VALUE"""),"")</f>
        <v/>
      </c>
      <c r="BA119" s="2" t="str">
        <f ca="1">IFERROR(__xludf.DUMMYFUNCTION("""COMPUTED_VALUE"""),"")</f>
        <v/>
      </c>
      <c r="BB119" s="2" t="str">
        <f ca="1">IFERROR(__xludf.DUMMYFUNCTION("""COMPUTED_VALUE"""),"")</f>
        <v/>
      </c>
      <c r="BC119" s="2" t="str">
        <f ca="1">IFERROR(__xludf.DUMMYFUNCTION("""COMPUTED_VALUE"""),"")</f>
        <v/>
      </c>
      <c r="BD119" s="2" t="str">
        <f ca="1">IFERROR(__xludf.DUMMYFUNCTION("""COMPUTED_VALUE"""),"")</f>
        <v/>
      </c>
      <c r="BE119" s="2" t="str">
        <f ca="1">IFERROR(__xludf.DUMMYFUNCTION("""COMPUTED_VALUE"""),"")</f>
        <v/>
      </c>
      <c r="BF119" t="str">
        <f ca="1">IFERROR(__xludf.DUMMYFUNCTION("""COMPUTED_VALUE"""),"")</f>
        <v/>
      </c>
      <c r="BG119" t="str">
        <f ca="1">IFERROR(__xludf.DUMMYFUNCTION("""COMPUTED_VALUE"""),"")</f>
        <v/>
      </c>
      <c r="BH119" s="2">
        <f ca="1">IFERROR(__xludf.DUMMYFUNCTION("""COMPUTED_VALUE"""),-37.7567635)</f>
        <v>-37.756763499999998</v>
      </c>
      <c r="BI119" s="12">
        <f ca="1">IFERROR(__xludf.DUMMYFUNCTION("""COMPUTED_VALUE"""),176.3623047)</f>
        <v>176.36230470000001</v>
      </c>
      <c r="BJ119" s="9">
        <f ca="1">IFERROR(__xludf.DUMMYFUNCTION("""COMPUTED_VALUE"""),43430)</f>
        <v>43430</v>
      </c>
      <c r="BK119" s="4">
        <f ca="1">IFERROR(__xludf.DUMMYFUNCTION("""COMPUTED_VALUE"""),0.457777777777664)</f>
        <v>0.45777777777766399</v>
      </c>
    </row>
    <row r="120" spans="1:63" ht="12.5" x14ac:dyDescent="0.25">
      <c r="A120" s="7" t="str">
        <f ca="1">IFERROR(__xludf.DUMMYFUNCTION("""COMPUTED_VALUE"""),"")</f>
        <v/>
      </c>
      <c r="B120" s="8" t="str">
        <f ca="1">IFERROR(__xludf.DUMMYFUNCTION("""COMPUTED_VALUE"""),"Waikato")</f>
        <v>Waikato</v>
      </c>
      <c r="C120" s="2">
        <f ca="1">IFERROR(__xludf.DUMMYFUNCTION("""COMPUTED_VALUE"""),64)</f>
        <v>64</v>
      </c>
      <c r="D120" s="9" t="str">
        <f ca="1">IFERROR(__xludf.DUMMYFUNCTION("""COMPUTED_VALUE"""),"")</f>
        <v/>
      </c>
      <c r="E120" s="4" t="str">
        <f ca="1">IFERROR(__xludf.DUMMYFUNCTION("""COMPUTED_VALUE"""),"")</f>
        <v/>
      </c>
      <c r="F120" s="2" t="str">
        <f ca="1">IFERROR(__xludf.DUMMYFUNCTION("""COMPUTED_VALUE"""),"")</f>
        <v/>
      </c>
      <c r="G120" s="2" t="str">
        <f ca="1">IFERROR(__xludf.DUMMYFUNCTION("""COMPUTED_VALUE"""),"GPS: I converted data downloaded from ARGOS using Pinpoint software")</f>
        <v>GPS: I converted data downloaded from ARGOS using Pinpoint software</v>
      </c>
      <c r="H120" s="2" t="str">
        <f ca="1">IFERROR(__xludf.DUMMYFUNCTION("""COMPUTED_VALUE"""),"3D")</f>
        <v>3D</v>
      </c>
      <c r="I120" s="2" t="str">
        <f ca="1">IFERROR(__xludf.DUMMYFUNCTION("""COMPUTED_VALUE"""),"")</f>
        <v/>
      </c>
      <c r="J120" s="2" t="str">
        <f ca="1">IFERROR(__xludf.DUMMYFUNCTION("""COMPUTED_VALUE"""),"")</f>
        <v/>
      </c>
      <c r="K120" s="2" t="str">
        <f ca="1">IFERROR(__xludf.DUMMYFUNCTION("""COMPUTED_VALUE"""),"")</f>
        <v/>
      </c>
      <c r="L120" s="2" t="str">
        <f ca="1">IFERROR(__xludf.DUMMYFUNCTION("""COMPUTED_VALUE"""),"")</f>
        <v/>
      </c>
      <c r="M120" s="5" t="str">
        <f ca="1">IFERROR(__xludf.DUMMYFUNCTION("""COMPUTED_VALUE"""),"")</f>
        <v/>
      </c>
      <c r="N120" s="5" t="str">
        <f ca="1">IFERROR(__xludf.DUMMYFUNCTION("""COMPUTED_VALUE"""),"")</f>
        <v/>
      </c>
      <c r="O120" s="2" t="str">
        <f ca="1">IFERROR(__xludf.DUMMYFUNCTION("""COMPUTED_VALUE"""),"")</f>
        <v/>
      </c>
      <c r="P120" s="2" t="str">
        <f ca="1">IFERROR(__xludf.DUMMYFUNCTION("""COMPUTED_VALUE"""),"")</f>
        <v/>
      </c>
      <c r="Q120" s="2" t="str">
        <f ca="1">IFERROR(__xludf.DUMMYFUNCTION("""COMPUTED_VALUE"""),"")</f>
        <v/>
      </c>
      <c r="R120" s="2" t="str">
        <f ca="1">IFERROR(__xludf.DUMMYFUNCTION("""COMPUTED_VALUE"""),"")</f>
        <v/>
      </c>
      <c r="S120" s="2" t="str">
        <f ca="1">IFERROR(__xludf.DUMMYFUNCTION("""COMPUTED_VALUE"""),"")</f>
        <v/>
      </c>
      <c r="T120" s="2" t="str">
        <f ca="1">IFERROR(__xludf.DUMMYFUNCTION("""COMPUTED_VALUE"""),"")</f>
        <v/>
      </c>
      <c r="U120" s="2" t="str">
        <f ca="1">IFERROR(__xludf.DUMMYFUNCTION("""COMPUTED_VALUE"""),"")</f>
        <v/>
      </c>
      <c r="V120" s="2" t="str">
        <f ca="1">IFERROR(__xludf.DUMMYFUNCTION("""COMPUTED_VALUE"""),"")</f>
        <v/>
      </c>
      <c r="W120" s="2" t="str">
        <f ca="1">IFERROR(__xludf.DUMMYFUNCTION("""COMPUTED_VALUE"""),"")</f>
        <v/>
      </c>
      <c r="X120" s="2" t="str">
        <f ca="1">IFERROR(__xludf.DUMMYFUNCTION("""COMPUTED_VALUE"""),"")</f>
        <v/>
      </c>
      <c r="Y120" s="2" t="str">
        <f ca="1">IFERROR(__xludf.DUMMYFUNCTION("""COMPUTED_VALUE"""),"")</f>
        <v/>
      </c>
      <c r="Z120" s="2" t="str">
        <f ca="1">IFERROR(__xludf.DUMMYFUNCTION("""COMPUTED_VALUE"""),"")</f>
        <v/>
      </c>
      <c r="AA120" s="2" t="str">
        <f ca="1">IFERROR(__xludf.DUMMYFUNCTION("""COMPUTED_VALUE"""),"")</f>
        <v/>
      </c>
      <c r="AB120" s="2" t="str">
        <f ca="1">IFERROR(__xludf.DUMMYFUNCTION("""COMPUTED_VALUE"""),"")</f>
        <v/>
      </c>
      <c r="AC120" s="2" t="str">
        <f ca="1">IFERROR(__xludf.DUMMYFUNCTION("""COMPUTED_VALUE"""),"")</f>
        <v/>
      </c>
      <c r="AD120" s="2" t="str">
        <f ca="1">IFERROR(__xludf.DUMMYFUNCTION("""COMPUTED_VALUE"""),"")</f>
        <v/>
      </c>
      <c r="AE120" s="2" t="str">
        <f ca="1">IFERROR(__xludf.DUMMYFUNCTION("""COMPUTED_VALUE"""),"")</f>
        <v/>
      </c>
      <c r="AF120" s="2" t="str">
        <f ca="1">IFERROR(__xludf.DUMMYFUNCTION("""COMPUTED_VALUE"""),"")</f>
        <v/>
      </c>
      <c r="AG120" s="2" t="str">
        <f ca="1">IFERROR(__xludf.DUMMYFUNCTION("""COMPUTED_VALUE"""),"")</f>
        <v/>
      </c>
      <c r="AH120" s="2" t="str">
        <f ca="1">IFERROR(__xludf.DUMMYFUNCTION("""COMPUTED_VALUE"""),"")</f>
        <v/>
      </c>
      <c r="AI120" s="2" t="str">
        <f ca="1">IFERROR(__xludf.DUMMYFUNCTION("""COMPUTED_VALUE"""),"")</f>
        <v/>
      </c>
      <c r="AJ120" s="2" t="str">
        <f ca="1">IFERROR(__xludf.DUMMYFUNCTION("""COMPUTED_VALUE"""),"")</f>
        <v/>
      </c>
      <c r="AK120" s="2" t="str">
        <f ca="1">IFERROR(__xludf.DUMMYFUNCTION("""COMPUTED_VALUE"""),"")</f>
        <v/>
      </c>
      <c r="AL120" s="2" t="str">
        <f ca="1">IFERROR(__xludf.DUMMYFUNCTION("""COMPUTED_VALUE"""),"")</f>
        <v/>
      </c>
      <c r="AM120" s="2" t="str">
        <f ca="1">IFERROR(__xludf.DUMMYFUNCTION("""COMPUTED_VALUE"""),"")</f>
        <v/>
      </c>
      <c r="AN120" s="2" t="str">
        <f ca="1">IFERROR(__xludf.DUMMYFUNCTION("""COMPUTED_VALUE"""),"")</f>
        <v/>
      </c>
      <c r="AO120" s="2" t="str">
        <f ca="1">IFERROR(__xludf.DUMMYFUNCTION("""COMPUTED_VALUE"""),"")</f>
        <v/>
      </c>
      <c r="AP120" s="2" t="str">
        <f ca="1">IFERROR(__xludf.DUMMYFUNCTION("""COMPUTED_VALUE"""),"")</f>
        <v/>
      </c>
      <c r="AQ120" s="2" t="str">
        <f ca="1">IFERROR(__xludf.DUMMYFUNCTION("""COMPUTED_VALUE"""),"")</f>
        <v/>
      </c>
      <c r="AR120" s="2" t="str">
        <f ca="1">IFERROR(__xludf.DUMMYFUNCTION("""COMPUTED_VALUE"""),"")</f>
        <v/>
      </c>
      <c r="AS120" s="2" t="str">
        <f ca="1">IFERROR(__xludf.DUMMYFUNCTION("""COMPUTED_VALUE"""),"")</f>
        <v/>
      </c>
      <c r="AT120" s="2" t="str">
        <f ca="1">IFERROR(__xludf.DUMMYFUNCTION("""COMPUTED_VALUE"""),"")</f>
        <v/>
      </c>
      <c r="AU120" s="2" t="str">
        <f ca="1">IFERROR(__xludf.DUMMYFUNCTION("""COMPUTED_VALUE"""),"")</f>
        <v/>
      </c>
      <c r="AV120" s="2" t="str">
        <f ca="1">IFERROR(__xludf.DUMMYFUNCTION("""COMPUTED_VALUE"""),"")</f>
        <v/>
      </c>
      <c r="AW120" s="2" t="str">
        <f ca="1">IFERROR(__xludf.DUMMYFUNCTION("""COMPUTED_VALUE"""),"")</f>
        <v/>
      </c>
      <c r="AX120" s="2" t="str">
        <f ca="1">IFERROR(__xludf.DUMMYFUNCTION("""COMPUTED_VALUE"""),"")</f>
        <v/>
      </c>
      <c r="AY120" s="2" t="str">
        <f ca="1">IFERROR(__xludf.DUMMYFUNCTION("""COMPUTED_VALUE"""),"")</f>
        <v/>
      </c>
      <c r="AZ120" s="2" t="str">
        <f ca="1">IFERROR(__xludf.DUMMYFUNCTION("""COMPUTED_VALUE"""),"")</f>
        <v/>
      </c>
      <c r="BA120" s="2" t="str">
        <f ca="1">IFERROR(__xludf.DUMMYFUNCTION("""COMPUTED_VALUE"""),"")</f>
        <v/>
      </c>
      <c r="BB120" s="2" t="str">
        <f ca="1">IFERROR(__xludf.DUMMYFUNCTION("""COMPUTED_VALUE"""),"")</f>
        <v/>
      </c>
      <c r="BC120" s="2" t="str">
        <f ca="1">IFERROR(__xludf.DUMMYFUNCTION("""COMPUTED_VALUE"""),"")</f>
        <v/>
      </c>
      <c r="BD120" s="2" t="str">
        <f ca="1">IFERROR(__xludf.DUMMYFUNCTION("""COMPUTED_VALUE"""),"")</f>
        <v/>
      </c>
      <c r="BE120" s="2" t="str">
        <f ca="1">IFERROR(__xludf.DUMMYFUNCTION("""COMPUTED_VALUE"""),"")</f>
        <v/>
      </c>
      <c r="BF120" t="str">
        <f ca="1">IFERROR(__xludf.DUMMYFUNCTION("""COMPUTED_VALUE"""),"")</f>
        <v/>
      </c>
      <c r="BG120" t="str">
        <f ca="1">IFERROR(__xludf.DUMMYFUNCTION("""COMPUTED_VALUE"""),"")</f>
        <v/>
      </c>
      <c r="BH120" s="2">
        <f ca="1">IFERROR(__xludf.DUMMYFUNCTION("""COMPUTED_VALUE"""),-37.7478256)</f>
        <v>-37.747825599999999</v>
      </c>
      <c r="BI120" s="13">
        <f ca="1">IFERROR(__xludf.DUMMYFUNCTION("""COMPUTED_VALUE"""),176.3882294)</f>
        <v>176.3882294</v>
      </c>
      <c r="BJ120" s="9">
        <f ca="1">IFERROR(__xludf.DUMMYFUNCTION("""COMPUTED_VALUE"""),43430)</f>
        <v>43430</v>
      </c>
      <c r="BK120" s="4">
        <f ca="1">IFERROR(__xludf.DUMMYFUNCTION("""COMPUTED_VALUE"""),0.958518518516939)</f>
        <v>0.95851851851693903</v>
      </c>
    </row>
    <row r="121" spans="1:63" ht="12.5" x14ac:dyDescent="0.25">
      <c r="A121" s="7" t="str">
        <f ca="1">IFERROR(__xludf.DUMMYFUNCTION("""COMPUTED_VALUE"""),"")</f>
        <v/>
      </c>
      <c r="B121" s="8" t="str">
        <f ca="1">IFERROR(__xludf.DUMMYFUNCTION("""COMPUTED_VALUE"""),"Waikato")</f>
        <v>Waikato</v>
      </c>
      <c r="C121" s="2">
        <f ca="1">IFERROR(__xludf.DUMMYFUNCTION("""COMPUTED_VALUE"""),64)</f>
        <v>64</v>
      </c>
      <c r="D121" s="9" t="str">
        <f ca="1">IFERROR(__xludf.DUMMYFUNCTION("""COMPUTED_VALUE"""),"")</f>
        <v/>
      </c>
      <c r="E121" s="4" t="str">
        <f ca="1">IFERROR(__xludf.DUMMYFUNCTION("""COMPUTED_VALUE"""),"")</f>
        <v/>
      </c>
      <c r="F121" s="2" t="str">
        <f ca="1">IFERROR(__xludf.DUMMYFUNCTION("""COMPUTED_VALUE"""),"")</f>
        <v/>
      </c>
      <c r="G121" s="2" t="str">
        <f ca="1">IFERROR(__xludf.DUMMYFUNCTION("""COMPUTED_VALUE"""),"GPS: I converted data downloaded from ARGOS using Pinpoint software")</f>
        <v>GPS: I converted data downloaded from ARGOS using Pinpoint software</v>
      </c>
      <c r="H121" s="2" t="str">
        <f ca="1">IFERROR(__xludf.DUMMYFUNCTION("""COMPUTED_VALUE"""),"3D")</f>
        <v>3D</v>
      </c>
      <c r="I121" s="2" t="str">
        <f ca="1">IFERROR(__xludf.DUMMYFUNCTION("""COMPUTED_VALUE"""),"")</f>
        <v/>
      </c>
      <c r="J121" s="2" t="str">
        <f ca="1">IFERROR(__xludf.DUMMYFUNCTION("""COMPUTED_VALUE"""),"")</f>
        <v/>
      </c>
      <c r="K121" s="2" t="str">
        <f ca="1">IFERROR(__xludf.DUMMYFUNCTION("""COMPUTED_VALUE"""),"")</f>
        <v/>
      </c>
      <c r="L121" s="2" t="str">
        <f ca="1">IFERROR(__xludf.DUMMYFUNCTION("""COMPUTED_VALUE"""),"")</f>
        <v/>
      </c>
      <c r="M121" s="5" t="str">
        <f ca="1">IFERROR(__xludf.DUMMYFUNCTION("""COMPUTED_VALUE"""),"")</f>
        <v/>
      </c>
      <c r="N121" s="5" t="str">
        <f ca="1">IFERROR(__xludf.DUMMYFUNCTION("""COMPUTED_VALUE"""),"")</f>
        <v/>
      </c>
      <c r="O121" s="2" t="str">
        <f ca="1">IFERROR(__xludf.DUMMYFUNCTION("""COMPUTED_VALUE"""),"")</f>
        <v/>
      </c>
      <c r="P121" s="2" t="str">
        <f ca="1">IFERROR(__xludf.DUMMYFUNCTION("""COMPUTED_VALUE"""),"")</f>
        <v/>
      </c>
      <c r="Q121" s="2" t="str">
        <f ca="1">IFERROR(__xludf.DUMMYFUNCTION("""COMPUTED_VALUE"""),"")</f>
        <v/>
      </c>
      <c r="R121" s="2" t="str">
        <f ca="1">IFERROR(__xludf.DUMMYFUNCTION("""COMPUTED_VALUE"""),"")</f>
        <v/>
      </c>
      <c r="S121" s="2" t="str">
        <f ca="1">IFERROR(__xludf.DUMMYFUNCTION("""COMPUTED_VALUE"""),"")</f>
        <v/>
      </c>
      <c r="T121" s="2" t="str">
        <f ca="1">IFERROR(__xludf.DUMMYFUNCTION("""COMPUTED_VALUE"""),"")</f>
        <v/>
      </c>
      <c r="U121" s="2" t="str">
        <f ca="1">IFERROR(__xludf.DUMMYFUNCTION("""COMPUTED_VALUE"""),"")</f>
        <v/>
      </c>
      <c r="V121" s="2" t="str">
        <f ca="1">IFERROR(__xludf.DUMMYFUNCTION("""COMPUTED_VALUE"""),"")</f>
        <v/>
      </c>
      <c r="W121" s="2" t="str">
        <f ca="1">IFERROR(__xludf.DUMMYFUNCTION("""COMPUTED_VALUE"""),"")</f>
        <v/>
      </c>
      <c r="X121" s="2" t="str">
        <f ca="1">IFERROR(__xludf.DUMMYFUNCTION("""COMPUTED_VALUE"""),"")</f>
        <v/>
      </c>
      <c r="Y121" s="2" t="str">
        <f ca="1">IFERROR(__xludf.DUMMYFUNCTION("""COMPUTED_VALUE"""),"")</f>
        <v/>
      </c>
      <c r="Z121" s="2" t="str">
        <f ca="1">IFERROR(__xludf.DUMMYFUNCTION("""COMPUTED_VALUE"""),"")</f>
        <v/>
      </c>
      <c r="AA121" s="2" t="str">
        <f ca="1">IFERROR(__xludf.DUMMYFUNCTION("""COMPUTED_VALUE"""),"")</f>
        <v/>
      </c>
      <c r="AB121" s="2" t="str">
        <f ca="1">IFERROR(__xludf.DUMMYFUNCTION("""COMPUTED_VALUE"""),"")</f>
        <v/>
      </c>
      <c r="AC121" s="2" t="str">
        <f ca="1">IFERROR(__xludf.DUMMYFUNCTION("""COMPUTED_VALUE"""),"")</f>
        <v/>
      </c>
      <c r="AD121" s="2" t="str">
        <f ca="1">IFERROR(__xludf.DUMMYFUNCTION("""COMPUTED_VALUE"""),"")</f>
        <v/>
      </c>
      <c r="AE121" s="2" t="str">
        <f ca="1">IFERROR(__xludf.DUMMYFUNCTION("""COMPUTED_VALUE"""),"")</f>
        <v/>
      </c>
      <c r="AF121" s="2" t="str">
        <f ca="1">IFERROR(__xludf.DUMMYFUNCTION("""COMPUTED_VALUE"""),"")</f>
        <v/>
      </c>
      <c r="AG121" s="2" t="str">
        <f ca="1">IFERROR(__xludf.DUMMYFUNCTION("""COMPUTED_VALUE"""),"")</f>
        <v/>
      </c>
      <c r="AH121" s="2" t="str">
        <f ca="1">IFERROR(__xludf.DUMMYFUNCTION("""COMPUTED_VALUE"""),"")</f>
        <v/>
      </c>
      <c r="AI121" s="2" t="str">
        <f ca="1">IFERROR(__xludf.DUMMYFUNCTION("""COMPUTED_VALUE"""),"")</f>
        <v/>
      </c>
      <c r="AJ121" s="2" t="str">
        <f ca="1">IFERROR(__xludf.DUMMYFUNCTION("""COMPUTED_VALUE"""),"")</f>
        <v/>
      </c>
      <c r="AK121" s="2" t="str">
        <f ca="1">IFERROR(__xludf.DUMMYFUNCTION("""COMPUTED_VALUE"""),"")</f>
        <v/>
      </c>
      <c r="AL121" s="2" t="str">
        <f ca="1">IFERROR(__xludf.DUMMYFUNCTION("""COMPUTED_VALUE"""),"")</f>
        <v/>
      </c>
      <c r="AM121" s="2" t="str">
        <f ca="1">IFERROR(__xludf.DUMMYFUNCTION("""COMPUTED_VALUE"""),"")</f>
        <v/>
      </c>
      <c r="AN121" s="2" t="str">
        <f ca="1">IFERROR(__xludf.DUMMYFUNCTION("""COMPUTED_VALUE"""),"")</f>
        <v/>
      </c>
      <c r="AO121" s="2" t="str">
        <f ca="1">IFERROR(__xludf.DUMMYFUNCTION("""COMPUTED_VALUE"""),"")</f>
        <v/>
      </c>
      <c r="AP121" s="2" t="str">
        <f ca="1">IFERROR(__xludf.DUMMYFUNCTION("""COMPUTED_VALUE"""),"")</f>
        <v/>
      </c>
      <c r="AQ121" s="2" t="str">
        <f ca="1">IFERROR(__xludf.DUMMYFUNCTION("""COMPUTED_VALUE"""),"")</f>
        <v/>
      </c>
      <c r="AR121" s="2" t="str">
        <f ca="1">IFERROR(__xludf.DUMMYFUNCTION("""COMPUTED_VALUE"""),"")</f>
        <v/>
      </c>
      <c r="AS121" s="2" t="str">
        <f ca="1">IFERROR(__xludf.DUMMYFUNCTION("""COMPUTED_VALUE"""),"")</f>
        <v/>
      </c>
      <c r="AT121" s="2" t="str">
        <f ca="1">IFERROR(__xludf.DUMMYFUNCTION("""COMPUTED_VALUE"""),"")</f>
        <v/>
      </c>
      <c r="AU121" s="2" t="str">
        <f ca="1">IFERROR(__xludf.DUMMYFUNCTION("""COMPUTED_VALUE"""),"")</f>
        <v/>
      </c>
      <c r="AV121" s="2" t="str">
        <f ca="1">IFERROR(__xludf.DUMMYFUNCTION("""COMPUTED_VALUE"""),"")</f>
        <v/>
      </c>
      <c r="AW121" s="2" t="str">
        <f ca="1">IFERROR(__xludf.DUMMYFUNCTION("""COMPUTED_VALUE"""),"")</f>
        <v/>
      </c>
      <c r="AX121" s="2" t="str">
        <f ca="1">IFERROR(__xludf.DUMMYFUNCTION("""COMPUTED_VALUE"""),"")</f>
        <v/>
      </c>
      <c r="AY121" s="2" t="str">
        <f ca="1">IFERROR(__xludf.DUMMYFUNCTION("""COMPUTED_VALUE"""),"")</f>
        <v/>
      </c>
      <c r="AZ121" s="2" t="str">
        <f ca="1">IFERROR(__xludf.DUMMYFUNCTION("""COMPUTED_VALUE"""),"")</f>
        <v/>
      </c>
      <c r="BA121" s="2" t="str">
        <f ca="1">IFERROR(__xludf.DUMMYFUNCTION("""COMPUTED_VALUE"""),"")</f>
        <v/>
      </c>
      <c r="BB121" s="2" t="str">
        <f ca="1">IFERROR(__xludf.DUMMYFUNCTION("""COMPUTED_VALUE"""),"")</f>
        <v/>
      </c>
      <c r="BC121" s="2" t="str">
        <f ca="1">IFERROR(__xludf.DUMMYFUNCTION("""COMPUTED_VALUE"""),"")</f>
        <v/>
      </c>
      <c r="BD121" s="2" t="str">
        <f ca="1">IFERROR(__xludf.DUMMYFUNCTION("""COMPUTED_VALUE"""),"")</f>
        <v/>
      </c>
      <c r="BE121" s="2" t="str">
        <f ca="1">IFERROR(__xludf.DUMMYFUNCTION("""COMPUTED_VALUE"""),"")</f>
        <v/>
      </c>
      <c r="BF121" t="str">
        <f ca="1">IFERROR(__xludf.DUMMYFUNCTION("""COMPUTED_VALUE"""),"")</f>
        <v/>
      </c>
      <c r="BG121" t="str">
        <f ca="1">IFERROR(__xludf.DUMMYFUNCTION("""COMPUTED_VALUE"""),"")</f>
        <v/>
      </c>
      <c r="BH121" s="2">
        <f ca="1">IFERROR(__xludf.DUMMYFUNCTION("""COMPUTED_VALUE"""),-37.4394226)</f>
        <v>-37.4394226</v>
      </c>
      <c r="BI121" s="12">
        <f ca="1">IFERROR(__xludf.DUMMYFUNCTION("""COMPUTED_VALUE"""),175.8271332)</f>
        <v>175.82713319999999</v>
      </c>
      <c r="BJ121" s="9">
        <f ca="1">IFERROR(__xludf.DUMMYFUNCTION("""COMPUTED_VALUE"""),43432)</f>
        <v>43432</v>
      </c>
      <c r="BK121" s="4">
        <f ca="1">IFERROR(__xludf.DUMMYFUNCTION("""COMPUTED_VALUE"""),0.457777777777664)</f>
        <v>0.45777777777766399</v>
      </c>
    </row>
    <row r="122" spans="1:63" ht="12.5" x14ac:dyDescent="0.25">
      <c r="A122" s="7" t="str">
        <f ca="1">IFERROR(__xludf.DUMMYFUNCTION("""COMPUTED_VALUE"""),"")</f>
        <v/>
      </c>
      <c r="B122" s="8" t="str">
        <f ca="1">IFERROR(__xludf.DUMMYFUNCTION("""COMPUTED_VALUE"""),"Waikato")</f>
        <v>Waikato</v>
      </c>
      <c r="C122" s="2">
        <f ca="1">IFERROR(__xludf.DUMMYFUNCTION("""COMPUTED_VALUE"""),64)</f>
        <v>64</v>
      </c>
      <c r="D122" s="9" t="str">
        <f ca="1">IFERROR(__xludf.DUMMYFUNCTION("""COMPUTED_VALUE"""),"")</f>
        <v/>
      </c>
      <c r="E122" s="4" t="str">
        <f ca="1">IFERROR(__xludf.DUMMYFUNCTION("""COMPUTED_VALUE"""),"")</f>
        <v/>
      </c>
      <c r="F122" s="2" t="str">
        <f ca="1">IFERROR(__xludf.DUMMYFUNCTION("""COMPUTED_VALUE"""),"")</f>
        <v/>
      </c>
      <c r="G122" s="2" t="str">
        <f ca="1">IFERROR(__xludf.DUMMYFUNCTION("""COMPUTED_VALUE"""),"GPS: I converted data downloaded from ARGOS using Pinpoint software")</f>
        <v>GPS: I converted data downloaded from ARGOS using Pinpoint software</v>
      </c>
      <c r="H122" s="2" t="str">
        <f ca="1">IFERROR(__xludf.DUMMYFUNCTION("""COMPUTED_VALUE"""),"3D")</f>
        <v>3D</v>
      </c>
      <c r="I122" s="2" t="str">
        <f ca="1">IFERROR(__xludf.DUMMYFUNCTION("""COMPUTED_VALUE"""),"")</f>
        <v/>
      </c>
      <c r="J122" s="2" t="str">
        <f ca="1">IFERROR(__xludf.DUMMYFUNCTION("""COMPUTED_VALUE"""),"")</f>
        <v/>
      </c>
      <c r="K122" s="2" t="str">
        <f ca="1">IFERROR(__xludf.DUMMYFUNCTION("""COMPUTED_VALUE"""),"")</f>
        <v/>
      </c>
      <c r="L122" s="2" t="str">
        <f ca="1">IFERROR(__xludf.DUMMYFUNCTION("""COMPUTED_VALUE"""),"")</f>
        <v/>
      </c>
      <c r="M122" s="5" t="str">
        <f ca="1">IFERROR(__xludf.DUMMYFUNCTION("""COMPUTED_VALUE"""),"")</f>
        <v/>
      </c>
      <c r="N122" s="5" t="str">
        <f ca="1">IFERROR(__xludf.DUMMYFUNCTION("""COMPUTED_VALUE"""),"")</f>
        <v/>
      </c>
      <c r="O122" s="2" t="str">
        <f ca="1">IFERROR(__xludf.DUMMYFUNCTION("""COMPUTED_VALUE"""),"")</f>
        <v/>
      </c>
      <c r="P122" s="2" t="str">
        <f ca="1">IFERROR(__xludf.DUMMYFUNCTION("""COMPUTED_VALUE"""),"")</f>
        <v/>
      </c>
      <c r="Q122" s="2" t="str">
        <f ca="1">IFERROR(__xludf.DUMMYFUNCTION("""COMPUTED_VALUE"""),"")</f>
        <v/>
      </c>
      <c r="R122" s="2" t="str">
        <f ca="1">IFERROR(__xludf.DUMMYFUNCTION("""COMPUTED_VALUE"""),"")</f>
        <v/>
      </c>
      <c r="S122" s="2" t="str">
        <f ca="1">IFERROR(__xludf.DUMMYFUNCTION("""COMPUTED_VALUE"""),"")</f>
        <v/>
      </c>
      <c r="T122" s="2" t="str">
        <f ca="1">IFERROR(__xludf.DUMMYFUNCTION("""COMPUTED_VALUE"""),"")</f>
        <v/>
      </c>
      <c r="U122" s="2" t="str">
        <f ca="1">IFERROR(__xludf.DUMMYFUNCTION("""COMPUTED_VALUE"""),"")</f>
        <v/>
      </c>
      <c r="V122" s="2" t="str">
        <f ca="1">IFERROR(__xludf.DUMMYFUNCTION("""COMPUTED_VALUE"""),"")</f>
        <v/>
      </c>
      <c r="W122" s="2" t="str">
        <f ca="1">IFERROR(__xludf.DUMMYFUNCTION("""COMPUTED_VALUE"""),"")</f>
        <v/>
      </c>
      <c r="X122" s="2" t="str">
        <f ca="1">IFERROR(__xludf.DUMMYFUNCTION("""COMPUTED_VALUE"""),"")</f>
        <v/>
      </c>
      <c r="Y122" s="2" t="str">
        <f ca="1">IFERROR(__xludf.DUMMYFUNCTION("""COMPUTED_VALUE"""),"")</f>
        <v/>
      </c>
      <c r="Z122" s="2" t="str">
        <f ca="1">IFERROR(__xludf.DUMMYFUNCTION("""COMPUTED_VALUE"""),"")</f>
        <v/>
      </c>
      <c r="AA122" s="2" t="str">
        <f ca="1">IFERROR(__xludf.DUMMYFUNCTION("""COMPUTED_VALUE"""),"")</f>
        <v/>
      </c>
      <c r="AB122" s="2" t="str">
        <f ca="1">IFERROR(__xludf.DUMMYFUNCTION("""COMPUTED_VALUE"""),"")</f>
        <v/>
      </c>
      <c r="AC122" s="2" t="str">
        <f ca="1">IFERROR(__xludf.DUMMYFUNCTION("""COMPUTED_VALUE"""),"")</f>
        <v/>
      </c>
      <c r="AD122" s="2" t="str">
        <f ca="1">IFERROR(__xludf.DUMMYFUNCTION("""COMPUTED_VALUE"""),"")</f>
        <v/>
      </c>
      <c r="AE122" s="2" t="str">
        <f ca="1">IFERROR(__xludf.DUMMYFUNCTION("""COMPUTED_VALUE"""),"")</f>
        <v/>
      </c>
      <c r="AF122" s="2" t="str">
        <f ca="1">IFERROR(__xludf.DUMMYFUNCTION("""COMPUTED_VALUE"""),"")</f>
        <v/>
      </c>
      <c r="AG122" s="2" t="str">
        <f ca="1">IFERROR(__xludf.DUMMYFUNCTION("""COMPUTED_VALUE"""),"")</f>
        <v/>
      </c>
      <c r="AH122" s="2" t="str">
        <f ca="1">IFERROR(__xludf.DUMMYFUNCTION("""COMPUTED_VALUE"""),"")</f>
        <v/>
      </c>
      <c r="AI122" s="2" t="str">
        <f ca="1">IFERROR(__xludf.DUMMYFUNCTION("""COMPUTED_VALUE"""),"")</f>
        <v/>
      </c>
      <c r="AJ122" s="2" t="str">
        <f ca="1">IFERROR(__xludf.DUMMYFUNCTION("""COMPUTED_VALUE"""),"")</f>
        <v/>
      </c>
      <c r="AK122" s="2" t="str">
        <f ca="1">IFERROR(__xludf.DUMMYFUNCTION("""COMPUTED_VALUE"""),"")</f>
        <v/>
      </c>
      <c r="AL122" s="2" t="str">
        <f ca="1">IFERROR(__xludf.DUMMYFUNCTION("""COMPUTED_VALUE"""),"")</f>
        <v/>
      </c>
      <c r="AM122" s="2" t="str">
        <f ca="1">IFERROR(__xludf.DUMMYFUNCTION("""COMPUTED_VALUE"""),"")</f>
        <v/>
      </c>
      <c r="AN122" s="2" t="str">
        <f ca="1">IFERROR(__xludf.DUMMYFUNCTION("""COMPUTED_VALUE"""),"")</f>
        <v/>
      </c>
      <c r="AO122" s="2" t="str">
        <f ca="1">IFERROR(__xludf.DUMMYFUNCTION("""COMPUTED_VALUE"""),"")</f>
        <v/>
      </c>
      <c r="AP122" s="2" t="str">
        <f ca="1">IFERROR(__xludf.DUMMYFUNCTION("""COMPUTED_VALUE"""),"")</f>
        <v/>
      </c>
      <c r="AQ122" s="2" t="str">
        <f ca="1">IFERROR(__xludf.DUMMYFUNCTION("""COMPUTED_VALUE"""),"")</f>
        <v/>
      </c>
      <c r="AR122" s="2" t="str">
        <f ca="1">IFERROR(__xludf.DUMMYFUNCTION("""COMPUTED_VALUE"""),"")</f>
        <v/>
      </c>
      <c r="AS122" s="2" t="str">
        <f ca="1">IFERROR(__xludf.DUMMYFUNCTION("""COMPUTED_VALUE"""),"")</f>
        <v/>
      </c>
      <c r="AT122" s="2" t="str">
        <f ca="1">IFERROR(__xludf.DUMMYFUNCTION("""COMPUTED_VALUE"""),"")</f>
        <v/>
      </c>
      <c r="AU122" s="2" t="str">
        <f ca="1">IFERROR(__xludf.DUMMYFUNCTION("""COMPUTED_VALUE"""),"")</f>
        <v/>
      </c>
      <c r="AV122" s="2" t="str">
        <f ca="1">IFERROR(__xludf.DUMMYFUNCTION("""COMPUTED_VALUE"""),"")</f>
        <v/>
      </c>
      <c r="AW122" s="2" t="str">
        <f ca="1">IFERROR(__xludf.DUMMYFUNCTION("""COMPUTED_VALUE"""),"")</f>
        <v/>
      </c>
      <c r="AX122" s="2" t="str">
        <f ca="1">IFERROR(__xludf.DUMMYFUNCTION("""COMPUTED_VALUE"""),"")</f>
        <v/>
      </c>
      <c r="AY122" s="2" t="str">
        <f ca="1">IFERROR(__xludf.DUMMYFUNCTION("""COMPUTED_VALUE"""),"")</f>
        <v/>
      </c>
      <c r="AZ122" s="2" t="str">
        <f ca="1">IFERROR(__xludf.DUMMYFUNCTION("""COMPUTED_VALUE"""),"")</f>
        <v/>
      </c>
      <c r="BA122" s="2" t="str">
        <f ca="1">IFERROR(__xludf.DUMMYFUNCTION("""COMPUTED_VALUE"""),"")</f>
        <v/>
      </c>
      <c r="BB122" s="2" t="str">
        <f ca="1">IFERROR(__xludf.DUMMYFUNCTION("""COMPUTED_VALUE"""),"")</f>
        <v/>
      </c>
      <c r="BC122" s="2" t="str">
        <f ca="1">IFERROR(__xludf.DUMMYFUNCTION("""COMPUTED_VALUE"""),"")</f>
        <v/>
      </c>
      <c r="BD122" s="2" t="str">
        <f ca="1">IFERROR(__xludf.DUMMYFUNCTION("""COMPUTED_VALUE"""),"")</f>
        <v/>
      </c>
      <c r="BE122" s="2" t="str">
        <f ca="1">IFERROR(__xludf.DUMMYFUNCTION("""COMPUTED_VALUE"""),"")</f>
        <v/>
      </c>
      <c r="BF122" t="str">
        <f ca="1">IFERROR(__xludf.DUMMYFUNCTION("""COMPUTED_VALUE"""),"")</f>
        <v/>
      </c>
      <c r="BG122" t="str">
        <f ca="1">IFERROR(__xludf.DUMMYFUNCTION("""COMPUTED_VALUE"""),"")</f>
        <v/>
      </c>
      <c r="BH122" s="2">
        <f ca="1">IFERROR(__xludf.DUMMYFUNCTION("""COMPUTED_VALUE"""),-37.3890419)</f>
        <v>-37.389041900000002</v>
      </c>
      <c r="BI122" s="13">
        <f ca="1">IFERROR(__xludf.DUMMYFUNCTION("""COMPUTED_VALUE"""),175.5199432)</f>
        <v>175.5199432</v>
      </c>
      <c r="BJ122" s="9">
        <f ca="1">IFERROR(__xludf.DUMMYFUNCTION("""COMPUTED_VALUE"""),43432)</f>
        <v>43432</v>
      </c>
      <c r="BK122" s="4">
        <f ca="1">IFERROR(__xludf.DUMMYFUNCTION("""COMPUTED_VALUE"""),0.958518518516939)</f>
        <v>0.95851851851693903</v>
      </c>
    </row>
    <row r="123" spans="1:63" ht="12.5" x14ac:dyDescent="0.25">
      <c r="A123" s="7" t="str">
        <f ca="1">IFERROR(__xludf.DUMMYFUNCTION("""COMPUTED_VALUE"""),"")</f>
        <v/>
      </c>
      <c r="B123" s="8" t="str">
        <f ca="1">IFERROR(__xludf.DUMMYFUNCTION("""COMPUTED_VALUE"""),"Waikato")</f>
        <v>Waikato</v>
      </c>
      <c r="C123" s="2">
        <f ca="1">IFERROR(__xludf.DUMMYFUNCTION("""COMPUTED_VALUE"""),64)</f>
        <v>64</v>
      </c>
      <c r="D123" s="9" t="str">
        <f ca="1">IFERROR(__xludf.DUMMYFUNCTION("""COMPUTED_VALUE"""),"")</f>
        <v/>
      </c>
      <c r="E123" s="4" t="str">
        <f ca="1">IFERROR(__xludf.DUMMYFUNCTION("""COMPUTED_VALUE"""),"")</f>
        <v/>
      </c>
      <c r="F123" s="2" t="str">
        <f ca="1">IFERROR(__xludf.DUMMYFUNCTION("""COMPUTED_VALUE"""),"")</f>
        <v/>
      </c>
      <c r="G123" s="2" t="str">
        <f ca="1">IFERROR(__xludf.DUMMYFUNCTION("""COMPUTED_VALUE"""),"GPS: I converted data downloaded from ARGOS using Pinpoint software")</f>
        <v>GPS: I converted data downloaded from ARGOS using Pinpoint software</v>
      </c>
      <c r="H123" s="2" t="str">
        <f ca="1">IFERROR(__xludf.DUMMYFUNCTION("""COMPUTED_VALUE"""),"3D")</f>
        <v>3D</v>
      </c>
      <c r="I123" s="2" t="str">
        <f ca="1">IFERROR(__xludf.DUMMYFUNCTION("""COMPUTED_VALUE"""),"")</f>
        <v/>
      </c>
      <c r="J123" s="2" t="str">
        <f ca="1">IFERROR(__xludf.DUMMYFUNCTION("""COMPUTED_VALUE"""),"")</f>
        <v/>
      </c>
      <c r="K123" s="2" t="str">
        <f ca="1">IFERROR(__xludf.DUMMYFUNCTION("""COMPUTED_VALUE"""),"")</f>
        <v/>
      </c>
      <c r="L123" s="2" t="str">
        <f ca="1">IFERROR(__xludf.DUMMYFUNCTION("""COMPUTED_VALUE"""),"")</f>
        <v/>
      </c>
      <c r="M123" s="5" t="str">
        <f ca="1">IFERROR(__xludf.DUMMYFUNCTION("""COMPUTED_VALUE"""),"")</f>
        <v/>
      </c>
      <c r="N123" s="5" t="str">
        <f ca="1">IFERROR(__xludf.DUMMYFUNCTION("""COMPUTED_VALUE"""),"")</f>
        <v/>
      </c>
      <c r="O123" s="2" t="str">
        <f ca="1">IFERROR(__xludf.DUMMYFUNCTION("""COMPUTED_VALUE"""),"")</f>
        <v/>
      </c>
      <c r="P123" s="2" t="str">
        <f ca="1">IFERROR(__xludf.DUMMYFUNCTION("""COMPUTED_VALUE"""),"")</f>
        <v/>
      </c>
      <c r="Q123" s="2" t="str">
        <f ca="1">IFERROR(__xludf.DUMMYFUNCTION("""COMPUTED_VALUE"""),"")</f>
        <v/>
      </c>
      <c r="R123" s="2" t="str">
        <f ca="1">IFERROR(__xludf.DUMMYFUNCTION("""COMPUTED_VALUE"""),"")</f>
        <v/>
      </c>
      <c r="S123" s="2" t="str">
        <f ca="1">IFERROR(__xludf.DUMMYFUNCTION("""COMPUTED_VALUE"""),"")</f>
        <v/>
      </c>
      <c r="T123" s="2" t="str">
        <f ca="1">IFERROR(__xludf.DUMMYFUNCTION("""COMPUTED_VALUE"""),"")</f>
        <v/>
      </c>
      <c r="U123" s="2" t="str">
        <f ca="1">IFERROR(__xludf.DUMMYFUNCTION("""COMPUTED_VALUE"""),"")</f>
        <v/>
      </c>
      <c r="V123" s="2" t="str">
        <f ca="1">IFERROR(__xludf.DUMMYFUNCTION("""COMPUTED_VALUE"""),"")</f>
        <v/>
      </c>
      <c r="W123" s="2" t="str">
        <f ca="1">IFERROR(__xludf.DUMMYFUNCTION("""COMPUTED_VALUE"""),"")</f>
        <v/>
      </c>
      <c r="X123" s="2" t="str">
        <f ca="1">IFERROR(__xludf.DUMMYFUNCTION("""COMPUTED_VALUE"""),"")</f>
        <v/>
      </c>
      <c r="Y123" s="2" t="str">
        <f ca="1">IFERROR(__xludf.DUMMYFUNCTION("""COMPUTED_VALUE"""),"")</f>
        <v/>
      </c>
      <c r="Z123" s="2" t="str">
        <f ca="1">IFERROR(__xludf.DUMMYFUNCTION("""COMPUTED_VALUE"""),"")</f>
        <v/>
      </c>
      <c r="AA123" s="2" t="str">
        <f ca="1">IFERROR(__xludf.DUMMYFUNCTION("""COMPUTED_VALUE"""),"")</f>
        <v/>
      </c>
      <c r="AB123" s="2" t="str">
        <f ca="1">IFERROR(__xludf.DUMMYFUNCTION("""COMPUTED_VALUE"""),"")</f>
        <v/>
      </c>
      <c r="AC123" s="2" t="str">
        <f ca="1">IFERROR(__xludf.DUMMYFUNCTION("""COMPUTED_VALUE"""),"")</f>
        <v/>
      </c>
      <c r="AD123" s="2" t="str">
        <f ca="1">IFERROR(__xludf.DUMMYFUNCTION("""COMPUTED_VALUE"""),"")</f>
        <v/>
      </c>
      <c r="AE123" s="2" t="str">
        <f ca="1">IFERROR(__xludf.DUMMYFUNCTION("""COMPUTED_VALUE"""),"")</f>
        <v/>
      </c>
      <c r="AF123" s="2" t="str">
        <f ca="1">IFERROR(__xludf.DUMMYFUNCTION("""COMPUTED_VALUE"""),"")</f>
        <v/>
      </c>
      <c r="AG123" s="2" t="str">
        <f ca="1">IFERROR(__xludf.DUMMYFUNCTION("""COMPUTED_VALUE"""),"")</f>
        <v/>
      </c>
      <c r="AH123" s="2" t="str">
        <f ca="1">IFERROR(__xludf.DUMMYFUNCTION("""COMPUTED_VALUE"""),"")</f>
        <v/>
      </c>
      <c r="AI123" s="2" t="str">
        <f ca="1">IFERROR(__xludf.DUMMYFUNCTION("""COMPUTED_VALUE"""),"")</f>
        <v/>
      </c>
      <c r="AJ123" s="2" t="str">
        <f ca="1">IFERROR(__xludf.DUMMYFUNCTION("""COMPUTED_VALUE"""),"")</f>
        <v/>
      </c>
      <c r="AK123" s="2" t="str">
        <f ca="1">IFERROR(__xludf.DUMMYFUNCTION("""COMPUTED_VALUE"""),"")</f>
        <v/>
      </c>
      <c r="AL123" s="2" t="str">
        <f ca="1">IFERROR(__xludf.DUMMYFUNCTION("""COMPUTED_VALUE"""),"")</f>
        <v/>
      </c>
      <c r="AM123" s="2" t="str">
        <f ca="1">IFERROR(__xludf.DUMMYFUNCTION("""COMPUTED_VALUE"""),"")</f>
        <v/>
      </c>
      <c r="AN123" s="2" t="str">
        <f ca="1">IFERROR(__xludf.DUMMYFUNCTION("""COMPUTED_VALUE"""),"")</f>
        <v/>
      </c>
      <c r="AO123" s="2" t="str">
        <f ca="1">IFERROR(__xludf.DUMMYFUNCTION("""COMPUTED_VALUE"""),"")</f>
        <v/>
      </c>
      <c r="AP123" s="2" t="str">
        <f ca="1">IFERROR(__xludf.DUMMYFUNCTION("""COMPUTED_VALUE"""),"")</f>
        <v/>
      </c>
      <c r="AQ123" s="2" t="str">
        <f ca="1">IFERROR(__xludf.DUMMYFUNCTION("""COMPUTED_VALUE"""),"")</f>
        <v/>
      </c>
      <c r="AR123" s="2" t="str">
        <f ca="1">IFERROR(__xludf.DUMMYFUNCTION("""COMPUTED_VALUE"""),"")</f>
        <v/>
      </c>
      <c r="AS123" s="2" t="str">
        <f ca="1">IFERROR(__xludf.DUMMYFUNCTION("""COMPUTED_VALUE"""),"")</f>
        <v/>
      </c>
      <c r="AT123" s="2" t="str">
        <f ca="1">IFERROR(__xludf.DUMMYFUNCTION("""COMPUTED_VALUE"""),"")</f>
        <v/>
      </c>
      <c r="AU123" s="2" t="str">
        <f ca="1">IFERROR(__xludf.DUMMYFUNCTION("""COMPUTED_VALUE"""),"")</f>
        <v/>
      </c>
      <c r="AV123" s="2" t="str">
        <f ca="1">IFERROR(__xludf.DUMMYFUNCTION("""COMPUTED_VALUE"""),"")</f>
        <v/>
      </c>
      <c r="AW123" s="2" t="str">
        <f ca="1">IFERROR(__xludf.DUMMYFUNCTION("""COMPUTED_VALUE"""),"")</f>
        <v/>
      </c>
      <c r="AX123" s="2" t="str">
        <f ca="1">IFERROR(__xludf.DUMMYFUNCTION("""COMPUTED_VALUE"""),"")</f>
        <v/>
      </c>
      <c r="AY123" s="2" t="str">
        <f ca="1">IFERROR(__xludf.DUMMYFUNCTION("""COMPUTED_VALUE"""),"")</f>
        <v/>
      </c>
      <c r="AZ123" s="2" t="str">
        <f ca="1">IFERROR(__xludf.DUMMYFUNCTION("""COMPUTED_VALUE"""),"")</f>
        <v/>
      </c>
      <c r="BA123" s="2" t="str">
        <f ca="1">IFERROR(__xludf.DUMMYFUNCTION("""COMPUTED_VALUE"""),"")</f>
        <v/>
      </c>
      <c r="BB123" s="2" t="str">
        <f ca="1">IFERROR(__xludf.DUMMYFUNCTION("""COMPUTED_VALUE"""),"")</f>
        <v/>
      </c>
      <c r="BC123" s="2" t="str">
        <f ca="1">IFERROR(__xludf.DUMMYFUNCTION("""COMPUTED_VALUE"""),"")</f>
        <v/>
      </c>
      <c r="BD123" s="2" t="str">
        <f ca="1">IFERROR(__xludf.DUMMYFUNCTION("""COMPUTED_VALUE"""),"")</f>
        <v/>
      </c>
      <c r="BE123" s="2" t="str">
        <f ca="1">IFERROR(__xludf.DUMMYFUNCTION("""COMPUTED_VALUE"""),"")</f>
        <v/>
      </c>
      <c r="BF123" t="str">
        <f ca="1">IFERROR(__xludf.DUMMYFUNCTION("""COMPUTED_VALUE"""),"")</f>
        <v/>
      </c>
      <c r="BG123" t="str">
        <f ca="1">IFERROR(__xludf.DUMMYFUNCTION("""COMPUTED_VALUE"""),"")</f>
        <v/>
      </c>
      <c r="BH123" s="2">
        <f ca="1">IFERROR(__xludf.DUMMYFUNCTION("""COMPUTED_VALUE"""),-37.3378448)</f>
        <v>-37.337844799999999</v>
      </c>
      <c r="BI123" s="12">
        <f ca="1">IFERROR(__xludf.DUMMYFUNCTION("""COMPUTED_VALUE"""),175.1632233)</f>
        <v>175.1632233</v>
      </c>
      <c r="BJ123" s="9">
        <f ca="1">IFERROR(__xludf.DUMMYFUNCTION("""COMPUTED_VALUE"""),43434)</f>
        <v>43434</v>
      </c>
      <c r="BK123" s="4">
        <f ca="1">IFERROR(__xludf.DUMMYFUNCTION("""COMPUTED_VALUE"""),0.457777777777664)</f>
        <v>0.45777777777766399</v>
      </c>
    </row>
    <row r="124" spans="1:63" ht="12.5" x14ac:dyDescent="0.25">
      <c r="A124" s="7" t="str">
        <f ca="1">IFERROR(__xludf.DUMMYFUNCTION("""COMPUTED_VALUE"""),"")</f>
        <v/>
      </c>
      <c r="B124" s="8" t="str">
        <f ca="1">IFERROR(__xludf.DUMMYFUNCTION("""COMPUTED_VALUE"""),"Waikato")</f>
        <v>Waikato</v>
      </c>
      <c r="C124" s="2">
        <f ca="1">IFERROR(__xludf.DUMMYFUNCTION("""COMPUTED_VALUE"""),64)</f>
        <v>64</v>
      </c>
      <c r="D124" s="9" t="str">
        <f ca="1">IFERROR(__xludf.DUMMYFUNCTION("""COMPUTED_VALUE"""),"")</f>
        <v/>
      </c>
      <c r="E124" s="4" t="str">
        <f ca="1">IFERROR(__xludf.DUMMYFUNCTION("""COMPUTED_VALUE"""),"")</f>
        <v/>
      </c>
      <c r="F124" s="2" t="str">
        <f ca="1">IFERROR(__xludf.DUMMYFUNCTION("""COMPUTED_VALUE"""),"")</f>
        <v/>
      </c>
      <c r="G124" s="2" t="str">
        <f ca="1">IFERROR(__xludf.DUMMYFUNCTION("""COMPUTED_VALUE"""),"GPS: I converted data downloaded from ARGOS using Pinpoint software")</f>
        <v>GPS: I converted data downloaded from ARGOS using Pinpoint software</v>
      </c>
      <c r="H124" s="2" t="str">
        <f ca="1">IFERROR(__xludf.DUMMYFUNCTION("""COMPUTED_VALUE"""),"3D")</f>
        <v>3D</v>
      </c>
      <c r="I124" s="2" t="str">
        <f ca="1">IFERROR(__xludf.DUMMYFUNCTION("""COMPUTED_VALUE"""),"")</f>
        <v/>
      </c>
      <c r="J124" s="2" t="str">
        <f ca="1">IFERROR(__xludf.DUMMYFUNCTION("""COMPUTED_VALUE"""),"")</f>
        <v/>
      </c>
      <c r="K124" s="2" t="str">
        <f ca="1">IFERROR(__xludf.DUMMYFUNCTION("""COMPUTED_VALUE"""),"")</f>
        <v/>
      </c>
      <c r="L124" s="2" t="str">
        <f ca="1">IFERROR(__xludf.DUMMYFUNCTION("""COMPUTED_VALUE"""),"")</f>
        <v/>
      </c>
      <c r="M124" s="5" t="str">
        <f ca="1">IFERROR(__xludf.DUMMYFUNCTION("""COMPUTED_VALUE"""),"")</f>
        <v/>
      </c>
      <c r="N124" s="5" t="str">
        <f ca="1">IFERROR(__xludf.DUMMYFUNCTION("""COMPUTED_VALUE"""),"")</f>
        <v/>
      </c>
      <c r="O124" s="2" t="str">
        <f ca="1">IFERROR(__xludf.DUMMYFUNCTION("""COMPUTED_VALUE"""),"")</f>
        <v/>
      </c>
      <c r="P124" s="2" t="str">
        <f ca="1">IFERROR(__xludf.DUMMYFUNCTION("""COMPUTED_VALUE"""),"")</f>
        <v/>
      </c>
      <c r="Q124" s="2" t="str">
        <f ca="1">IFERROR(__xludf.DUMMYFUNCTION("""COMPUTED_VALUE"""),"")</f>
        <v/>
      </c>
      <c r="R124" s="2" t="str">
        <f ca="1">IFERROR(__xludf.DUMMYFUNCTION("""COMPUTED_VALUE"""),"")</f>
        <v/>
      </c>
      <c r="S124" s="2" t="str">
        <f ca="1">IFERROR(__xludf.DUMMYFUNCTION("""COMPUTED_VALUE"""),"")</f>
        <v/>
      </c>
      <c r="T124" s="2" t="str">
        <f ca="1">IFERROR(__xludf.DUMMYFUNCTION("""COMPUTED_VALUE"""),"")</f>
        <v/>
      </c>
      <c r="U124" s="2" t="str">
        <f ca="1">IFERROR(__xludf.DUMMYFUNCTION("""COMPUTED_VALUE"""),"")</f>
        <v/>
      </c>
      <c r="V124" s="2" t="str">
        <f ca="1">IFERROR(__xludf.DUMMYFUNCTION("""COMPUTED_VALUE"""),"")</f>
        <v/>
      </c>
      <c r="W124" s="2" t="str">
        <f ca="1">IFERROR(__xludf.DUMMYFUNCTION("""COMPUTED_VALUE"""),"")</f>
        <v/>
      </c>
      <c r="X124" s="2" t="str">
        <f ca="1">IFERROR(__xludf.DUMMYFUNCTION("""COMPUTED_VALUE"""),"")</f>
        <v/>
      </c>
      <c r="Y124" s="2" t="str">
        <f ca="1">IFERROR(__xludf.DUMMYFUNCTION("""COMPUTED_VALUE"""),"")</f>
        <v/>
      </c>
      <c r="Z124" s="2" t="str">
        <f ca="1">IFERROR(__xludf.DUMMYFUNCTION("""COMPUTED_VALUE"""),"")</f>
        <v/>
      </c>
      <c r="AA124" s="2" t="str">
        <f ca="1">IFERROR(__xludf.DUMMYFUNCTION("""COMPUTED_VALUE"""),"")</f>
        <v/>
      </c>
      <c r="AB124" s="2" t="str">
        <f ca="1">IFERROR(__xludf.DUMMYFUNCTION("""COMPUTED_VALUE"""),"")</f>
        <v/>
      </c>
      <c r="AC124" s="2" t="str">
        <f ca="1">IFERROR(__xludf.DUMMYFUNCTION("""COMPUTED_VALUE"""),"")</f>
        <v/>
      </c>
      <c r="AD124" s="2" t="str">
        <f ca="1">IFERROR(__xludf.DUMMYFUNCTION("""COMPUTED_VALUE"""),"")</f>
        <v/>
      </c>
      <c r="AE124" s="2" t="str">
        <f ca="1">IFERROR(__xludf.DUMMYFUNCTION("""COMPUTED_VALUE"""),"")</f>
        <v/>
      </c>
      <c r="AF124" s="2" t="str">
        <f ca="1">IFERROR(__xludf.DUMMYFUNCTION("""COMPUTED_VALUE"""),"")</f>
        <v/>
      </c>
      <c r="AG124" s="2" t="str">
        <f ca="1">IFERROR(__xludf.DUMMYFUNCTION("""COMPUTED_VALUE"""),"")</f>
        <v/>
      </c>
      <c r="AH124" s="2" t="str">
        <f ca="1">IFERROR(__xludf.DUMMYFUNCTION("""COMPUTED_VALUE"""),"")</f>
        <v/>
      </c>
      <c r="AI124" s="2" t="str">
        <f ca="1">IFERROR(__xludf.DUMMYFUNCTION("""COMPUTED_VALUE"""),"")</f>
        <v/>
      </c>
      <c r="AJ124" s="2" t="str">
        <f ca="1">IFERROR(__xludf.DUMMYFUNCTION("""COMPUTED_VALUE"""),"")</f>
        <v/>
      </c>
      <c r="AK124" s="2" t="str">
        <f ca="1">IFERROR(__xludf.DUMMYFUNCTION("""COMPUTED_VALUE"""),"")</f>
        <v/>
      </c>
      <c r="AL124" s="2" t="str">
        <f ca="1">IFERROR(__xludf.DUMMYFUNCTION("""COMPUTED_VALUE"""),"")</f>
        <v/>
      </c>
      <c r="AM124" s="2" t="str">
        <f ca="1">IFERROR(__xludf.DUMMYFUNCTION("""COMPUTED_VALUE"""),"")</f>
        <v/>
      </c>
      <c r="AN124" s="2" t="str">
        <f ca="1">IFERROR(__xludf.DUMMYFUNCTION("""COMPUTED_VALUE"""),"")</f>
        <v/>
      </c>
      <c r="AO124" s="2" t="str">
        <f ca="1">IFERROR(__xludf.DUMMYFUNCTION("""COMPUTED_VALUE"""),"")</f>
        <v/>
      </c>
      <c r="AP124" s="2" t="str">
        <f ca="1">IFERROR(__xludf.DUMMYFUNCTION("""COMPUTED_VALUE"""),"")</f>
        <v/>
      </c>
      <c r="AQ124" s="2" t="str">
        <f ca="1">IFERROR(__xludf.DUMMYFUNCTION("""COMPUTED_VALUE"""),"")</f>
        <v/>
      </c>
      <c r="AR124" s="2" t="str">
        <f ca="1">IFERROR(__xludf.DUMMYFUNCTION("""COMPUTED_VALUE"""),"")</f>
        <v/>
      </c>
      <c r="AS124" s="2" t="str">
        <f ca="1">IFERROR(__xludf.DUMMYFUNCTION("""COMPUTED_VALUE"""),"")</f>
        <v/>
      </c>
      <c r="AT124" s="2" t="str">
        <f ca="1">IFERROR(__xludf.DUMMYFUNCTION("""COMPUTED_VALUE"""),"")</f>
        <v/>
      </c>
      <c r="AU124" s="2" t="str">
        <f ca="1">IFERROR(__xludf.DUMMYFUNCTION("""COMPUTED_VALUE"""),"")</f>
        <v/>
      </c>
      <c r="AV124" s="2" t="str">
        <f ca="1">IFERROR(__xludf.DUMMYFUNCTION("""COMPUTED_VALUE"""),"")</f>
        <v/>
      </c>
      <c r="AW124" s="2" t="str">
        <f ca="1">IFERROR(__xludf.DUMMYFUNCTION("""COMPUTED_VALUE"""),"")</f>
        <v/>
      </c>
      <c r="AX124" s="2" t="str">
        <f ca="1">IFERROR(__xludf.DUMMYFUNCTION("""COMPUTED_VALUE"""),"")</f>
        <v/>
      </c>
      <c r="AY124" s="2" t="str">
        <f ca="1">IFERROR(__xludf.DUMMYFUNCTION("""COMPUTED_VALUE"""),"")</f>
        <v/>
      </c>
      <c r="AZ124" s="2" t="str">
        <f ca="1">IFERROR(__xludf.DUMMYFUNCTION("""COMPUTED_VALUE"""),"")</f>
        <v/>
      </c>
      <c r="BA124" s="2" t="str">
        <f ca="1">IFERROR(__xludf.DUMMYFUNCTION("""COMPUTED_VALUE"""),"")</f>
        <v/>
      </c>
      <c r="BB124" s="2" t="str">
        <f ca="1">IFERROR(__xludf.DUMMYFUNCTION("""COMPUTED_VALUE"""),"")</f>
        <v/>
      </c>
      <c r="BC124" s="2" t="str">
        <f ca="1">IFERROR(__xludf.DUMMYFUNCTION("""COMPUTED_VALUE"""),"")</f>
        <v/>
      </c>
      <c r="BD124" s="2" t="str">
        <f ca="1">IFERROR(__xludf.DUMMYFUNCTION("""COMPUTED_VALUE"""),"")</f>
        <v/>
      </c>
      <c r="BE124" s="2" t="str">
        <f ca="1">IFERROR(__xludf.DUMMYFUNCTION("""COMPUTED_VALUE"""),"")</f>
        <v/>
      </c>
      <c r="BF124" t="str">
        <f ca="1">IFERROR(__xludf.DUMMYFUNCTION("""COMPUTED_VALUE"""),"")</f>
        <v/>
      </c>
      <c r="BG124" t="str">
        <f ca="1">IFERROR(__xludf.DUMMYFUNCTION("""COMPUTED_VALUE"""),"")</f>
        <v/>
      </c>
      <c r="BH124" s="2">
        <f ca="1">IFERROR(__xludf.DUMMYFUNCTION("""COMPUTED_VALUE"""),-37.3459854)</f>
        <v>-37.345985400000004</v>
      </c>
      <c r="BI124" s="13">
        <f ca="1">IFERROR(__xludf.DUMMYFUNCTION("""COMPUTED_VALUE"""),175.16922)</f>
        <v>175.16922</v>
      </c>
      <c r="BJ124" s="9">
        <f ca="1">IFERROR(__xludf.DUMMYFUNCTION("""COMPUTED_VALUE"""),43434)</f>
        <v>43434</v>
      </c>
      <c r="BK124" s="4">
        <f ca="1">IFERROR(__xludf.DUMMYFUNCTION("""COMPUTED_VALUE"""),0.875555555554456)</f>
        <v>0.87555555555445597</v>
      </c>
    </row>
    <row r="125" spans="1:63" ht="12.5" x14ac:dyDescent="0.25">
      <c r="A125" s="7" t="str">
        <f ca="1">IFERROR(__xludf.DUMMYFUNCTION("""COMPUTED_VALUE"""),"")</f>
        <v/>
      </c>
      <c r="B125" s="8" t="str">
        <f ca="1">IFERROR(__xludf.DUMMYFUNCTION("""COMPUTED_VALUE"""),"Waikato")</f>
        <v>Waikato</v>
      </c>
      <c r="C125" s="2">
        <f ca="1">IFERROR(__xludf.DUMMYFUNCTION("""COMPUTED_VALUE"""),64)</f>
        <v>64</v>
      </c>
      <c r="D125" s="9" t="str">
        <f ca="1">IFERROR(__xludf.DUMMYFUNCTION("""COMPUTED_VALUE"""),"")</f>
        <v/>
      </c>
      <c r="E125" s="4" t="str">
        <f ca="1">IFERROR(__xludf.DUMMYFUNCTION("""COMPUTED_VALUE"""),"")</f>
        <v/>
      </c>
      <c r="F125" s="2" t="str">
        <f ca="1">IFERROR(__xludf.DUMMYFUNCTION("""COMPUTED_VALUE"""),"")</f>
        <v/>
      </c>
      <c r="G125" s="2" t="str">
        <f ca="1">IFERROR(__xludf.DUMMYFUNCTION("""COMPUTED_VALUE"""),"GPS: I converted data downloaded from ARGOS using Pinpoint software")</f>
        <v>GPS: I converted data downloaded from ARGOS using Pinpoint software</v>
      </c>
      <c r="H125" s="2" t="str">
        <f ca="1">IFERROR(__xludf.DUMMYFUNCTION("""COMPUTED_VALUE"""),"3D")</f>
        <v>3D</v>
      </c>
      <c r="I125" s="2" t="str">
        <f ca="1">IFERROR(__xludf.DUMMYFUNCTION("""COMPUTED_VALUE"""),"")</f>
        <v/>
      </c>
      <c r="J125" s="2" t="str">
        <f ca="1">IFERROR(__xludf.DUMMYFUNCTION("""COMPUTED_VALUE"""),"")</f>
        <v/>
      </c>
      <c r="K125" s="2" t="str">
        <f ca="1">IFERROR(__xludf.DUMMYFUNCTION("""COMPUTED_VALUE"""),"")</f>
        <v/>
      </c>
      <c r="L125" s="2" t="str">
        <f ca="1">IFERROR(__xludf.DUMMYFUNCTION("""COMPUTED_VALUE"""),"")</f>
        <v/>
      </c>
      <c r="M125" s="5" t="str">
        <f ca="1">IFERROR(__xludf.DUMMYFUNCTION("""COMPUTED_VALUE"""),"")</f>
        <v/>
      </c>
      <c r="N125" s="5" t="str">
        <f ca="1">IFERROR(__xludf.DUMMYFUNCTION("""COMPUTED_VALUE"""),"")</f>
        <v/>
      </c>
      <c r="O125" s="2" t="str">
        <f ca="1">IFERROR(__xludf.DUMMYFUNCTION("""COMPUTED_VALUE"""),"")</f>
        <v/>
      </c>
      <c r="P125" s="2" t="str">
        <f ca="1">IFERROR(__xludf.DUMMYFUNCTION("""COMPUTED_VALUE"""),"")</f>
        <v/>
      </c>
      <c r="Q125" s="2" t="str">
        <f ca="1">IFERROR(__xludf.DUMMYFUNCTION("""COMPUTED_VALUE"""),"")</f>
        <v/>
      </c>
      <c r="R125" s="2" t="str">
        <f ca="1">IFERROR(__xludf.DUMMYFUNCTION("""COMPUTED_VALUE"""),"")</f>
        <v/>
      </c>
      <c r="S125" s="2" t="str">
        <f ca="1">IFERROR(__xludf.DUMMYFUNCTION("""COMPUTED_VALUE"""),"")</f>
        <v/>
      </c>
      <c r="T125" s="2" t="str">
        <f ca="1">IFERROR(__xludf.DUMMYFUNCTION("""COMPUTED_VALUE"""),"")</f>
        <v/>
      </c>
      <c r="U125" s="2" t="str">
        <f ca="1">IFERROR(__xludf.DUMMYFUNCTION("""COMPUTED_VALUE"""),"")</f>
        <v/>
      </c>
      <c r="V125" s="2" t="str">
        <f ca="1">IFERROR(__xludf.DUMMYFUNCTION("""COMPUTED_VALUE"""),"")</f>
        <v/>
      </c>
      <c r="W125" s="2" t="str">
        <f ca="1">IFERROR(__xludf.DUMMYFUNCTION("""COMPUTED_VALUE"""),"")</f>
        <v/>
      </c>
      <c r="X125" s="2" t="str">
        <f ca="1">IFERROR(__xludf.DUMMYFUNCTION("""COMPUTED_VALUE"""),"")</f>
        <v/>
      </c>
      <c r="Y125" s="2" t="str">
        <f ca="1">IFERROR(__xludf.DUMMYFUNCTION("""COMPUTED_VALUE"""),"")</f>
        <v/>
      </c>
      <c r="Z125" s="2" t="str">
        <f ca="1">IFERROR(__xludf.DUMMYFUNCTION("""COMPUTED_VALUE"""),"")</f>
        <v/>
      </c>
      <c r="AA125" s="2" t="str">
        <f ca="1">IFERROR(__xludf.DUMMYFUNCTION("""COMPUTED_VALUE"""),"")</f>
        <v/>
      </c>
      <c r="AB125" s="2" t="str">
        <f ca="1">IFERROR(__xludf.DUMMYFUNCTION("""COMPUTED_VALUE"""),"")</f>
        <v/>
      </c>
      <c r="AC125" s="2" t="str">
        <f ca="1">IFERROR(__xludf.DUMMYFUNCTION("""COMPUTED_VALUE"""),"")</f>
        <v/>
      </c>
      <c r="AD125" s="2" t="str">
        <f ca="1">IFERROR(__xludf.DUMMYFUNCTION("""COMPUTED_VALUE"""),"")</f>
        <v/>
      </c>
      <c r="AE125" s="2" t="str">
        <f ca="1">IFERROR(__xludf.DUMMYFUNCTION("""COMPUTED_VALUE"""),"")</f>
        <v/>
      </c>
      <c r="AF125" s="2" t="str">
        <f ca="1">IFERROR(__xludf.DUMMYFUNCTION("""COMPUTED_VALUE"""),"")</f>
        <v/>
      </c>
      <c r="AG125" s="2" t="str">
        <f ca="1">IFERROR(__xludf.DUMMYFUNCTION("""COMPUTED_VALUE"""),"")</f>
        <v/>
      </c>
      <c r="AH125" s="2" t="str">
        <f ca="1">IFERROR(__xludf.DUMMYFUNCTION("""COMPUTED_VALUE"""),"")</f>
        <v/>
      </c>
      <c r="AI125" s="2" t="str">
        <f ca="1">IFERROR(__xludf.DUMMYFUNCTION("""COMPUTED_VALUE"""),"")</f>
        <v/>
      </c>
      <c r="AJ125" s="2" t="str">
        <f ca="1">IFERROR(__xludf.DUMMYFUNCTION("""COMPUTED_VALUE"""),"")</f>
        <v/>
      </c>
      <c r="AK125" s="2" t="str">
        <f ca="1">IFERROR(__xludf.DUMMYFUNCTION("""COMPUTED_VALUE"""),"")</f>
        <v/>
      </c>
      <c r="AL125" s="2" t="str">
        <f ca="1">IFERROR(__xludf.DUMMYFUNCTION("""COMPUTED_VALUE"""),"")</f>
        <v/>
      </c>
      <c r="AM125" s="2" t="str">
        <f ca="1">IFERROR(__xludf.DUMMYFUNCTION("""COMPUTED_VALUE"""),"")</f>
        <v/>
      </c>
      <c r="AN125" s="2" t="str">
        <f ca="1">IFERROR(__xludf.DUMMYFUNCTION("""COMPUTED_VALUE"""),"")</f>
        <v/>
      </c>
      <c r="AO125" s="2" t="str">
        <f ca="1">IFERROR(__xludf.DUMMYFUNCTION("""COMPUTED_VALUE"""),"")</f>
        <v/>
      </c>
      <c r="AP125" s="2" t="str">
        <f ca="1">IFERROR(__xludf.DUMMYFUNCTION("""COMPUTED_VALUE"""),"")</f>
        <v/>
      </c>
      <c r="AQ125" s="2" t="str">
        <f ca="1">IFERROR(__xludf.DUMMYFUNCTION("""COMPUTED_VALUE"""),"")</f>
        <v/>
      </c>
      <c r="AR125" s="2" t="str">
        <f ca="1">IFERROR(__xludf.DUMMYFUNCTION("""COMPUTED_VALUE"""),"")</f>
        <v/>
      </c>
      <c r="AS125" s="2" t="str">
        <f ca="1">IFERROR(__xludf.DUMMYFUNCTION("""COMPUTED_VALUE"""),"")</f>
        <v/>
      </c>
      <c r="AT125" s="2" t="str">
        <f ca="1">IFERROR(__xludf.DUMMYFUNCTION("""COMPUTED_VALUE"""),"")</f>
        <v/>
      </c>
      <c r="AU125" s="2" t="str">
        <f ca="1">IFERROR(__xludf.DUMMYFUNCTION("""COMPUTED_VALUE"""),"")</f>
        <v/>
      </c>
      <c r="AV125" s="2" t="str">
        <f ca="1">IFERROR(__xludf.DUMMYFUNCTION("""COMPUTED_VALUE"""),"")</f>
        <v/>
      </c>
      <c r="AW125" s="2" t="str">
        <f ca="1">IFERROR(__xludf.DUMMYFUNCTION("""COMPUTED_VALUE"""),"")</f>
        <v/>
      </c>
      <c r="AX125" s="2" t="str">
        <f ca="1">IFERROR(__xludf.DUMMYFUNCTION("""COMPUTED_VALUE"""),"")</f>
        <v/>
      </c>
      <c r="AY125" s="2" t="str">
        <f ca="1">IFERROR(__xludf.DUMMYFUNCTION("""COMPUTED_VALUE"""),"")</f>
        <v/>
      </c>
      <c r="AZ125" s="2" t="str">
        <f ca="1">IFERROR(__xludf.DUMMYFUNCTION("""COMPUTED_VALUE"""),"")</f>
        <v/>
      </c>
      <c r="BA125" s="2" t="str">
        <f ca="1">IFERROR(__xludf.DUMMYFUNCTION("""COMPUTED_VALUE"""),"")</f>
        <v/>
      </c>
      <c r="BB125" s="2" t="str">
        <f ca="1">IFERROR(__xludf.DUMMYFUNCTION("""COMPUTED_VALUE"""),"")</f>
        <v/>
      </c>
      <c r="BC125" s="2" t="str">
        <f ca="1">IFERROR(__xludf.DUMMYFUNCTION("""COMPUTED_VALUE"""),"")</f>
        <v/>
      </c>
      <c r="BD125" s="2" t="str">
        <f ca="1">IFERROR(__xludf.DUMMYFUNCTION("""COMPUTED_VALUE"""),"")</f>
        <v/>
      </c>
      <c r="BE125" s="2" t="str">
        <f ca="1">IFERROR(__xludf.DUMMYFUNCTION("""COMPUTED_VALUE"""),"")</f>
        <v/>
      </c>
      <c r="BF125" t="str">
        <f ca="1">IFERROR(__xludf.DUMMYFUNCTION("""COMPUTED_VALUE"""),"")</f>
        <v/>
      </c>
      <c r="BG125" t="str">
        <f ca="1">IFERROR(__xludf.DUMMYFUNCTION("""COMPUTED_VALUE"""),"")</f>
        <v/>
      </c>
      <c r="BH125" s="2">
        <f ca="1">IFERROR(__xludf.DUMMYFUNCTION("""COMPUTED_VALUE"""),-37.3458557)</f>
        <v>-37.345855700000001</v>
      </c>
      <c r="BI125" s="12">
        <f ca="1">IFERROR(__xludf.DUMMYFUNCTION("""COMPUTED_VALUE"""),175.1690826)</f>
        <v>175.1690826</v>
      </c>
      <c r="BJ125" s="9">
        <f ca="1">IFERROR(__xludf.DUMMYFUNCTION("""COMPUTED_VALUE"""),43434)</f>
        <v>43434</v>
      </c>
      <c r="BK125" s="4">
        <f ca="1">IFERROR(__xludf.DUMMYFUNCTION("""COMPUTED_VALUE"""),0.958518518516939)</f>
        <v>0.95851851851693903</v>
      </c>
    </row>
    <row r="126" spans="1:63" ht="12.5" x14ac:dyDescent="0.25">
      <c r="A126" s="7" t="str">
        <f ca="1">IFERROR(__xludf.DUMMYFUNCTION("""COMPUTED_VALUE"""),"")</f>
        <v/>
      </c>
      <c r="B126" s="8" t="str">
        <f ca="1">IFERROR(__xludf.DUMMYFUNCTION("""COMPUTED_VALUE"""),"Waikato")</f>
        <v>Waikato</v>
      </c>
      <c r="C126" s="2">
        <f ca="1">IFERROR(__xludf.DUMMYFUNCTION("""COMPUTED_VALUE"""),64)</f>
        <v>64</v>
      </c>
      <c r="D126" s="9" t="str">
        <f ca="1">IFERROR(__xludf.DUMMYFUNCTION("""COMPUTED_VALUE"""),"")</f>
        <v/>
      </c>
      <c r="E126" s="4" t="str">
        <f ca="1">IFERROR(__xludf.DUMMYFUNCTION("""COMPUTED_VALUE"""),"")</f>
        <v/>
      </c>
      <c r="F126" s="2" t="str">
        <f ca="1">IFERROR(__xludf.DUMMYFUNCTION("""COMPUTED_VALUE"""),"")</f>
        <v/>
      </c>
      <c r="G126" s="2" t="str">
        <f ca="1">IFERROR(__xludf.DUMMYFUNCTION("""COMPUTED_VALUE"""),"GPS: I converted data downloaded from ARGOS using Pinpoint software")</f>
        <v>GPS: I converted data downloaded from ARGOS using Pinpoint software</v>
      </c>
      <c r="H126" s="2" t="str">
        <f ca="1">IFERROR(__xludf.DUMMYFUNCTION("""COMPUTED_VALUE"""),"3D")</f>
        <v>3D</v>
      </c>
      <c r="I126" s="2" t="str">
        <f ca="1">IFERROR(__xludf.DUMMYFUNCTION("""COMPUTED_VALUE"""),"")</f>
        <v/>
      </c>
      <c r="J126" s="2" t="str">
        <f ca="1">IFERROR(__xludf.DUMMYFUNCTION("""COMPUTED_VALUE"""),"")</f>
        <v/>
      </c>
      <c r="K126" s="2" t="str">
        <f ca="1">IFERROR(__xludf.DUMMYFUNCTION("""COMPUTED_VALUE"""),"")</f>
        <v/>
      </c>
      <c r="L126" s="2" t="str">
        <f ca="1">IFERROR(__xludf.DUMMYFUNCTION("""COMPUTED_VALUE"""),"")</f>
        <v/>
      </c>
      <c r="M126" s="5" t="str">
        <f ca="1">IFERROR(__xludf.DUMMYFUNCTION("""COMPUTED_VALUE"""),"")</f>
        <v/>
      </c>
      <c r="N126" s="5" t="str">
        <f ca="1">IFERROR(__xludf.DUMMYFUNCTION("""COMPUTED_VALUE"""),"")</f>
        <v/>
      </c>
      <c r="O126" s="2" t="str">
        <f ca="1">IFERROR(__xludf.DUMMYFUNCTION("""COMPUTED_VALUE"""),"")</f>
        <v/>
      </c>
      <c r="P126" s="2" t="str">
        <f ca="1">IFERROR(__xludf.DUMMYFUNCTION("""COMPUTED_VALUE"""),"")</f>
        <v/>
      </c>
      <c r="Q126" s="2" t="str">
        <f ca="1">IFERROR(__xludf.DUMMYFUNCTION("""COMPUTED_VALUE"""),"")</f>
        <v/>
      </c>
      <c r="R126" s="2" t="str">
        <f ca="1">IFERROR(__xludf.DUMMYFUNCTION("""COMPUTED_VALUE"""),"")</f>
        <v/>
      </c>
      <c r="S126" s="2" t="str">
        <f ca="1">IFERROR(__xludf.DUMMYFUNCTION("""COMPUTED_VALUE"""),"")</f>
        <v/>
      </c>
      <c r="T126" s="2" t="str">
        <f ca="1">IFERROR(__xludf.DUMMYFUNCTION("""COMPUTED_VALUE"""),"")</f>
        <v/>
      </c>
      <c r="U126" s="2" t="str">
        <f ca="1">IFERROR(__xludf.DUMMYFUNCTION("""COMPUTED_VALUE"""),"")</f>
        <v/>
      </c>
      <c r="V126" s="2" t="str">
        <f ca="1">IFERROR(__xludf.DUMMYFUNCTION("""COMPUTED_VALUE"""),"")</f>
        <v/>
      </c>
      <c r="W126" s="2" t="str">
        <f ca="1">IFERROR(__xludf.DUMMYFUNCTION("""COMPUTED_VALUE"""),"")</f>
        <v/>
      </c>
      <c r="X126" s="2" t="str">
        <f ca="1">IFERROR(__xludf.DUMMYFUNCTION("""COMPUTED_VALUE"""),"")</f>
        <v/>
      </c>
      <c r="Y126" s="2" t="str">
        <f ca="1">IFERROR(__xludf.DUMMYFUNCTION("""COMPUTED_VALUE"""),"")</f>
        <v/>
      </c>
      <c r="Z126" s="2" t="str">
        <f ca="1">IFERROR(__xludf.DUMMYFUNCTION("""COMPUTED_VALUE"""),"")</f>
        <v/>
      </c>
      <c r="AA126" s="2" t="str">
        <f ca="1">IFERROR(__xludf.DUMMYFUNCTION("""COMPUTED_VALUE"""),"")</f>
        <v/>
      </c>
      <c r="AB126" s="2" t="str">
        <f ca="1">IFERROR(__xludf.DUMMYFUNCTION("""COMPUTED_VALUE"""),"")</f>
        <v/>
      </c>
      <c r="AC126" s="2" t="str">
        <f ca="1">IFERROR(__xludf.DUMMYFUNCTION("""COMPUTED_VALUE"""),"")</f>
        <v/>
      </c>
      <c r="AD126" s="2" t="str">
        <f ca="1">IFERROR(__xludf.DUMMYFUNCTION("""COMPUTED_VALUE"""),"")</f>
        <v/>
      </c>
      <c r="AE126" s="2" t="str">
        <f ca="1">IFERROR(__xludf.DUMMYFUNCTION("""COMPUTED_VALUE"""),"")</f>
        <v/>
      </c>
      <c r="AF126" s="2" t="str">
        <f ca="1">IFERROR(__xludf.DUMMYFUNCTION("""COMPUTED_VALUE"""),"")</f>
        <v/>
      </c>
      <c r="AG126" s="2" t="str">
        <f ca="1">IFERROR(__xludf.DUMMYFUNCTION("""COMPUTED_VALUE"""),"")</f>
        <v/>
      </c>
      <c r="AH126" s="2" t="str">
        <f ca="1">IFERROR(__xludf.DUMMYFUNCTION("""COMPUTED_VALUE"""),"")</f>
        <v/>
      </c>
      <c r="AI126" s="2" t="str">
        <f ca="1">IFERROR(__xludf.DUMMYFUNCTION("""COMPUTED_VALUE"""),"")</f>
        <v/>
      </c>
      <c r="AJ126" s="2" t="str">
        <f ca="1">IFERROR(__xludf.DUMMYFUNCTION("""COMPUTED_VALUE"""),"")</f>
        <v/>
      </c>
      <c r="AK126" s="2" t="str">
        <f ca="1">IFERROR(__xludf.DUMMYFUNCTION("""COMPUTED_VALUE"""),"")</f>
        <v/>
      </c>
      <c r="AL126" s="2" t="str">
        <f ca="1">IFERROR(__xludf.DUMMYFUNCTION("""COMPUTED_VALUE"""),"")</f>
        <v/>
      </c>
      <c r="AM126" s="2" t="str">
        <f ca="1">IFERROR(__xludf.DUMMYFUNCTION("""COMPUTED_VALUE"""),"")</f>
        <v/>
      </c>
      <c r="AN126" s="2" t="str">
        <f ca="1">IFERROR(__xludf.DUMMYFUNCTION("""COMPUTED_VALUE"""),"")</f>
        <v/>
      </c>
      <c r="AO126" s="2" t="str">
        <f ca="1">IFERROR(__xludf.DUMMYFUNCTION("""COMPUTED_VALUE"""),"")</f>
        <v/>
      </c>
      <c r="AP126" s="2" t="str">
        <f ca="1">IFERROR(__xludf.DUMMYFUNCTION("""COMPUTED_VALUE"""),"")</f>
        <v/>
      </c>
      <c r="AQ126" s="2" t="str">
        <f ca="1">IFERROR(__xludf.DUMMYFUNCTION("""COMPUTED_VALUE"""),"")</f>
        <v/>
      </c>
      <c r="AR126" s="2" t="str">
        <f ca="1">IFERROR(__xludf.DUMMYFUNCTION("""COMPUTED_VALUE"""),"")</f>
        <v/>
      </c>
      <c r="AS126" s="2" t="str">
        <f ca="1">IFERROR(__xludf.DUMMYFUNCTION("""COMPUTED_VALUE"""),"")</f>
        <v/>
      </c>
      <c r="AT126" s="2" t="str">
        <f ca="1">IFERROR(__xludf.DUMMYFUNCTION("""COMPUTED_VALUE"""),"")</f>
        <v/>
      </c>
      <c r="AU126" s="2" t="str">
        <f ca="1">IFERROR(__xludf.DUMMYFUNCTION("""COMPUTED_VALUE"""),"")</f>
        <v/>
      </c>
      <c r="AV126" s="2" t="str">
        <f ca="1">IFERROR(__xludf.DUMMYFUNCTION("""COMPUTED_VALUE"""),"")</f>
        <v/>
      </c>
      <c r="AW126" s="2" t="str">
        <f ca="1">IFERROR(__xludf.DUMMYFUNCTION("""COMPUTED_VALUE"""),"")</f>
        <v/>
      </c>
      <c r="AX126" s="2" t="str">
        <f ca="1">IFERROR(__xludf.DUMMYFUNCTION("""COMPUTED_VALUE"""),"")</f>
        <v/>
      </c>
      <c r="AY126" s="2" t="str">
        <f ca="1">IFERROR(__xludf.DUMMYFUNCTION("""COMPUTED_VALUE"""),"")</f>
        <v/>
      </c>
      <c r="AZ126" s="2" t="str">
        <f ca="1">IFERROR(__xludf.DUMMYFUNCTION("""COMPUTED_VALUE"""),"")</f>
        <v/>
      </c>
      <c r="BA126" s="2" t="str">
        <f ca="1">IFERROR(__xludf.DUMMYFUNCTION("""COMPUTED_VALUE"""),"")</f>
        <v/>
      </c>
      <c r="BB126" s="2" t="str">
        <f ca="1">IFERROR(__xludf.DUMMYFUNCTION("""COMPUTED_VALUE"""),"")</f>
        <v/>
      </c>
      <c r="BC126" s="2" t="str">
        <f ca="1">IFERROR(__xludf.DUMMYFUNCTION("""COMPUTED_VALUE"""),"")</f>
        <v/>
      </c>
      <c r="BD126" s="2" t="str">
        <f ca="1">IFERROR(__xludf.DUMMYFUNCTION("""COMPUTED_VALUE"""),"")</f>
        <v/>
      </c>
      <c r="BE126" s="2" t="str">
        <f ca="1">IFERROR(__xludf.DUMMYFUNCTION("""COMPUTED_VALUE"""),"")</f>
        <v/>
      </c>
      <c r="BF126" t="str">
        <f ca="1">IFERROR(__xludf.DUMMYFUNCTION("""COMPUTED_VALUE"""),"")</f>
        <v/>
      </c>
      <c r="BG126" t="str">
        <f ca="1">IFERROR(__xludf.DUMMYFUNCTION("""COMPUTED_VALUE"""),"")</f>
        <v/>
      </c>
      <c r="BH126" s="2">
        <f ca="1">IFERROR(__xludf.DUMMYFUNCTION("""COMPUTED_VALUE"""),-37.336998)</f>
        <v>-37.336998000000001</v>
      </c>
      <c r="BI126" s="13">
        <f ca="1">IFERROR(__xludf.DUMMYFUNCTION("""COMPUTED_VALUE"""),175.1713867)</f>
        <v>175.1713867</v>
      </c>
      <c r="BJ126" s="9">
        <f ca="1">IFERROR(__xludf.DUMMYFUNCTION("""COMPUTED_VALUE"""),43436)</f>
        <v>43436</v>
      </c>
      <c r="BK126" s="4">
        <f ca="1">IFERROR(__xludf.DUMMYFUNCTION("""COMPUTED_VALUE"""),0.457777777777664)</f>
        <v>0.45777777777766399</v>
      </c>
    </row>
    <row r="127" spans="1:63" ht="12.5" x14ac:dyDescent="0.25">
      <c r="A127" s="7" t="str">
        <f ca="1">IFERROR(__xludf.DUMMYFUNCTION("""COMPUTED_VALUE"""),"")</f>
        <v/>
      </c>
      <c r="B127" s="8" t="str">
        <f ca="1">IFERROR(__xludf.DUMMYFUNCTION("""COMPUTED_VALUE"""),"Waikato")</f>
        <v>Waikato</v>
      </c>
      <c r="C127" s="2">
        <f ca="1">IFERROR(__xludf.DUMMYFUNCTION("""COMPUTED_VALUE"""),64)</f>
        <v>64</v>
      </c>
      <c r="D127" s="9" t="str">
        <f ca="1">IFERROR(__xludf.DUMMYFUNCTION("""COMPUTED_VALUE"""),"")</f>
        <v/>
      </c>
      <c r="E127" s="4" t="str">
        <f ca="1">IFERROR(__xludf.DUMMYFUNCTION("""COMPUTED_VALUE"""),"")</f>
        <v/>
      </c>
      <c r="F127" s="2" t="str">
        <f ca="1">IFERROR(__xludf.DUMMYFUNCTION("""COMPUTED_VALUE"""),"")</f>
        <v/>
      </c>
      <c r="G127" s="2" t="str">
        <f ca="1">IFERROR(__xludf.DUMMYFUNCTION("""COMPUTED_VALUE"""),"GPS: I converted data downloaded from ARGOS using Pinpoint software")</f>
        <v>GPS: I converted data downloaded from ARGOS using Pinpoint software</v>
      </c>
      <c r="H127" s="2" t="str">
        <f ca="1">IFERROR(__xludf.DUMMYFUNCTION("""COMPUTED_VALUE"""),"3D")</f>
        <v>3D</v>
      </c>
      <c r="I127" s="2" t="str">
        <f ca="1">IFERROR(__xludf.DUMMYFUNCTION("""COMPUTED_VALUE"""),"")</f>
        <v/>
      </c>
      <c r="J127" s="2" t="str">
        <f ca="1">IFERROR(__xludf.DUMMYFUNCTION("""COMPUTED_VALUE"""),"")</f>
        <v/>
      </c>
      <c r="K127" s="2" t="str">
        <f ca="1">IFERROR(__xludf.DUMMYFUNCTION("""COMPUTED_VALUE"""),"")</f>
        <v/>
      </c>
      <c r="L127" s="2" t="str">
        <f ca="1">IFERROR(__xludf.DUMMYFUNCTION("""COMPUTED_VALUE"""),"")</f>
        <v/>
      </c>
      <c r="M127" s="5" t="str">
        <f ca="1">IFERROR(__xludf.DUMMYFUNCTION("""COMPUTED_VALUE"""),"")</f>
        <v/>
      </c>
      <c r="N127" s="5" t="str">
        <f ca="1">IFERROR(__xludf.DUMMYFUNCTION("""COMPUTED_VALUE"""),"")</f>
        <v/>
      </c>
      <c r="O127" s="2" t="str">
        <f ca="1">IFERROR(__xludf.DUMMYFUNCTION("""COMPUTED_VALUE"""),"")</f>
        <v/>
      </c>
      <c r="P127" s="2" t="str">
        <f ca="1">IFERROR(__xludf.DUMMYFUNCTION("""COMPUTED_VALUE"""),"")</f>
        <v/>
      </c>
      <c r="Q127" s="2" t="str">
        <f ca="1">IFERROR(__xludf.DUMMYFUNCTION("""COMPUTED_VALUE"""),"")</f>
        <v/>
      </c>
      <c r="R127" s="2" t="str">
        <f ca="1">IFERROR(__xludf.DUMMYFUNCTION("""COMPUTED_VALUE"""),"")</f>
        <v/>
      </c>
      <c r="S127" s="2" t="str">
        <f ca="1">IFERROR(__xludf.DUMMYFUNCTION("""COMPUTED_VALUE"""),"")</f>
        <v/>
      </c>
      <c r="T127" s="2" t="str">
        <f ca="1">IFERROR(__xludf.DUMMYFUNCTION("""COMPUTED_VALUE"""),"")</f>
        <v/>
      </c>
      <c r="U127" s="2" t="str">
        <f ca="1">IFERROR(__xludf.DUMMYFUNCTION("""COMPUTED_VALUE"""),"")</f>
        <v/>
      </c>
      <c r="V127" s="2" t="str">
        <f ca="1">IFERROR(__xludf.DUMMYFUNCTION("""COMPUTED_VALUE"""),"")</f>
        <v/>
      </c>
      <c r="W127" s="2" t="str">
        <f ca="1">IFERROR(__xludf.DUMMYFUNCTION("""COMPUTED_VALUE"""),"")</f>
        <v/>
      </c>
      <c r="X127" s="2" t="str">
        <f ca="1">IFERROR(__xludf.DUMMYFUNCTION("""COMPUTED_VALUE"""),"")</f>
        <v/>
      </c>
      <c r="Y127" s="2" t="str">
        <f ca="1">IFERROR(__xludf.DUMMYFUNCTION("""COMPUTED_VALUE"""),"")</f>
        <v/>
      </c>
      <c r="Z127" s="2" t="str">
        <f ca="1">IFERROR(__xludf.DUMMYFUNCTION("""COMPUTED_VALUE"""),"")</f>
        <v/>
      </c>
      <c r="AA127" s="2" t="str">
        <f ca="1">IFERROR(__xludf.DUMMYFUNCTION("""COMPUTED_VALUE"""),"")</f>
        <v/>
      </c>
      <c r="AB127" s="2" t="str">
        <f ca="1">IFERROR(__xludf.DUMMYFUNCTION("""COMPUTED_VALUE"""),"")</f>
        <v/>
      </c>
      <c r="AC127" s="2" t="str">
        <f ca="1">IFERROR(__xludf.DUMMYFUNCTION("""COMPUTED_VALUE"""),"")</f>
        <v/>
      </c>
      <c r="AD127" s="2" t="str">
        <f ca="1">IFERROR(__xludf.DUMMYFUNCTION("""COMPUTED_VALUE"""),"")</f>
        <v/>
      </c>
      <c r="AE127" s="2" t="str">
        <f ca="1">IFERROR(__xludf.DUMMYFUNCTION("""COMPUTED_VALUE"""),"")</f>
        <v/>
      </c>
      <c r="AF127" s="2" t="str">
        <f ca="1">IFERROR(__xludf.DUMMYFUNCTION("""COMPUTED_VALUE"""),"")</f>
        <v/>
      </c>
      <c r="AG127" s="2" t="str">
        <f ca="1">IFERROR(__xludf.DUMMYFUNCTION("""COMPUTED_VALUE"""),"")</f>
        <v/>
      </c>
      <c r="AH127" s="2" t="str">
        <f ca="1">IFERROR(__xludf.DUMMYFUNCTION("""COMPUTED_VALUE"""),"")</f>
        <v/>
      </c>
      <c r="AI127" s="2" t="str">
        <f ca="1">IFERROR(__xludf.DUMMYFUNCTION("""COMPUTED_VALUE"""),"")</f>
        <v/>
      </c>
      <c r="AJ127" s="2" t="str">
        <f ca="1">IFERROR(__xludf.DUMMYFUNCTION("""COMPUTED_VALUE"""),"")</f>
        <v/>
      </c>
      <c r="AK127" s="2" t="str">
        <f ca="1">IFERROR(__xludf.DUMMYFUNCTION("""COMPUTED_VALUE"""),"")</f>
        <v/>
      </c>
      <c r="AL127" s="2" t="str">
        <f ca="1">IFERROR(__xludf.DUMMYFUNCTION("""COMPUTED_VALUE"""),"")</f>
        <v/>
      </c>
      <c r="AM127" s="2" t="str">
        <f ca="1">IFERROR(__xludf.DUMMYFUNCTION("""COMPUTED_VALUE"""),"")</f>
        <v/>
      </c>
      <c r="AN127" s="2" t="str">
        <f ca="1">IFERROR(__xludf.DUMMYFUNCTION("""COMPUTED_VALUE"""),"")</f>
        <v/>
      </c>
      <c r="AO127" s="2" t="str">
        <f ca="1">IFERROR(__xludf.DUMMYFUNCTION("""COMPUTED_VALUE"""),"")</f>
        <v/>
      </c>
      <c r="AP127" s="2" t="str">
        <f ca="1">IFERROR(__xludf.DUMMYFUNCTION("""COMPUTED_VALUE"""),"")</f>
        <v/>
      </c>
      <c r="AQ127" s="2" t="str">
        <f ca="1">IFERROR(__xludf.DUMMYFUNCTION("""COMPUTED_VALUE"""),"")</f>
        <v/>
      </c>
      <c r="AR127" s="2" t="str">
        <f ca="1">IFERROR(__xludf.DUMMYFUNCTION("""COMPUTED_VALUE"""),"")</f>
        <v/>
      </c>
      <c r="AS127" s="2" t="str">
        <f ca="1">IFERROR(__xludf.DUMMYFUNCTION("""COMPUTED_VALUE"""),"")</f>
        <v/>
      </c>
      <c r="AT127" s="2" t="str">
        <f ca="1">IFERROR(__xludf.DUMMYFUNCTION("""COMPUTED_VALUE"""),"")</f>
        <v/>
      </c>
      <c r="AU127" s="2" t="str">
        <f ca="1">IFERROR(__xludf.DUMMYFUNCTION("""COMPUTED_VALUE"""),"")</f>
        <v/>
      </c>
      <c r="AV127" s="2" t="str">
        <f ca="1">IFERROR(__xludf.DUMMYFUNCTION("""COMPUTED_VALUE"""),"")</f>
        <v/>
      </c>
      <c r="AW127" s="2" t="str">
        <f ca="1">IFERROR(__xludf.DUMMYFUNCTION("""COMPUTED_VALUE"""),"")</f>
        <v/>
      </c>
      <c r="AX127" s="2" t="str">
        <f ca="1">IFERROR(__xludf.DUMMYFUNCTION("""COMPUTED_VALUE"""),"")</f>
        <v/>
      </c>
      <c r="AY127" s="2" t="str">
        <f ca="1">IFERROR(__xludf.DUMMYFUNCTION("""COMPUTED_VALUE"""),"")</f>
        <v/>
      </c>
      <c r="AZ127" s="2" t="str">
        <f ca="1">IFERROR(__xludf.DUMMYFUNCTION("""COMPUTED_VALUE"""),"")</f>
        <v/>
      </c>
      <c r="BA127" s="2" t="str">
        <f ca="1">IFERROR(__xludf.DUMMYFUNCTION("""COMPUTED_VALUE"""),"")</f>
        <v/>
      </c>
      <c r="BB127" s="2" t="str">
        <f ca="1">IFERROR(__xludf.DUMMYFUNCTION("""COMPUTED_VALUE"""),"")</f>
        <v/>
      </c>
      <c r="BC127" s="2" t="str">
        <f ca="1">IFERROR(__xludf.DUMMYFUNCTION("""COMPUTED_VALUE"""),"")</f>
        <v/>
      </c>
      <c r="BD127" s="2" t="str">
        <f ca="1">IFERROR(__xludf.DUMMYFUNCTION("""COMPUTED_VALUE"""),"")</f>
        <v/>
      </c>
      <c r="BE127" s="2" t="str">
        <f ca="1">IFERROR(__xludf.DUMMYFUNCTION("""COMPUTED_VALUE"""),"")</f>
        <v/>
      </c>
      <c r="BF127" t="str">
        <f ca="1">IFERROR(__xludf.DUMMYFUNCTION("""COMPUTED_VALUE"""),"")</f>
        <v/>
      </c>
      <c r="BG127" t="str">
        <f ca="1">IFERROR(__xludf.DUMMYFUNCTION("""COMPUTED_VALUE"""),"")</f>
        <v/>
      </c>
      <c r="BH127" s="2">
        <f ca="1">IFERROR(__xludf.DUMMYFUNCTION("""COMPUTED_VALUE"""),-37.2817268)</f>
        <v>-37.281726800000001</v>
      </c>
      <c r="BI127" s="12">
        <f ca="1">IFERROR(__xludf.DUMMYFUNCTION("""COMPUTED_VALUE"""),175.1455841)</f>
        <v>175.14558410000001</v>
      </c>
      <c r="BJ127" s="9">
        <f ca="1">IFERROR(__xludf.DUMMYFUNCTION("""COMPUTED_VALUE"""),43436)</f>
        <v>43436</v>
      </c>
      <c r="BK127" s="4">
        <f ca="1">IFERROR(__xludf.DUMMYFUNCTION("""COMPUTED_VALUE"""),0.958518518516939)</f>
        <v>0.95851851851693903</v>
      </c>
    </row>
    <row r="128" spans="1:63" ht="12.5" x14ac:dyDescent="0.25">
      <c r="A128" s="7" t="str">
        <f ca="1">IFERROR(__xludf.DUMMYFUNCTION("""COMPUTED_VALUE"""),"")</f>
        <v/>
      </c>
      <c r="B128" s="8" t="str">
        <f ca="1">IFERROR(__xludf.DUMMYFUNCTION("""COMPUTED_VALUE"""),"Waikato")</f>
        <v>Waikato</v>
      </c>
      <c r="C128" s="2">
        <f ca="1">IFERROR(__xludf.DUMMYFUNCTION("""COMPUTED_VALUE"""),64)</f>
        <v>64</v>
      </c>
      <c r="D128" s="9" t="str">
        <f ca="1">IFERROR(__xludf.DUMMYFUNCTION("""COMPUTED_VALUE"""),"")</f>
        <v/>
      </c>
      <c r="E128" s="4" t="str">
        <f ca="1">IFERROR(__xludf.DUMMYFUNCTION("""COMPUTED_VALUE"""),"")</f>
        <v/>
      </c>
      <c r="F128" s="2" t="str">
        <f ca="1">IFERROR(__xludf.DUMMYFUNCTION("""COMPUTED_VALUE"""),"")</f>
        <v/>
      </c>
      <c r="G128" s="2" t="str">
        <f ca="1">IFERROR(__xludf.DUMMYFUNCTION("""COMPUTED_VALUE"""),"GPS: I converted data downloaded from ARGOS using Pinpoint software")</f>
        <v>GPS: I converted data downloaded from ARGOS using Pinpoint software</v>
      </c>
      <c r="H128" s="2" t="str">
        <f ca="1">IFERROR(__xludf.DUMMYFUNCTION("""COMPUTED_VALUE"""),"3D")</f>
        <v>3D</v>
      </c>
      <c r="I128" s="2" t="str">
        <f ca="1">IFERROR(__xludf.DUMMYFUNCTION("""COMPUTED_VALUE"""),"")</f>
        <v/>
      </c>
      <c r="J128" s="2" t="str">
        <f ca="1">IFERROR(__xludf.DUMMYFUNCTION("""COMPUTED_VALUE"""),"")</f>
        <v/>
      </c>
      <c r="K128" s="2" t="str">
        <f ca="1">IFERROR(__xludf.DUMMYFUNCTION("""COMPUTED_VALUE"""),"")</f>
        <v/>
      </c>
      <c r="L128" s="2" t="str">
        <f ca="1">IFERROR(__xludf.DUMMYFUNCTION("""COMPUTED_VALUE"""),"")</f>
        <v/>
      </c>
      <c r="M128" s="5" t="str">
        <f ca="1">IFERROR(__xludf.DUMMYFUNCTION("""COMPUTED_VALUE"""),"")</f>
        <v/>
      </c>
      <c r="N128" s="5" t="str">
        <f ca="1">IFERROR(__xludf.DUMMYFUNCTION("""COMPUTED_VALUE"""),"")</f>
        <v/>
      </c>
      <c r="O128" s="2" t="str">
        <f ca="1">IFERROR(__xludf.DUMMYFUNCTION("""COMPUTED_VALUE"""),"")</f>
        <v/>
      </c>
      <c r="P128" s="2" t="str">
        <f ca="1">IFERROR(__xludf.DUMMYFUNCTION("""COMPUTED_VALUE"""),"")</f>
        <v/>
      </c>
      <c r="Q128" s="2" t="str">
        <f ca="1">IFERROR(__xludf.DUMMYFUNCTION("""COMPUTED_VALUE"""),"")</f>
        <v/>
      </c>
      <c r="R128" s="2" t="str">
        <f ca="1">IFERROR(__xludf.DUMMYFUNCTION("""COMPUTED_VALUE"""),"")</f>
        <v/>
      </c>
      <c r="S128" s="2" t="str">
        <f ca="1">IFERROR(__xludf.DUMMYFUNCTION("""COMPUTED_VALUE"""),"")</f>
        <v/>
      </c>
      <c r="T128" s="2" t="str">
        <f ca="1">IFERROR(__xludf.DUMMYFUNCTION("""COMPUTED_VALUE"""),"")</f>
        <v/>
      </c>
      <c r="U128" s="2" t="str">
        <f ca="1">IFERROR(__xludf.DUMMYFUNCTION("""COMPUTED_VALUE"""),"")</f>
        <v/>
      </c>
      <c r="V128" s="2" t="str">
        <f ca="1">IFERROR(__xludf.DUMMYFUNCTION("""COMPUTED_VALUE"""),"")</f>
        <v/>
      </c>
      <c r="W128" s="2" t="str">
        <f ca="1">IFERROR(__xludf.DUMMYFUNCTION("""COMPUTED_VALUE"""),"")</f>
        <v/>
      </c>
      <c r="X128" s="2" t="str">
        <f ca="1">IFERROR(__xludf.DUMMYFUNCTION("""COMPUTED_VALUE"""),"")</f>
        <v/>
      </c>
      <c r="Y128" s="2" t="str">
        <f ca="1">IFERROR(__xludf.DUMMYFUNCTION("""COMPUTED_VALUE"""),"")</f>
        <v/>
      </c>
      <c r="Z128" s="2" t="str">
        <f ca="1">IFERROR(__xludf.DUMMYFUNCTION("""COMPUTED_VALUE"""),"")</f>
        <v/>
      </c>
      <c r="AA128" s="2" t="str">
        <f ca="1">IFERROR(__xludf.DUMMYFUNCTION("""COMPUTED_VALUE"""),"")</f>
        <v/>
      </c>
      <c r="AB128" s="2" t="str">
        <f ca="1">IFERROR(__xludf.DUMMYFUNCTION("""COMPUTED_VALUE"""),"")</f>
        <v/>
      </c>
      <c r="AC128" s="2" t="str">
        <f ca="1">IFERROR(__xludf.DUMMYFUNCTION("""COMPUTED_VALUE"""),"")</f>
        <v/>
      </c>
      <c r="AD128" s="2" t="str">
        <f ca="1">IFERROR(__xludf.DUMMYFUNCTION("""COMPUTED_VALUE"""),"")</f>
        <v/>
      </c>
      <c r="AE128" s="2" t="str">
        <f ca="1">IFERROR(__xludf.DUMMYFUNCTION("""COMPUTED_VALUE"""),"")</f>
        <v/>
      </c>
      <c r="AF128" s="2" t="str">
        <f ca="1">IFERROR(__xludf.DUMMYFUNCTION("""COMPUTED_VALUE"""),"")</f>
        <v/>
      </c>
      <c r="AG128" s="2" t="str">
        <f ca="1">IFERROR(__xludf.DUMMYFUNCTION("""COMPUTED_VALUE"""),"")</f>
        <v/>
      </c>
      <c r="AH128" s="2" t="str">
        <f ca="1">IFERROR(__xludf.DUMMYFUNCTION("""COMPUTED_VALUE"""),"")</f>
        <v/>
      </c>
      <c r="AI128" s="2" t="str">
        <f ca="1">IFERROR(__xludf.DUMMYFUNCTION("""COMPUTED_VALUE"""),"")</f>
        <v/>
      </c>
      <c r="AJ128" s="2" t="str">
        <f ca="1">IFERROR(__xludf.DUMMYFUNCTION("""COMPUTED_VALUE"""),"")</f>
        <v/>
      </c>
      <c r="AK128" s="2" t="str">
        <f ca="1">IFERROR(__xludf.DUMMYFUNCTION("""COMPUTED_VALUE"""),"")</f>
        <v/>
      </c>
      <c r="AL128" s="2" t="str">
        <f ca="1">IFERROR(__xludf.DUMMYFUNCTION("""COMPUTED_VALUE"""),"")</f>
        <v/>
      </c>
      <c r="AM128" s="2" t="str">
        <f ca="1">IFERROR(__xludf.DUMMYFUNCTION("""COMPUTED_VALUE"""),"")</f>
        <v/>
      </c>
      <c r="AN128" s="2" t="str">
        <f ca="1">IFERROR(__xludf.DUMMYFUNCTION("""COMPUTED_VALUE"""),"")</f>
        <v/>
      </c>
      <c r="AO128" s="2" t="str">
        <f ca="1">IFERROR(__xludf.DUMMYFUNCTION("""COMPUTED_VALUE"""),"")</f>
        <v/>
      </c>
      <c r="AP128" s="2" t="str">
        <f ca="1">IFERROR(__xludf.DUMMYFUNCTION("""COMPUTED_VALUE"""),"")</f>
        <v/>
      </c>
      <c r="AQ128" s="2" t="str">
        <f ca="1">IFERROR(__xludf.DUMMYFUNCTION("""COMPUTED_VALUE"""),"")</f>
        <v/>
      </c>
      <c r="AR128" s="2" t="str">
        <f ca="1">IFERROR(__xludf.DUMMYFUNCTION("""COMPUTED_VALUE"""),"")</f>
        <v/>
      </c>
      <c r="AS128" s="2" t="str">
        <f ca="1">IFERROR(__xludf.DUMMYFUNCTION("""COMPUTED_VALUE"""),"")</f>
        <v/>
      </c>
      <c r="AT128" s="2" t="str">
        <f ca="1">IFERROR(__xludf.DUMMYFUNCTION("""COMPUTED_VALUE"""),"")</f>
        <v/>
      </c>
      <c r="AU128" s="2" t="str">
        <f ca="1">IFERROR(__xludf.DUMMYFUNCTION("""COMPUTED_VALUE"""),"")</f>
        <v/>
      </c>
      <c r="AV128" s="2" t="str">
        <f ca="1">IFERROR(__xludf.DUMMYFUNCTION("""COMPUTED_VALUE"""),"")</f>
        <v/>
      </c>
      <c r="AW128" s="2" t="str">
        <f ca="1">IFERROR(__xludf.DUMMYFUNCTION("""COMPUTED_VALUE"""),"")</f>
        <v/>
      </c>
      <c r="AX128" s="2" t="str">
        <f ca="1">IFERROR(__xludf.DUMMYFUNCTION("""COMPUTED_VALUE"""),"")</f>
        <v/>
      </c>
      <c r="AY128" s="2" t="str">
        <f ca="1">IFERROR(__xludf.DUMMYFUNCTION("""COMPUTED_VALUE"""),"")</f>
        <v/>
      </c>
      <c r="AZ128" s="2" t="str">
        <f ca="1">IFERROR(__xludf.DUMMYFUNCTION("""COMPUTED_VALUE"""),"")</f>
        <v/>
      </c>
      <c r="BA128" s="2" t="str">
        <f ca="1">IFERROR(__xludf.DUMMYFUNCTION("""COMPUTED_VALUE"""),"")</f>
        <v/>
      </c>
      <c r="BB128" s="2" t="str">
        <f ca="1">IFERROR(__xludf.DUMMYFUNCTION("""COMPUTED_VALUE"""),"")</f>
        <v/>
      </c>
      <c r="BC128" s="2" t="str">
        <f ca="1">IFERROR(__xludf.DUMMYFUNCTION("""COMPUTED_VALUE"""),"")</f>
        <v/>
      </c>
      <c r="BD128" s="2" t="str">
        <f ca="1">IFERROR(__xludf.DUMMYFUNCTION("""COMPUTED_VALUE"""),"")</f>
        <v/>
      </c>
      <c r="BE128" s="2" t="str">
        <f ca="1">IFERROR(__xludf.DUMMYFUNCTION("""COMPUTED_VALUE"""),"")</f>
        <v/>
      </c>
      <c r="BF128" t="str">
        <f ca="1">IFERROR(__xludf.DUMMYFUNCTION("""COMPUTED_VALUE"""),"")</f>
        <v/>
      </c>
      <c r="BG128" t="str">
        <f ca="1">IFERROR(__xludf.DUMMYFUNCTION("""COMPUTED_VALUE"""),"")</f>
        <v/>
      </c>
      <c r="BH128" s="2">
        <f ca="1">IFERROR(__xludf.DUMMYFUNCTION("""COMPUTED_VALUE"""),-37.2869492)</f>
        <v>-37.286949200000002</v>
      </c>
      <c r="BI128" s="13">
        <f ca="1">IFERROR(__xludf.DUMMYFUNCTION("""COMPUTED_VALUE"""),175.1505585)</f>
        <v>175.15055849999999</v>
      </c>
      <c r="BJ128" s="9">
        <f ca="1">IFERROR(__xludf.DUMMYFUNCTION("""COMPUTED_VALUE"""),43438)</f>
        <v>43438</v>
      </c>
      <c r="BK128" s="4">
        <f ca="1">IFERROR(__xludf.DUMMYFUNCTION("""COMPUTED_VALUE"""),0.457777777777664)</f>
        <v>0.45777777777766399</v>
      </c>
    </row>
    <row r="129" spans="1:63" ht="12.5" x14ac:dyDescent="0.25">
      <c r="A129" s="7" t="str">
        <f ca="1">IFERROR(__xludf.DUMMYFUNCTION("""COMPUTED_VALUE"""),"")</f>
        <v/>
      </c>
      <c r="B129" s="8" t="str">
        <f ca="1">IFERROR(__xludf.DUMMYFUNCTION("""COMPUTED_VALUE"""),"Waikato")</f>
        <v>Waikato</v>
      </c>
      <c r="C129" s="2">
        <f ca="1">IFERROR(__xludf.DUMMYFUNCTION("""COMPUTED_VALUE"""),64)</f>
        <v>64</v>
      </c>
      <c r="D129" s="9" t="str">
        <f ca="1">IFERROR(__xludf.DUMMYFUNCTION("""COMPUTED_VALUE"""),"")</f>
        <v/>
      </c>
      <c r="E129" s="4" t="str">
        <f ca="1">IFERROR(__xludf.DUMMYFUNCTION("""COMPUTED_VALUE"""),"")</f>
        <v/>
      </c>
      <c r="F129" s="2" t="str">
        <f ca="1">IFERROR(__xludf.DUMMYFUNCTION("""COMPUTED_VALUE"""),"")</f>
        <v/>
      </c>
      <c r="G129" s="2" t="str">
        <f ca="1">IFERROR(__xludf.DUMMYFUNCTION("""COMPUTED_VALUE"""),"GPS: I converted data downloaded from ARGOS using Pinpoint software")</f>
        <v>GPS: I converted data downloaded from ARGOS using Pinpoint software</v>
      </c>
      <c r="H129" s="2" t="str">
        <f ca="1">IFERROR(__xludf.DUMMYFUNCTION("""COMPUTED_VALUE"""),"3D")</f>
        <v>3D</v>
      </c>
      <c r="I129" s="2" t="str">
        <f ca="1">IFERROR(__xludf.DUMMYFUNCTION("""COMPUTED_VALUE"""),"")</f>
        <v/>
      </c>
      <c r="J129" s="2" t="str">
        <f ca="1">IFERROR(__xludf.DUMMYFUNCTION("""COMPUTED_VALUE"""),"")</f>
        <v/>
      </c>
      <c r="K129" s="2" t="str">
        <f ca="1">IFERROR(__xludf.DUMMYFUNCTION("""COMPUTED_VALUE"""),"")</f>
        <v/>
      </c>
      <c r="L129" s="2" t="str">
        <f ca="1">IFERROR(__xludf.DUMMYFUNCTION("""COMPUTED_VALUE"""),"")</f>
        <v/>
      </c>
      <c r="M129" s="5" t="str">
        <f ca="1">IFERROR(__xludf.DUMMYFUNCTION("""COMPUTED_VALUE"""),"")</f>
        <v/>
      </c>
      <c r="N129" s="5" t="str">
        <f ca="1">IFERROR(__xludf.DUMMYFUNCTION("""COMPUTED_VALUE"""),"")</f>
        <v/>
      </c>
      <c r="O129" s="2" t="str">
        <f ca="1">IFERROR(__xludf.DUMMYFUNCTION("""COMPUTED_VALUE"""),"")</f>
        <v/>
      </c>
      <c r="P129" s="2" t="str">
        <f ca="1">IFERROR(__xludf.DUMMYFUNCTION("""COMPUTED_VALUE"""),"")</f>
        <v/>
      </c>
      <c r="Q129" s="2" t="str">
        <f ca="1">IFERROR(__xludf.DUMMYFUNCTION("""COMPUTED_VALUE"""),"")</f>
        <v/>
      </c>
      <c r="R129" s="2" t="str">
        <f ca="1">IFERROR(__xludf.DUMMYFUNCTION("""COMPUTED_VALUE"""),"")</f>
        <v/>
      </c>
      <c r="S129" s="2" t="str">
        <f ca="1">IFERROR(__xludf.DUMMYFUNCTION("""COMPUTED_VALUE"""),"")</f>
        <v/>
      </c>
      <c r="T129" s="2" t="str">
        <f ca="1">IFERROR(__xludf.DUMMYFUNCTION("""COMPUTED_VALUE"""),"")</f>
        <v/>
      </c>
      <c r="U129" s="2" t="str">
        <f ca="1">IFERROR(__xludf.DUMMYFUNCTION("""COMPUTED_VALUE"""),"")</f>
        <v/>
      </c>
      <c r="V129" s="2" t="str">
        <f ca="1">IFERROR(__xludf.DUMMYFUNCTION("""COMPUTED_VALUE"""),"")</f>
        <v/>
      </c>
      <c r="W129" s="2" t="str">
        <f ca="1">IFERROR(__xludf.DUMMYFUNCTION("""COMPUTED_VALUE"""),"")</f>
        <v/>
      </c>
      <c r="X129" s="2" t="str">
        <f ca="1">IFERROR(__xludf.DUMMYFUNCTION("""COMPUTED_VALUE"""),"")</f>
        <v/>
      </c>
      <c r="Y129" s="2" t="str">
        <f ca="1">IFERROR(__xludf.DUMMYFUNCTION("""COMPUTED_VALUE"""),"")</f>
        <v/>
      </c>
      <c r="Z129" s="2" t="str">
        <f ca="1">IFERROR(__xludf.DUMMYFUNCTION("""COMPUTED_VALUE"""),"")</f>
        <v/>
      </c>
      <c r="AA129" s="2" t="str">
        <f ca="1">IFERROR(__xludf.DUMMYFUNCTION("""COMPUTED_VALUE"""),"")</f>
        <v/>
      </c>
      <c r="AB129" s="2" t="str">
        <f ca="1">IFERROR(__xludf.DUMMYFUNCTION("""COMPUTED_VALUE"""),"")</f>
        <v/>
      </c>
      <c r="AC129" s="2" t="str">
        <f ca="1">IFERROR(__xludf.DUMMYFUNCTION("""COMPUTED_VALUE"""),"")</f>
        <v/>
      </c>
      <c r="AD129" s="2" t="str">
        <f ca="1">IFERROR(__xludf.DUMMYFUNCTION("""COMPUTED_VALUE"""),"")</f>
        <v/>
      </c>
      <c r="AE129" s="2" t="str">
        <f ca="1">IFERROR(__xludf.DUMMYFUNCTION("""COMPUTED_VALUE"""),"")</f>
        <v/>
      </c>
      <c r="AF129" s="2" t="str">
        <f ca="1">IFERROR(__xludf.DUMMYFUNCTION("""COMPUTED_VALUE"""),"")</f>
        <v/>
      </c>
      <c r="AG129" s="2" t="str">
        <f ca="1">IFERROR(__xludf.DUMMYFUNCTION("""COMPUTED_VALUE"""),"")</f>
        <v/>
      </c>
      <c r="AH129" s="2" t="str">
        <f ca="1">IFERROR(__xludf.DUMMYFUNCTION("""COMPUTED_VALUE"""),"")</f>
        <v/>
      </c>
      <c r="AI129" s="2" t="str">
        <f ca="1">IFERROR(__xludf.DUMMYFUNCTION("""COMPUTED_VALUE"""),"")</f>
        <v/>
      </c>
      <c r="AJ129" s="2" t="str">
        <f ca="1">IFERROR(__xludf.DUMMYFUNCTION("""COMPUTED_VALUE"""),"")</f>
        <v/>
      </c>
      <c r="AK129" s="2" t="str">
        <f ca="1">IFERROR(__xludf.DUMMYFUNCTION("""COMPUTED_VALUE"""),"")</f>
        <v/>
      </c>
      <c r="AL129" s="2" t="str">
        <f ca="1">IFERROR(__xludf.DUMMYFUNCTION("""COMPUTED_VALUE"""),"")</f>
        <v/>
      </c>
      <c r="AM129" s="2" t="str">
        <f ca="1">IFERROR(__xludf.DUMMYFUNCTION("""COMPUTED_VALUE"""),"")</f>
        <v/>
      </c>
      <c r="AN129" s="2" t="str">
        <f ca="1">IFERROR(__xludf.DUMMYFUNCTION("""COMPUTED_VALUE"""),"")</f>
        <v/>
      </c>
      <c r="AO129" s="2" t="str">
        <f ca="1">IFERROR(__xludf.DUMMYFUNCTION("""COMPUTED_VALUE"""),"")</f>
        <v/>
      </c>
      <c r="AP129" s="2" t="str">
        <f ca="1">IFERROR(__xludf.DUMMYFUNCTION("""COMPUTED_VALUE"""),"")</f>
        <v/>
      </c>
      <c r="AQ129" s="2" t="str">
        <f ca="1">IFERROR(__xludf.DUMMYFUNCTION("""COMPUTED_VALUE"""),"")</f>
        <v/>
      </c>
      <c r="AR129" s="2" t="str">
        <f ca="1">IFERROR(__xludf.DUMMYFUNCTION("""COMPUTED_VALUE"""),"")</f>
        <v/>
      </c>
      <c r="AS129" s="2" t="str">
        <f ca="1">IFERROR(__xludf.DUMMYFUNCTION("""COMPUTED_VALUE"""),"")</f>
        <v/>
      </c>
      <c r="AT129" s="2" t="str">
        <f ca="1">IFERROR(__xludf.DUMMYFUNCTION("""COMPUTED_VALUE"""),"")</f>
        <v/>
      </c>
      <c r="AU129" s="2" t="str">
        <f ca="1">IFERROR(__xludf.DUMMYFUNCTION("""COMPUTED_VALUE"""),"")</f>
        <v/>
      </c>
      <c r="AV129" s="2" t="str">
        <f ca="1">IFERROR(__xludf.DUMMYFUNCTION("""COMPUTED_VALUE"""),"")</f>
        <v/>
      </c>
      <c r="AW129" s="2" t="str">
        <f ca="1">IFERROR(__xludf.DUMMYFUNCTION("""COMPUTED_VALUE"""),"")</f>
        <v/>
      </c>
      <c r="AX129" s="2" t="str">
        <f ca="1">IFERROR(__xludf.DUMMYFUNCTION("""COMPUTED_VALUE"""),"")</f>
        <v/>
      </c>
      <c r="AY129" s="2" t="str">
        <f ca="1">IFERROR(__xludf.DUMMYFUNCTION("""COMPUTED_VALUE"""),"")</f>
        <v/>
      </c>
      <c r="AZ129" s="2" t="str">
        <f ca="1">IFERROR(__xludf.DUMMYFUNCTION("""COMPUTED_VALUE"""),"")</f>
        <v/>
      </c>
      <c r="BA129" s="2" t="str">
        <f ca="1">IFERROR(__xludf.DUMMYFUNCTION("""COMPUTED_VALUE"""),"")</f>
        <v/>
      </c>
      <c r="BB129" s="2" t="str">
        <f ca="1">IFERROR(__xludf.DUMMYFUNCTION("""COMPUTED_VALUE"""),"")</f>
        <v/>
      </c>
      <c r="BC129" s="2" t="str">
        <f ca="1">IFERROR(__xludf.DUMMYFUNCTION("""COMPUTED_VALUE"""),"")</f>
        <v/>
      </c>
      <c r="BD129" s="2" t="str">
        <f ca="1">IFERROR(__xludf.DUMMYFUNCTION("""COMPUTED_VALUE"""),"")</f>
        <v/>
      </c>
      <c r="BE129" s="2" t="str">
        <f ca="1">IFERROR(__xludf.DUMMYFUNCTION("""COMPUTED_VALUE"""),"")</f>
        <v/>
      </c>
      <c r="BF129" t="str">
        <f ca="1">IFERROR(__xludf.DUMMYFUNCTION("""COMPUTED_VALUE"""),"")</f>
        <v/>
      </c>
      <c r="BG129" t="str">
        <f ca="1">IFERROR(__xludf.DUMMYFUNCTION("""COMPUTED_VALUE"""),"")</f>
        <v/>
      </c>
      <c r="BH129" s="2">
        <f ca="1">IFERROR(__xludf.DUMMYFUNCTION("""COMPUTED_VALUE"""),-37.3468285)</f>
        <v>-37.346828500000001</v>
      </c>
      <c r="BI129" s="12">
        <f ca="1">IFERROR(__xludf.DUMMYFUNCTION("""COMPUTED_VALUE"""),175.1743164)</f>
        <v>175.17431640000001</v>
      </c>
      <c r="BJ129" s="9">
        <f ca="1">IFERROR(__xludf.DUMMYFUNCTION("""COMPUTED_VALUE"""),43438)</f>
        <v>43438</v>
      </c>
      <c r="BK129" s="4">
        <f ca="1">IFERROR(__xludf.DUMMYFUNCTION("""COMPUTED_VALUE"""),0.958518518516939)</f>
        <v>0.95851851851693903</v>
      </c>
    </row>
    <row r="130" spans="1:63" ht="12.5" x14ac:dyDescent="0.25">
      <c r="A130" s="7" t="str">
        <f ca="1">IFERROR(__xludf.DUMMYFUNCTION("""COMPUTED_VALUE"""),"")</f>
        <v/>
      </c>
      <c r="B130" s="8" t="str">
        <f ca="1">IFERROR(__xludf.DUMMYFUNCTION("""COMPUTED_VALUE"""),"Waikato")</f>
        <v>Waikato</v>
      </c>
      <c r="C130" s="2">
        <f ca="1">IFERROR(__xludf.DUMMYFUNCTION("""COMPUTED_VALUE"""),64)</f>
        <v>64</v>
      </c>
      <c r="D130" s="9" t="str">
        <f ca="1">IFERROR(__xludf.DUMMYFUNCTION("""COMPUTED_VALUE"""),"")</f>
        <v/>
      </c>
      <c r="E130" s="4" t="str">
        <f ca="1">IFERROR(__xludf.DUMMYFUNCTION("""COMPUTED_VALUE"""),"")</f>
        <v/>
      </c>
      <c r="F130" s="2" t="str">
        <f ca="1">IFERROR(__xludf.DUMMYFUNCTION("""COMPUTED_VALUE"""),"")</f>
        <v/>
      </c>
      <c r="G130" s="2" t="str">
        <f ca="1">IFERROR(__xludf.DUMMYFUNCTION("""COMPUTED_VALUE"""),"GPS: I converted data downloaded from ARGOS using Pinpoint software")</f>
        <v>GPS: I converted data downloaded from ARGOS using Pinpoint software</v>
      </c>
      <c r="H130" s="2" t="str">
        <f ca="1">IFERROR(__xludf.DUMMYFUNCTION("""COMPUTED_VALUE"""),"3D")</f>
        <v>3D</v>
      </c>
      <c r="I130" s="2" t="str">
        <f ca="1">IFERROR(__xludf.DUMMYFUNCTION("""COMPUTED_VALUE"""),"")</f>
        <v/>
      </c>
      <c r="J130" s="2" t="str">
        <f ca="1">IFERROR(__xludf.DUMMYFUNCTION("""COMPUTED_VALUE"""),"")</f>
        <v/>
      </c>
      <c r="K130" s="2" t="str">
        <f ca="1">IFERROR(__xludf.DUMMYFUNCTION("""COMPUTED_VALUE"""),"")</f>
        <v/>
      </c>
      <c r="L130" s="2" t="str">
        <f ca="1">IFERROR(__xludf.DUMMYFUNCTION("""COMPUTED_VALUE"""),"")</f>
        <v/>
      </c>
      <c r="M130" s="5" t="str">
        <f ca="1">IFERROR(__xludf.DUMMYFUNCTION("""COMPUTED_VALUE"""),"")</f>
        <v/>
      </c>
      <c r="N130" s="5" t="str">
        <f ca="1">IFERROR(__xludf.DUMMYFUNCTION("""COMPUTED_VALUE"""),"")</f>
        <v/>
      </c>
      <c r="O130" s="2" t="str">
        <f ca="1">IFERROR(__xludf.DUMMYFUNCTION("""COMPUTED_VALUE"""),"")</f>
        <v/>
      </c>
      <c r="P130" s="2" t="str">
        <f ca="1">IFERROR(__xludf.DUMMYFUNCTION("""COMPUTED_VALUE"""),"")</f>
        <v/>
      </c>
      <c r="Q130" s="2" t="str">
        <f ca="1">IFERROR(__xludf.DUMMYFUNCTION("""COMPUTED_VALUE"""),"")</f>
        <v/>
      </c>
      <c r="R130" s="2" t="str">
        <f ca="1">IFERROR(__xludf.DUMMYFUNCTION("""COMPUTED_VALUE"""),"")</f>
        <v/>
      </c>
      <c r="S130" s="2" t="str">
        <f ca="1">IFERROR(__xludf.DUMMYFUNCTION("""COMPUTED_VALUE"""),"")</f>
        <v/>
      </c>
      <c r="T130" s="2" t="str">
        <f ca="1">IFERROR(__xludf.DUMMYFUNCTION("""COMPUTED_VALUE"""),"")</f>
        <v/>
      </c>
      <c r="U130" s="2" t="str">
        <f ca="1">IFERROR(__xludf.DUMMYFUNCTION("""COMPUTED_VALUE"""),"")</f>
        <v/>
      </c>
      <c r="V130" s="2" t="str">
        <f ca="1">IFERROR(__xludf.DUMMYFUNCTION("""COMPUTED_VALUE"""),"")</f>
        <v/>
      </c>
      <c r="W130" s="2" t="str">
        <f ca="1">IFERROR(__xludf.DUMMYFUNCTION("""COMPUTED_VALUE"""),"")</f>
        <v/>
      </c>
      <c r="X130" s="2" t="str">
        <f ca="1">IFERROR(__xludf.DUMMYFUNCTION("""COMPUTED_VALUE"""),"")</f>
        <v/>
      </c>
      <c r="Y130" s="2" t="str">
        <f ca="1">IFERROR(__xludf.DUMMYFUNCTION("""COMPUTED_VALUE"""),"")</f>
        <v/>
      </c>
      <c r="Z130" s="2" t="str">
        <f ca="1">IFERROR(__xludf.DUMMYFUNCTION("""COMPUTED_VALUE"""),"")</f>
        <v/>
      </c>
      <c r="AA130" s="2" t="str">
        <f ca="1">IFERROR(__xludf.DUMMYFUNCTION("""COMPUTED_VALUE"""),"")</f>
        <v/>
      </c>
      <c r="AB130" s="2" t="str">
        <f ca="1">IFERROR(__xludf.DUMMYFUNCTION("""COMPUTED_VALUE"""),"")</f>
        <v/>
      </c>
      <c r="AC130" s="2" t="str">
        <f ca="1">IFERROR(__xludf.DUMMYFUNCTION("""COMPUTED_VALUE"""),"")</f>
        <v/>
      </c>
      <c r="AD130" s="2" t="str">
        <f ca="1">IFERROR(__xludf.DUMMYFUNCTION("""COMPUTED_VALUE"""),"")</f>
        <v/>
      </c>
      <c r="AE130" s="2" t="str">
        <f ca="1">IFERROR(__xludf.DUMMYFUNCTION("""COMPUTED_VALUE"""),"")</f>
        <v/>
      </c>
      <c r="AF130" s="2" t="str">
        <f ca="1">IFERROR(__xludf.DUMMYFUNCTION("""COMPUTED_VALUE"""),"")</f>
        <v/>
      </c>
      <c r="AG130" s="2" t="str">
        <f ca="1">IFERROR(__xludf.DUMMYFUNCTION("""COMPUTED_VALUE"""),"")</f>
        <v/>
      </c>
      <c r="AH130" s="2" t="str">
        <f ca="1">IFERROR(__xludf.DUMMYFUNCTION("""COMPUTED_VALUE"""),"")</f>
        <v/>
      </c>
      <c r="AI130" s="2" t="str">
        <f ca="1">IFERROR(__xludf.DUMMYFUNCTION("""COMPUTED_VALUE"""),"")</f>
        <v/>
      </c>
      <c r="AJ130" s="2" t="str">
        <f ca="1">IFERROR(__xludf.DUMMYFUNCTION("""COMPUTED_VALUE"""),"")</f>
        <v/>
      </c>
      <c r="AK130" s="2" t="str">
        <f ca="1">IFERROR(__xludf.DUMMYFUNCTION("""COMPUTED_VALUE"""),"")</f>
        <v/>
      </c>
      <c r="AL130" s="2" t="str">
        <f ca="1">IFERROR(__xludf.DUMMYFUNCTION("""COMPUTED_VALUE"""),"")</f>
        <v/>
      </c>
      <c r="AM130" s="2" t="str">
        <f ca="1">IFERROR(__xludf.DUMMYFUNCTION("""COMPUTED_VALUE"""),"")</f>
        <v/>
      </c>
      <c r="AN130" s="2" t="str">
        <f ca="1">IFERROR(__xludf.DUMMYFUNCTION("""COMPUTED_VALUE"""),"")</f>
        <v/>
      </c>
      <c r="AO130" s="2" t="str">
        <f ca="1">IFERROR(__xludf.DUMMYFUNCTION("""COMPUTED_VALUE"""),"")</f>
        <v/>
      </c>
      <c r="AP130" s="2" t="str">
        <f ca="1">IFERROR(__xludf.DUMMYFUNCTION("""COMPUTED_VALUE"""),"")</f>
        <v/>
      </c>
      <c r="AQ130" s="2" t="str">
        <f ca="1">IFERROR(__xludf.DUMMYFUNCTION("""COMPUTED_VALUE"""),"")</f>
        <v/>
      </c>
      <c r="AR130" s="2" t="str">
        <f ca="1">IFERROR(__xludf.DUMMYFUNCTION("""COMPUTED_VALUE"""),"")</f>
        <v/>
      </c>
      <c r="AS130" s="2" t="str">
        <f ca="1">IFERROR(__xludf.DUMMYFUNCTION("""COMPUTED_VALUE"""),"")</f>
        <v/>
      </c>
      <c r="AT130" s="2" t="str">
        <f ca="1">IFERROR(__xludf.DUMMYFUNCTION("""COMPUTED_VALUE"""),"")</f>
        <v/>
      </c>
      <c r="AU130" s="2" t="str">
        <f ca="1">IFERROR(__xludf.DUMMYFUNCTION("""COMPUTED_VALUE"""),"")</f>
        <v/>
      </c>
      <c r="AV130" s="2" t="str">
        <f ca="1">IFERROR(__xludf.DUMMYFUNCTION("""COMPUTED_VALUE"""),"")</f>
        <v/>
      </c>
      <c r="AW130" s="2" t="str">
        <f ca="1">IFERROR(__xludf.DUMMYFUNCTION("""COMPUTED_VALUE"""),"")</f>
        <v/>
      </c>
      <c r="AX130" s="2" t="str">
        <f ca="1">IFERROR(__xludf.DUMMYFUNCTION("""COMPUTED_VALUE"""),"")</f>
        <v/>
      </c>
      <c r="AY130" s="2" t="str">
        <f ca="1">IFERROR(__xludf.DUMMYFUNCTION("""COMPUTED_VALUE"""),"")</f>
        <v/>
      </c>
      <c r="AZ130" s="2" t="str">
        <f ca="1">IFERROR(__xludf.DUMMYFUNCTION("""COMPUTED_VALUE"""),"")</f>
        <v/>
      </c>
      <c r="BA130" s="2" t="str">
        <f ca="1">IFERROR(__xludf.DUMMYFUNCTION("""COMPUTED_VALUE"""),"")</f>
        <v/>
      </c>
      <c r="BB130" s="2" t="str">
        <f ca="1">IFERROR(__xludf.DUMMYFUNCTION("""COMPUTED_VALUE"""),"")</f>
        <v/>
      </c>
      <c r="BC130" s="2" t="str">
        <f ca="1">IFERROR(__xludf.DUMMYFUNCTION("""COMPUTED_VALUE"""),"")</f>
        <v/>
      </c>
      <c r="BD130" s="2" t="str">
        <f ca="1">IFERROR(__xludf.DUMMYFUNCTION("""COMPUTED_VALUE"""),"")</f>
        <v/>
      </c>
      <c r="BE130" s="2" t="str">
        <f ca="1">IFERROR(__xludf.DUMMYFUNCTION("""COMPUTED_VALUE"""),"")</f>
        <v/>
      </c>
      <c r="BF130" t="str">
        <f ca="1">IFERROR(__xludf.DUMMYFUNCTION("""COMPUTED_VALUE"""),"")</f>
        <v/>
      </c>
      <c r="BG130" t="str">
        <f ca="1">IFERROR(__xludf.DUMMYFUNCTION("""COMPUTED_VALUE"""),"")</f>
        <v/>
      </c>
      <c r="BH130" s="2">
        <f ca="1">IFERROR(__xludf.DUMMYFUNCTION("""COMPUTED_VALUE"""),-37.3358459)</f>
        <v>-37.335845900000002</v>
      </c>
      <c r="BI130" s="13">
        <f ca="1">IFERROR(__xludf.DUMMYFUNCTION("""COMPUTED_VALUE"""),175.1707764)</f>
        <v>175.17077639999999</v>
      </c>
      <c r="BJ130" s="9">
        <f ca="1">IFERROR(__xludf.DUMMYFUNCTION("""COMPUTED_VALUE"""),43440)</f>
        <v>43440</v>
      </c>
      <c r="BK130" s="4">
        <f ca="1">IFERROR(__xludf.DUMMYFUNCTION("""COMPUTED_VALUE"""),0.457777777777664)</f>
        <v>0.45777777777766399</v>
      </c>
    </row>
    <row r="131" spans="1:63" ht="12.5" x14ac:dyDescent="0.25">
      <c r="A131" s="7" t="str">
        <f ca="1">IFERROR(__xludf.DUMMYFUNCTION("""COMPUTED_VALUE"""),"")</f>
        <v/>
      </c>
      <c r="B131" s="8" t="str">
        <f ca="1">IFERROR(__xludf.DUMMYFUNCTION("""COMPUTED_VALUE"""),"Waikato")</f>
        <v>Waikato</v>
      </c>
      <c r="C131" s="2">
        <f ca="1">IFERROR(__xludf.DUMMYFUNCTION("""COMPUTED_VALUE"""),64)</f>
        <v>64</v>
      </c>
      <c r="D131" s="9" t="str">
        <f ca="1">IFERROR(__xludf.DUMMYFUNCTION("""COMPUTED_VALUE"""),"")</f>
        <v/>
      </c>
      <c r="E131" s="4" t="str">
        <f ca="1">IFERROR(__xludf.DUMMYFUNCTION("""COMPUTED_VALUE"""),"")</f>
        <v/>
      </c>
      <c r="F131" s="2" t="str">
        <f ca="1">IFERROR(__xludf.DUMMYFUNCTION("""COMPUTED_VALUE"""),"")</f>
        <v/>
      </c>
      <c r="G131" s="2" t="str">
        <f ca="1">IFERROR(__xludf.DUMMYFUNCTION("""COMPUTED_VALUE"""),"GPS: I converted data downloaded from ARGOS using Pinpoint software")</f>
        <v>GPS: I converted data downloaded from ARGOS using Pinpoint software</v>
      </c>
      <c r="H131" s="2" t="str">
        <f ca="1">IFERROR(__xludf.DUMMYFUNCTION("""COMPUTED_VALUE"""),"3D")</f>
        <v>3D</v>
      </c>
      <c r="I131" s="2" t="str">
        <f ca="1">IFERROR(__xludf.DUMMYFUNCTION("""COMPUTED_VALUE"""),"")</f>
        <v/>
      </c>
      <c r="J131" s="2" t="str">
        <f ca="1">IFERROR(__xludf.DUMMYFUNCTION("""COMPUTED_VALUE"""),"")</f>
        <v/>
      </c>
      <c r="K131" s="2" t="str">
        <f ca="1">IFERROR(__xludf.DUMMYFUNCTION("""COMPUTED_VALUE"""),"")</f>
        <v/>
      </c>
      <c r="L131" s="2" t="str">
        <f ca="1">IFERROR(__xludf.DUMMYFUNCTION("""COMPUTED_VALUE"""),"")</f>
        <v/>
      </c>
      <c r="M131" s="5" t="str">
        <f ca="1">IFERROR(__xludf.DUMMYFUNCTION("""COMPUTED_VALUE"""),"")</f>
        <v/>
      </c>
      <c r="N131" s="5" t="str">
        <f ca="1">IFERROR(__xludf.DUMMYFUNCTION("""COMPUTED_VALUE"""),"")</f>
        <v/>
      </c>
      <c r="O131" s="2" t="str">
        <f ca="1">IFERROR(__xludf.DUMMYFUNCTION("""COMPUTED_VALUE"""),"")</f>
        <v/>
      </c>
      <c r="P131" s="2" t="str">
        <f ca="1">IFERROR(__xludf.DUMMYFUNCTION("""COMPUTED_VALUE"""),"")</f>
        <v/>
      </c>
      <c r="Q131" s="2" t="str">
        <f ca="1">IFERROR(__xludf.DUMMYFUNCTION("""COMPUTED_VALUE"""),"")</f>
        <v/>
      </c>
      <c r="R131" s="2" t="str">
        <f ca="1">IFERROR(__xludf.DUMMYFUNCTION("""COMPUTED_VALUE"""),"")</f>
        <v/>
      </c>
      <c r="S131" s="2" t="str">
        <f ca="1">IFERROR(__xludf.DUMMYFUNCTION("""COMPUTED_VALUE"""),"")</f>
        <v/>
      </c>
      <c r="T131" s="2" t="str">
        <f ca="1">IFERROR(__xludf.DUMMYFUNCTION("""COMPUTED_VALUE"""),"")</f>
        <v/>
      </c>
      <c r="U131" s="2" t="str">
        <f ca="1">IFERROR(__xludf.DUMMYFUNCTION("""COMPUTED_VALUE"""),"")</f>
        <v/>
      </c>
      <c r="V131" s="2" t="str">
        <f ca="1">IFERROR(__xludf.DUMMYFUNCTION("""COMPUTED_VALUE"""),"")</f>
        <v/>
      </c>
      <c r="W131" s="2" t="str">
        <f ca="1">IFERROR(__xludf.DUMMYFUNCTION("""COMPUTED_VALUE"""),"")</f>
        <v/>
      </c>
      <c r="X131" s="2" t="str">
        <f ca="1">IFERROR(__xludf.DUMMYFUNCTION("""COMPUTED_VALUE"""),"")</f>
        <v/>
      </c>
      <c r="Y131" s="2" t="str">
        <f ca="1">IFERROR(__xludf.DUMMYFUNCTION("""COMPUTED_VALUE"""),"")</f>
        <v/>
      </c>
      <c r="Z131" s="2" t="str">
        <f ca="1">IFERROR(__xludf.DUMMYFUNCTION("""COMPUTED_VALUE"""),"")</f>
        <v/>
      </c>
      <c r="AA131" s="2" t="str">
        <f ca="1">IFERROR(__xludf.DUMMYFUNCTION("""COMPUTED_VALUE"""),"")</f>
        <v/>
      </c>
      <c r="AB131" s="2" t="str">
        <f ca="1">IFERROR(__xludf.DUMMYFUNCTION("""COMPUTED_VALUE"""),"")</f>
        <v/>
      </c>
      <c r="AC131" s="2" t="str">
        <f ca="1">IFERROR(__xludf.DUMMYFUNCTION("""COMPUTED_VALUE"""),"")</f>
        <v/>
      </c>
      <c r="AD131" s="2" t="str">
        <f ca="1">IFERROR(__xludf.DUMMYFUNCTION("""COMPUTED_VALUE"""),"")</f>
        <v/>
      </c>
      <c r="AE131" s="2" t="str">
        <f ca="1">IFERROR(__xludf.DUMMYFUNCTION("""COMPUTED_VALUE"""),"")</f>
        <v/>
      </c>
      <c r="AF131" s="2" t="str">
        <f ca="1">IFERROR(__xludf.DUMMYFUNCTION("""COMPUTED_VALUE"""),"")</f>
        <v/>
      </c>
      <c r="AG131" s="2" t="str">
        <f ca="1">IFERROR(__xludf.DUMMYFUNCTION("""COMPUTED_VALUE"""),"")</f>
        <v/>
      </c>
      <c r="AH131" s="2" t="str">
        <f ca="1">IFERROR(__xludf.DUMMYFUNCTION("""COMPUTED_VALUE"""),"")</f>
        <v/>
      </c>
      <c r="AI131" s="2" t="str">
        <f ca="1">IFERROR(__xludf.DUMMYFUNCTION("""COMPUTED_VALUE"""),"")</f>
        <v/>
      </c>
      <c r="AJ131" s="2" t="str">
        <f ca="1">IFERROR(__xludf.DUMMYFUNCTION("""COMPUTED_VALUE"""),"")</f>
        <v/>
      </c>
      <c r="AK131" s="2" t="str">
        <f ca="1">IFERROR(__xludf.DUMMYFUNCTION("""COMPUTED_VALUE"""),"")</f>
        <v/>
      </c>
      <c r="AL131" s="2" t="str">
        <f ca="1">IFERROR(__xludf.DUMMYFUNCTION("""COMPUTED_VALUE"""),"")</f>
        <v/>
      </c>
      <c r="AM131" s="2" t="str">
        <f ca="1">IFERROR(__xludf.DUMMYFUNCTION("""COMPUTED_VALUE"""),"")</f>
        <v/>
      </c>
      <c r="AN131" s="2" t="str">
        <f ca="1">IFERROR(__xludf.DUMMYFUNCTION("""COMPUTED_VALUE"""),"")</f>
        <v/>
      </c>
      <c r="AO131" s="2" t="str">
        <f ca="1">IFERROR(__xludf.DUMMYFUNCTION("""COMPUTED_VALUE"""),"")</f>
        <v/>
      </c>
      <c r="AP131" s="2" t="str">
        <f ca="1">IFERROR(__xludf.DUMMYFUNCTION("""COMPUTED_VALUE"""),"")</f>
        <v/>
      </c>
      <c r="AQ131" s="2" t="str">
        <f ca="1">IFERROR(__xludf.DUMMYFUNCTION("""COMPUTED_VALUE"""),"")</f>
        <v/>
      </c>
      <c r="AR131" s="2" t="str">
        <f ca="1">IFERROR(__xludf.DUMMYFUNCTION("""COMPUTED_VALUE"""),"")</f>
        <v/>
      </c>
      <c r="AS131" s="2" t="str">
        <f ca="1">IFERROR(__xludf.DUMMYFUNCTION("""COMPUTED_VALUE"""),"")</f>
        <v/>
      </c>
      <c r="AT131" s="2" t="str">
        <f ca="1">IFERROR(__xludf.DUMMYFUNCTION("""COMPUTED_VALUE"""),"")</f>
        <v/>
      </c>
      <c r="AU131" s="2" t="str">
        <f ca="1">IFERROR(__xludf.DUMMYFUNCTION("""COMPUTED_VALUE"""),"")</f>
        <v/>
      </c>
      <c r="AV131" s="2" t="str">
        <f ca="1">IFERROR(__xludf.DUMMYFUNCTION("""COMPUTED_VALUE"""),"")</f>
        <v/>
      </c>
      <c r="AW131" s="2" t="str">
        <f ca="1">IFERROR(__xludf.DUMMYFUNCTION("""COMPUTED_VALUE"""),"")</f>
        <v/>
      </c>
      <c r="AX131" s="2" t="str">
        <f ca="1">IFERROR(__xludf.DUMMYFUNCTION("""COMPUTED_VALUE"""),"")</f>
        <v/>
      </c>
      <c r="AY131" s="2" t="str">
        <f ca="1">IFERROR(__xludf.DUMMYFUNCTION("""COMPUTED_VALUE"""),"")</f>
        <v/>
      </c>
      <c r="AZ131" s="2" t="str">
        <f ca="1">IFERROR(__xludf.DUMMYFUNCTION("""COMPUTED_VALUE"""),"")</f>
        <v/>
      </c>
      <c r="BA131" s="2" t="str">
        <f ca="1">IFERROR(__xludf.DUMMYFUNCTION("""COMPUTED_VALUE"""),"")</f>
        <v/>
      </c>
      <c r="BB131" s="2" t="str">
        <f ca="1">IFERROR(__xludf.DUMMYFUNCTION("""COMPUTED_VALUE"""),"")</f>
        <v/>
      </c>
      <c r="BC131" s="2" t="str">
        <f ca="1">IFERROR(__xludf.DUMMYFUNCTION("""COMPUTED_VALUE"""),"")</f>
        <v/>
      </c>
      <c r="BD131" s="2" t="str">
        <f ca="1">IFERROR(__xludf.DUMMYFUNCTION("""COMPUTED_VALUE"""),"")</f>
        <v/>
      </c>
      <c r="BE131" s="2" t="str">
        <f ca="1">IFERROR(__xludf.DUMMYFUNCTION("""COMPUTED_VALUE"""),"")</f>
        <v/>
      </c>
      <c r="BF131" t="str">
        <f ca="1">IFERROR(__xludf.DUMMYFUNCTION("""COMPUTED_VALUE"""),"")</f>
        <v/>
      </c>
      <c r="BG131" t="str">
        <f ca="1">IFERROR(__xludf.DUMMYFUNCTION("""COMPUTED_VALUE"""),"")</f>
        <v/>
      </c>
      <c r="BH131" s="2">
        <f ca="1">IFERROR(__xludf.DUMMYFUNCTION("""COMPUTED_VALUE"""),-37.3454971)</f>
        <v>-37.345497100000003</v>
      </c>
      <c r="BI131" s="12">
        <f ca="1">IFERROR(__xludf.DUMMYFUNCTION("""COMPUTED_VALUE"""),175.170166)</f>
        <v>175.17016599999999</v>
      </c>
      <c r="BJ131" s="9">
        <f ca="1">IFERROR(__xludf.DUMMYFUNCTION("""COMPUTED_VALUE"""),43440)</f>
        <v>43440</v>
      </c>
      <c r="BK131" s="4">
        <f ca="1">IFERROR(__xludf.DUMMYFUNCTION("""COMPUTED_VALUE"""),0.958518518516939)</f>
        <v>0.95851851851693903</v>
      </c>
    </row>
    <row r="132" spans="1:63" ht="12.5" x14ac:dyDescent="0.25">
      <c r="A132" s="7" t="str">
        <f ca="1">IFERROR(__xludf.DUMMYFUNCTION("""COMPUTED_VALUE"""),"")</f>
        <v/>
      </c>
      <c r="B132" s="8" t="str">
        <f ca="1">IFERROR(__xludf.DUMMYFUNCTION("""COMPUTED_VALUE"""),"Waikato")</f>
        <v>Waikato</v>
      </c>
      <c r="C132" s="2">
        <f ca="1">IFERROR(__xludf.DUMMYFUNCTION("""COMPUTED_VALUE"""),64)</f>
        <v>64</v>
      </c>
      <c r="D132" s="9" t="str">
        <f ca="1">IFERROR(__xludf.DUMMYFUNCTION("""COMPUTED_VALUE"""),"")</f>
        <v/>
      </c>
      <c r="E132" s="4" t="str">
        <f ca="1">IFERROR(__xludf.DUMMYFUNCTION("""COMPUTED_VALUE"""),"")</f>
        <v/>
      </c>
      <c r="F132" s="2" t="str">
        <f ca="1">IFERROR(__xludf.DUMMYFUNCTION("""COMPUTED_VALUE"""),"")</f>
        <v/>
      </c>
      <c r="G132" s="2" t="str">
        <f ca="1">IFERROR(__xludf.DUMMYFUNCTION("""COMPUTED_VALUE"""),"GPS: I converted data downloaded from ARGOS using Pinpoint software")</f>
        <v>GPS: I converted data downloaded from ARGOS using Pinpoint software</v>
      </c>
      <c r="H132" s="2" t="str">
        <f ca="1">IFERROR(__xludf.DUMMYFUNCTION("""COMPUTED_VALUE"""),"3D")</f>
        <v>3D</v>
      </c>
      <c r="I132" s="2" t="str">
        <f ca="1">IFERROR(__xludf.DUMMYFUNCTION("""COMPUTED_VALUE"""),"")</f>
        <v/>
      </c>
      <c r="J132" s="2" t="str">
        <f ca="1">IFERROR(__xludf.DUMMYFUNCTION("""COMPUTED_VALUE"""),"")</f>
        <v/>
      </c>
      <c r="K132" s="2" t="str">
        <f ca="1">IFERROR(__xludf.DUMMYFUNCTION("""COMPUTED_VALUE"""),"")</f>
        <v/>
      </c>
      <c r="L132" s="2" t="str">
        <f ca="1">IFERROR(__xludf.DUMMYFUNCTION("""COMPUTED_VALUE"""),"")</f>
        <v/>
      </c>
      <c r="M132" s="5" t="str">
        <f ca="1">IFERROR(__xludf.DUMMYFUNCTION("""COMPUTED_VALUE"""),"")</f>
        <v/>
      </c>
      <c r="N132" s="5" t="str">
        <f ca="1">IFERROR(__xludf.DUMMYFUNCTION("""COMPUTED_VALUE"""),"")</f>
        <v/>
      </c>
      <c r="O132" s="2" t="str">
        <f ca="1">IFERROR(__xludf.DUMMYFUNCTION("""COMPUTED_VALUE"""),"")</f>
        <v/>
      </c>
      <c r="P132" s="2" t="str">
        <f ca="1">IFERROR(__xludf.DUMMYFUNCTION("""COMPUTED_VALUE"""),"")</f>
        <v/>
      </c>
      <c r="Q132" s="2" t="str">
        <f ca="1">IFERROR(__xludf.DUMMYFUNCTION("""COMPUTED_VALUE"""),"")</f>
        <v/>
      </c>
      <c r="R132" s="2" t="str">
        <f ca="1">IFERROR(__xludf.DUMMYFUNCTION("""COMPUTED_VALUE"""),"")</f>
        <v/>
      </c>
      <c r="S132" s="2" t="str">
        <f ca="1">IFERROR(__xludf.DUMMYFUNCTION("""COMPUTED_VALUE"""),"")</f>
        <v/>
      </c>
      <c r="T132" s="2" t="str">
        <f ca="1">IFERROR(__xludf.DUMMYFUNCTION("""COMPUTED_VALUE"""),"")</f>
        <v/>
      </c>
      <c r="U132" s="2" t="str">
        <f ca="1">IFERROR(__xludf.DUMMYFUNCTION("""COMPUTED_VALUE"""),"")</f>
        <v/>
      </c>
      <c r="V132" s="2" t="str">
        <f ca="1">IFERROR(__xludf.DUMMYFUNCTION("""COMPUTED_VALUE"""),"")</f>
        <v/>
      </c>
      <c r="W132" s="2" t="str">
        <f ca="1">IFERROR(__xludf.DUMMYFUNCTION("""COMPUTED_VALUE"""),"")</f>
        <v/>
      </c>
      <c r="X132" s="2" t="str">
        <f ca="1">IFERROR(__xludf.DUMMYFUNCTION("""COMPUTED_VALUE"""),"")</f>
        <v/>
      </c>
      <c r="Y132" s="2" t="str">
        <f ca="1">IFERROR(__xludf.DUMMYFUNCTION("""COMPUTED_VALUE"""),"")</f>
        <v/>
      </c>
      <c r="Z132" s="2" t="str">
        <f ca="1">IFERROR(__xludf.DUMMYFUNCTION("""COMPUTED_VALUE"""),"")</f>
        <v/>
      </c>
      <c r="AA132" s="2" t="str">
        <f ca="1">IFERROR(__xludf.DUMMYFUNCTION("""COMPUTED_VALUE"""),"")</f>
        <v/>
      </c>
      <c r="AB132" s="2" t="str">
        <f ca="1">IFERROR(__xludf.DUMMYFUNCTION("""COMPUTED_VALUE"""),"")</f>
        <v/>
      </c>
      <c r="AC132" s="2" t="str">
        <f ca="1">IFERROR(__xludf.DUMMYFUNCTION("""COMPUTED_VALUE"""),"")</f>
        <v/>
      </c>
      <c r="AD132" s="2" t="str">
        <f ca="1">IFERROR(__xludf.DUMMYFUNCTION("""COMPUTED_VALUE"""),"")</f>
        <v/>
      </c>
      <c r="AE132" s="2" t="str">
        <f ca="1">IFERROR(__xludf.DUMMYFUNCTION("""COMPUTED_VALUE"""),"")</f>
        <v/>
      </c>
      <c r="AF132" s="2" t="str">
        <f ca="1">IFERROR(__xludf.DUMMYFUNCTION("""COMPUTED_VALUE"""),"")</f>
        <v/>
      </c>
      <c r="AG132" s="2" t="str">
        <f ca="1">IFERROR(__xludf.DUMMYFUNCTION("""COMPUTED_VALUE"""),"")</f>
        <v/>
      </c>
      <c r="AH132" s="2" t="str">
        <f ca="1">IFERROR(__xludf.DUMMYFUNCTION("""COMPUTED_VALUE"""),"")</f>
        <v/>
      </c>
      <c r="AI132" s="2" t="str">
        <f ca="1">IFERROR(__xludf.DUMMYFUNCTION("""COMPUTED_VALUE"""),"")</f>
        <v/>
      </c>
      <c r="AJ132" s="2" t="str">
        <f ca="1">IFERROR(__xludf.DUMMYFUNCTION("""COMPUTED_VALUE"""),"")</f>
        <v/>
      </c>
      <c r="AK132" s="2" t="str">
        <f ca="1">IFERROR(__xludf.DUMMYFUNCTION("""COMPUTED_VALUE"""),"")</f>
        <v/>
      </c>
      <c r="AL132" s="2" t="str">
        <f ca="1">IFERROR(__xludf.DUMMYFUNCTION("""COMPUTED_VALUE"""),"")</f>
        <v/>
      </c>
      <c r="AM132" s="2" t="str">
        <f ca="1">IFERROR(__xludf.DUMMYFUNCTION("""COMPUTED_VALUE"""),"")</f>
        <v/>
      </c>
      <c r="AN132" s="2" t="str">
        <f ca="1">IFERROR(__xludf.DUMMYFUNCTION("""COMPUTED_VALUE"""),"")</f>
        <v/>
      </c>
      <c r="AO132" s="2" t="str">
        <f ca="1">IFERROR(__xludf.DUMMYFUNCTION("""COMPUTED_VALUE"""),"")</f>
        <v/>
      </c>
      <c r="AP132" s="2" t="str">
        <f ca="1">IFERROR(__xludf.DUMMYFUNCTION("""COMPUTED_VALUE"""),"")</f>
        <v/>
      </c>
      <c r="AQ132" s="2" t="str">
        <f ca="1">IFERROR(__xludf.DUMMYFUNCTION("""COMPUTED_VALUE"""),"")</f>
        <v/>
      </c>
      <c r="AR132" s="2" t="str">
        <f ca="1">IFERROR(__xludf.DUMMYFUNCTION("""COMPUTED_VALUE"""),"")</f>
        <v/>
      </c>
      <c r="AS132" s="2" t="str">
        <f ca="1">IFERROR(__xludf.DUMMYFUNCTION("""COMPUTED_VALUE"""),"")</f>
        <v/>
      </c>
      <c r="AT132" s="2" t="str">
        <f ca="1">IFERROR(__xludf.DUMMYFUNCTION("""COMPUTED_VALUE"""),"")</f>
        <v/>
      </c>
      <c r="AU132" s="2" t="str">
        <f ca="1">IFERROR(__xludf.DUMMYFUNCTION("""COMPUTED_VALUE"""),"")</f>
        <v/>
      </c>
      <c r="AV132" s="2" t="str">
        <f ca="1">IFERROR(__xludf.DUMMYFUNCTION("""COMPUTED_VALUE"""),"")</f>
        <v/>
      </c>
      <c r="AW132" s="2" t="str">
        <f ca="1">IFERROR(__xludf.DUMMYFUNCTION("""COMPUTED_VALUE"""),"")</f>
        <v/>
      </c>
      <c r="AX132" s="2" t="str">
        <f ca="1">IFERROR(__xludf.DUMMYFUNCTION("""COMPUTED_VALUE"""),"")</f>
        <v/>
      </c>
      <c r="AY132" s="2" t="str">
        <f ca="1">IFERROR(__xludf.DUMMYFUNCTION("""COMPUTED_VALUE"""),"")</f>
        <v/>
      </c>
      <c r="AZ132" s="2" t="str">
        <f ca="1">IFERROR(__xludf.DUMMYFUNCTION("""COMPUTED_VALUE"""),"")</f>
        <v/>
      </c>
      <c r="BA132" s="2" t="str">
        <f ca="1">IFERROR(__xludf.DUMMYFUNCTION("""COMPUTED_VALUE"""),"")</f>
        <v/>
      </c>
      <c r="BB132" s="2" t="str">
        <f ca="1">IFERROR(__xludf.DUMMYFUNCTION("""COMPUTED_VALUE"""),"")</f>
        <v/>
      </c>
      <c r="BC132" s="2" t="str">
        <f ca="1">IFERROR(__xludf.DUMMYFUNCTION("""COMPUTED_VALUE"""),"")</f>
        <v/>
      </c>
      <c r="BD132" s="2" t="str">
        <f ca="1">IFERROR(__xludf.DUMMYFUNCTION("""COMPUTED_VALUE"""),"")</f>
        <v/>
      </c>
      <c r="BE132" s="2" t="str">
        <f ca="1">IFERROR(__xludf.DUMMYFUNCTION("""COMPUTED_VALUE"""),"")</f>
        <v/>
      </c>
      <c r="BF132" t="str">
        <f ca="1">IFERROR(__xludf.DUMMYFUNCTION("""COMPUTED_VALUE"""),"")</f>
        <v/>
      </c>
      <c r="BG132" t="str">
        <f ca="1">IFERROR(__xludf.DUMMYFUNCTION("""COMPUTED_VALUE"""),"")</f>
        <v/>
      </c>
      <c r="BH132" s="2">
        <f ca="1">IFERROR(__xludf.DUMMYFUNCTION("""COMPUTED_VALUE"""),-37.3634682)</f>
        <v>-37.3634682</v>
      </c>
      <c r="BI132" s="13">
        <f ca="1">IFERROR(__xludf.DUMMYFUNCTION("""COMPUTED_VALUE"""),175.1756744)</f>
        <v>175.17567439999999</v>
      </c>
      <c r="BJ132" s="9">
        <f ca="1">IFERROR(__xludf.DUMMYFUNCTION("""COMPUTED_VALUE"""),43441)</f>
        <v>43441</v>
      </c>
      <c r="BK132" s="4">
        <f ca="1">IFERROR(__xludf.DUMMYFUNCTION("""COMPUTED_VALUE"""),0.874074074072268)</f>
        <v>0.874074074072268</v>
      </c>
    </row>
    <row r="133" spans="1:63" ht="12.5" x14ac:dyDescent="0.25">
      <c r="A133" s="7" t="str">
        <f ca="1">IFERROR(__xludf.DUMMYFUNCTION("""COMPUTED_VALUE"""),"")</f>
        <v/>
      </c>
      <c r="B133" s="8" t="str">
        <f ca="1">IFERROR(__xludf.DUMMYFUNCTION("""COMPUTED_VALUE"""),"Waikato")</f>
        <v>Waikato</v>
      </c>
      <c r="C133" s="2">
        <f ca="1">IFERROR(__xludf.DUMMYFUNCTION("""COMPUTED_VALUE"""),64)</f>
        <v>64</v>
      </c>
      <c r="D133" s="9" t="str">
        <f ca="1">IFERROR(__xludf.DUMMYFUNCTION("""COMPUTED_VALUE"""),"")</f>
        <v/>
      </c>
      <c r="E133" s="4" t="str">
        <f ca="1">IFERROR(__xludf.DUMMYFUNCTION("""COMPUTED_VALUE"""),"")</f>
        <v/>
      </c>
      <c r="F133" s="2" t="str">
        <f ca="1">IFERROR(__xludf.DUMMYFUNCTION("""COMPUTED_VALUE"""),"")</f>
        <v/>
      </c>
      <c r="G133" s="2" t="str">
        <f ca="1">IFERROR(__xludf.DUMMYFUNCTION("""COMPUTED_VALUE"""),"GPS: I converted data downloaded from ARGOS using Pinpoint software")</f>
        <v>GPS: I converted data downloaded from ARGOS using Pinpoint software</v>
      </c>
      <c r="H133" s="2" t="str">
        <f ca="1">IFERROR(__xludf.DUMMYFUNCTION("""COMPUTED_VALUE"""),"3D")</f>
        <v>3D</v>
      </c>
      <c r="I133" s="2" t="str">
        <f ca="1">IFERROR(__xludf.DUMMYFUNCTION("""COMPUTED_VALUE"""),"")</f>
        <v/>
      </c>
      <c r="J133" s="2" t="str">
        <f ca="1">IFERROR(__xludf.DUMMYFUNCTION("""COMPUTED_VALUE"""),"")</f>
        <v/>
      </c>
      <c r="K133" s="2" t="str">
        <f ca="1">IFERROR(__xludf.DUMMYFUNCTION("""COMPUTED_VALUE"""),"")</f>
        <v/>
      </c>
      <c r="L133" s="2" t="str">
        <f ca="1">IFERROR(__xludf.DUMMYFUNCTION("""COMPUTED_VALUE"""),"")</f>
        <v/>
      </c>
      <c r="M133" s="5" t="str">
        <f ca="1">IFERROR(__xludf.DUMMYFUNCTION("""COMPUTED_VALUE"""),"")</f>
        <v/>
      </c>
      <c r="N133" s="5" t="str">
        <f ca="1">IFERROR(__xludf.DUMMYFUNCTION("""COMPUTED_VALUE"""),"")</f>
        <v/>
      </c>
      <c r="O133" s="2" t="str">
        <f ca="1">IFERROR(__xludf.DUMMYFUNCTION("""COMPUTED_VALUE"""),"")</f>
        <v/>
      </c>
      <c r="P133" s="2" t="str">
        <f ca="1">IFERROR(__xludf.DUMMYFUNCTION("""COMPUTED_VALUE"""),"")</f>
        <v/>
      </c>
      <c r="Q133" s="2" t="str">
        <f ca="1">IFERROR(__xludf.DUMMYFUNCTION("""COMPUTED_VALUE"""),"")</f>
        <v/>
      </c>
      <c r="R133" s="2" t="str">
        <f ca="1">IFERROR(__xludf.DUMMYFUNCTION("""COMPUTED_VALUE"""),"")</f>
        <v/>
      </c>
      <c r="S133" s="2" t="str">
        <f ca="1">IFERROR(__xludf.DUMMYFUNCTION("""COMPUTED_VALUE"""),"")</f>
        <v/>
      </c>
      <c r="T133" s="2" t="str">
        <f ca="1">IFERROR(__xludf.DUMMYFUNCTION("""COMPUTED_VALUE"""),"")</f>
        <v/>
      </c>
      <c r="U133" s="2" t="str">
        <f ca="1">IFERROR(__xludf.DUMMYFUNCTION("""COMPUTED_VALUE"""),"")</f>
        <v/>
      </c>
      <c r="V133" s="2" t="str">
        <f ca="1">IFERROR(__xludf.DUMMYFUNCTION("""COMPUTED_VALUE"""),"")</f>
        <v/>
      </c>
      <c r="W133" s="2" t="str">
        <f ca="1">IFERROR(__xludf.DUMMYFUNCTION("""COMPUTED_VALUE"""),"")</f>
        <v/>
      </c>
      <c r="X133" s="2" t="str">
        <f ca="1">IFERROR(__xludf.DUMMYFUNCTION("""COMPUTED_VALUE"""),"")</f>
        <v/>
      </c>
      <c r="Y133" s="2" t="str">
        <f ca="1">IFERROR(__xludf.DUMMYFUNCTION("""COMPUTED_VALUE"""),"")</f>
        <v/>
      </c>
      <c r="Z133" s="2" t="str">
        <f ca="1">IFERROR(__xludf.DUMMYFUNCTION("""COMPUTED_VALUE"""),"")</f>
        <v/>
      </c>
      <c r="AA133" s="2" t="str">
        <f ca="1">IFERROR(__xludf.DUMMYFUNCTION("""COMPUTED_VALUE"""),"")</f>
        <v/>
      </c>
      <c r="AB133" s="2" t="str">
        <f ca="1">IFERROR(__xludf.DUMMYFUNCTION("""COMPUTED_VALUE"""),"")</f>
        <v/>
      </c>
      <c r="AC133" s="2" t="str">
        <f ca="1">IFERROR(__xludf.DUMMYFUNCTION("""COMPUTED_VALUE"""),"")</f>
        <v/>
      </c>
      <c r="AD133" s="2" t="str">
        <f ca="1">IFERROR(__xludf.DUMMYFUNCTION("""COMPUTED_VALUE"""),"")</f>
        <v/>
      </c>
      <c r="AE133" s="2" t="str">
        <f ca="1">IFERROR(__xludf.DUMMYFUNCTION("""COMPUTED_VALUE"""),"")</f>
        <v/>
      </c>
      <c r="AF133" s="2" t="str">
        <f ca="1">IFERROR(__xludf.DUMMYFUNCTION("""COMPUTED_VALUE"""),"")</f>
        <v/>
      </c>
      <c r="AG133" s="2" t="str">
        <f ca="1">IFERROR(__xludf.DUMMYFUNCTION("""COMPUTED_VALUE"""),"")</f>
        <v/>
      </c>
      <c r="AH133" s="2" t="str">
        <f ca="1">IFERROR(__xludf.DUMMYFUNCTION("""COMPUTED_VALUE"""),"")</f>
        <v/>
      </c>
      <c r="AI133" s="2" t="str">
        <f ca="1">IFERROR(__xludf.DUMMYFUNCTION("""COMPUTED_VALUE"""),"")</f>
        <v/>
      </c>
      <c r="AJ133" s="2" t="str">
        <f ca="1">IFERROR(__xludf.DUMMYFUNCTION("""COMPUTED_VALUE"""),"")</f>
        <v/>
      </c>
      <c r="AK133" s="2" t="str">
        <f ca="1">IFERROR(__xludf.DUMMYFUNCTION("""COMPUTED_VALUE"""),"")</f>
        <v/>
      </c>
      <c r="AL133" s="2" t="str">
        <f ca="1">IFERROR(__xludf.DUMMYFUNCTION("""COMPUTED_VALUE"""),"")</f>
        <v/>
      </c>
      <c r="AM133" s="2" t="str">
        <f ca="1">IFERROR(__xludf.DUMMYFUNCTION("""COMPUTED_VALUE"""),"")</f>
        <v/>
      </c>
      <c r="AN133" s="2" t="str">
        <f ca="1">IFERROR(__xludf.DUMMYFUNCTION("""COMPUTED_VALUE"""),"")</f>
        <v/>
      </c>
      <c r="AO133" s="2" t="str">
        <f ca="1">IFERROR(__xludf.DUMMYFUNCTION("""COMPUTED_VALUE"""),"")</f>
        <v/>
      </c>
      <c r="AP133" s="2" t="str">
        <f ca="1">IFERROR(__xludf.DUMMYFUNCTION("""COMPUTED_VALUE"""),"")</f>
        <v/>
      </c>
      <c r="AQ133" s="2" t="str">
        <f ca="1">IFERROR(__xludf.DUMMYFUNCTION("""COMPUTED_VALUE"""),"")</f>
        <v/>
      </c>
      <c r="AR133" s="2" t="str">
        <f ca="1">IFERROR(__xludf.DUMMYFUNCTION("""COMPUTED_VALUE"""),"")</f>
        <v/>
      </c>
      <c r="AS133" s="2" t="str">
        <f ca="1">IFERROR(__xludf.DUMMYFUNCTION("""COMPUTED_VALUE"""),"")</f>
        <v/>
      </c>
      <c r="AT133" s="2" t="str">
        <f ca="1">IFERROR(__xludf.DUMMYFUNCTION("""COMPUTED_VALUE"""),"")</f>
        <v/>
      </c>
      <c r="AU133" s="2" t="str">
        <f ca="1">IFERROR(__xludf.DUMMYFUNCTION("""COMPUTED_VALUE"""),"")</f>
        <v/>
      </c>
      <c r="AV133" s="2" t="str">
        <f ca="1">IFERROR(__xludf.DUMMYFUNCTION("""COMPUTED_VALUE"""),"")</f>
        <v/>
      </c>
      <c r="AW133" s="2" t="str">
        <f ca="1">IFERROR(__xludf.DUMMYFUNCTION("""COMPUTED_VALUE"""),"")</f>
        <v/>
      </c>
      <c r="AX133" s="2" t="str">
        <f ca="1">IFERROR(__xludf.DUMMYFUNCTION("""COMPUTED_VALUE"""),"")</f>
        <v/>
      </c>
      <c r="AY133" s="2" t="str">
        <f ca="1">IFERROR(__xludf.DUMMYFUNCTION("""COMPUTED_VALUE"""),"")</f>
        <v/>
      </c>
      <c r="AZ133" s="2" t="str">
        <f ca="1">IFERROR(__xludf.DUMMYFUNCTION("""COMPUTED_VALUE"""),"")</f>
        <v/>
      </c>
      <c r="BA133" s="2" t="str">
        <f ca="1">IFERROR(__xludf.DUMMYFUNCTION("""COMPUTED_VALUE"""),"")</f>
        <v/>
      </c>
      <c r="BB133" s="2" t="str">
        <f ca="1">IFERROR(__xludf.DUMMYFUNCTION("""COMPUTED_VALUE"""),"")</f>
        <v/>
      </c>
      <c r="BC133" s="2" t="str">
        <f ca="1">IFERROR(__xludf.DUMMYFUNCTION("""COMPUTED_VALUE"""),"")</f>
        <v/>
      </c>
      <c r="BD133" s="2" t="str">
        <f ca="1">IFERROR(__xludf.DUMMYFUNCTION("""COMPUTED_VALUE"""),"")</f>
        <v/>
      </c>
      <c r="BE133" s="2" t="str">
        <f ca="1">IFERROR(__xludf.DUMMYFUNCTION("""COMPUTED_VALUE"""),"")</f>
        <v/>
      </c>
      <c r="BF133" t="str">
        <f ca="1">IFERROR(__xludf.DUMMYFUNCTION("""COMPUTED_VALUE"""),"")</f>
        <v/>
      </c>
      <c r="BG133" t="str">
        <f ca="1">IFERROR(__xludf.DUMMYFUNCTION("""COMPUTED_VALUE"""),"")</f>
        <v/>
      </c>
      <c r="BH133" s="2">
        <f ca="1">IFERROR(__xludf.DUMMYFUNCTION("""COMPUTED_VALUE"""),-37.3467789)</f>
        <v>-37.346778899999997</v>
      </c>
      <c r="BI133" s="12">
        <f ca="1">IFERROR(__xludf.DUMMYFUNCTION("""COMPUTED_VALUE"""),175.1747437)</f>
        <v>175.17474369999999</v>
      </c>
      <c r="BJ133" s="9">
        <f ca="1">IFERROR(__xludf.DUMMYFUNCTION("""COMPUTED_VALUE"""),43442)</f>
        <v>43442</v>
      </c>
      <c r="BK133" s="4">
        <f ca="1">IFERROR(__xludf.DUMMYFUNCTION("""COMPUTED_VALUE"""),0.457777777777664)</f>
        <v>0.45777777777766399</v>
      </c>
    </row>
    <row r="134" spans="1:63" ht="12.5" x14ac:dyDescent="0.25">
      <c r="A134" s="7" t="str">
        <f ca="1">IFERROR(__xludf.DUMMYFUNCTION("""COMPUTED_VALUE"""),"")</f>
        <v/>
      </c>
      <c r="B134" s="8" t="str">
        <f ca="1">IFERROR(__xludf.DUMMYFUNCTION("""COMPUTED_VALUE"""),"Waikato")</f>
        <v>Waikato</v>
      </c>
      <c r="C134" s="2">
        <f ca="1">IFERROR(__xludf.DUMMYFUNCTION("""COMPUTED_VALUE"""),64)</f>
        <v>64</v>
      </c>
      <c r="D134" s="9" t="str">
        <f ca="1">IFERROR(__xludf.DUMMYFUNCTION("""COMPUTED_VALUE"""),"")</f>
        <v/>
      </c>
      <c r="E134" s="4" t="str">
        <f ca="1">IFERROR(__xludf.DUMMYFUNCTION("""COMPUTED_VALUE"""),"")</f>
        <v/>
      </c>
      <c r="F134" s="2" t="str">
        <f ca="1">IFERROR(__xludf.DUMMYFUNCTION("""COMPUTED_VALUE"""),"")</f>
        <v/>
      </c>
      <c r="G134" s="2" t="str">
        <f ca="1">IFERROR(__xludf.DUMMYFUNCTION("""COMPUTED_VALUE"""),"GPS: I converted data downloaded from ARGOS using Pinpoint software")</f>
        <v>GPS: I converted data downloaded from ARGOS using Pinpoint software</v>
      </c>
      <c r="H134" s="2" t="str">
        <f ca="1">IFERROR(__xludf.DUMMYFUNCTION("""COMPUTED_VALUE"""),"3D")</f>
        <v>3D</v>
      </c>
      <c r="I134" s="2" t="str">
        <f ca="1">IFERROR(__xludf.DUMMYFUNCTION("""COMPUTED_VALUE"""),"")</f>
        <v/>
      </c>
      <c r="J134" s="2" t="str">
        <f ca="1">IFERROR(__xludf.DUMMYFUNCTION("""COMPUTED_VALUE"""),"")</f>
        <v/>
      </c>
      <c r="K134" s="2" t="str">
        <f ca="1">IFERROR(__xludf.DUMMYFUNCTION("""COMPUTED_VALUE"""),"")</f>
        <v/>
      </c>
      <c r="L134" s="2" t="str">
        <f ca="1">IFERROR(__xludf.DUMMYFUNCTION("""COMPUTED_VALUE"""),"")</f>
        <v/>
      </c>
      <c r="M134" s="5" t="str">
        <f ca="1">IFERROR(__xludf.DUMMYFUNCTION("""COMPUTED_VALUE"""),"")</f>
        <v/>
      </c>
      <c r="N134" s="5" t="str">
        <f ca="1">IFERROR(__xludf.DUMMYFUNCTION("""COMPUTED_VALUE"""),"")</f>
        <v/>
      </c>
      <c r="O134" s="2" t="str">
        <f ca="1">IFERROR(__xludf.DUMMYFUNCTION("""COMPUTED_VALUE"""),"")</f>
        <v/>
      </c>
      <c r="P134" s="2" t="str">
        <f ca="1">IFERROR(__xludf.DUMMYFUNCTION("""COMPUTED_VALUE"""),"")</f>
        <v/>
      </c>
      <c r="Q134" s="2" t="str">
        <f ca="1">IFERROR(__xludf.DUMMYFUNCTION("""COMPUTED_VALUE"""),"")</f>
        <v/>
      </c>
      <c r="R134" s="2" t="str">
        <f ca="1">IFERROR(__xludf.DUMMYFUNCTION("""COMPUTED_VALUE"""),"")</f>
        <v/>
      </c>
      <c r="S134" s="2" t="str">
        <f ca="1">IFERROR(__xludf.DUMMYFUNCTION("""COMPUTED_VALUE"""),"")</f>
        <v/>
      </c>
      <c r="T134" s="2" t="str">
        <f ca="1">IFERROR(__xludf.DUMMYFUNCTION("""COMPUTED_VALUE"""),"")</f>
        <v/>
      </c>
      <c r="U134" s="2" t="str">
        <f ca="1">IFERROR(__xludf.DUMMYFUNCTION("""COMPUTED_VALUE"""),"")</f>
        <v/>
      </c>
      <c r="V134" s="2" t="str">
        <f ca="1">IFERROR(__xludf.DUMMYFUNCTION("""COMPUTED_VALUE"""),"")</f>
        <v/>
      </c>
      <c r="W134" s="2" t="str">
        <f ca="1">IFERROR(__xludf.DUMMYFUNCTION("""COMPUTED_VALUE"""),"")</f>
        <v/>
      </c>
      <c r="X134" s="2" t="str">
        <f ca="1">IFERROR(__xludf.DUMMYFUNCTION("""COMPUTED_VALUE"""),"")</f>
        <v/>
      </c>
      <c r="Y134" s="2" t="str">
        <f ca="1">IFERROR(__xludf.DUMMYFUNCTION("""COMPUTED_VALUE"""),"")</f>
        <v/>
      </c>
      <c r="Z134" s="2" t="str">
        <f ca="1">IFERROR(__xludf.DUMMYFUNCTION("""COMPUTED_VALUE"""),"")</f>
        <v/>
      </c>
      <c r="AA134" s="2" t="str">
        <f ca="1">IFERROR(__xludf.DUMMYFUNCTION("""COMPUTED_VALUE"""),"")</f>
        <v/>
      </c>
      <c r="AB134" s="2" t="str">
        <f ca="1">IFERROR(__xludf.DUMMYFUNCTION("""COMPUTED_VALUE"""),"")</f>
        <v/>
      </c>
      <c r="AC134" s="2" t="str">
        <f ca="1">IFERROR(__xludf.DUMMYFUNCTION("""COMPUTED_VALUE"""),"")</f>
        <v/>
      </c>
      <c r="AD134" s="2" t="str">
        <f ca="1">IFERROR(__xludf.DUMMYFUNCTION("""COMPUTED_VALUE"""),"")</f>
        <v/>
      </c>
      <c r="AE134" s="2" t="str">
        <f ca="1">IFERROR(__xludf.DUMMYFUNCTION("""COMPUTED_VALUE"""),"")</f>
        <v/>
      </c>
      <c r="AF134" s="2" t="str">
        <f ca="1">IFERROR(__xludf.DUMMYFUNCTION("""COMPUTED_VALUE"""),"")</f>
        <v/>
      </c>
      <c r="AG134" s="2" t="str">
        <f ca="1">IFERROR(__xludf.DUMMYFUNCTION("""COMPUTED_VALUE"""),"")</f>
        <v/>
      </c>
      <c r="AH134" s="2" t="str">
        <f ca="1">IFERROR(__xludf.DUMMYFUNCTION("""COMPUTED_VALUE"""),"")</f>
        <v/>
      </c>
      <c r="AI134" s="2" t="str">
        <f ca="1">IFERROR(__xludf.DUMMYFUNCTION("""COMPUTED_VALUE"""),"")</f>
        <v/>
      </c>
      <c r="AJ134" s="2" t="str">
        <f ca="1">IFERROR(__xludf.DUMMYFUNCTION("""COMPUTED_VALUE"""),"")</f>
        <v/>
      </c>
      <c r="AK134" s="2" t="str">
        <f ca="1">IFERROR(__xludf.DUMMYFUNCTION("""COMPUTED_VALUE"""),"")</f>
        <v/>
      </c>
      <c r="AL134" s="2" t="str">
        <f ca="1">IFERROR(__xludf.DUMMYFUNCTION("""COMPUTED_VALUE"""),"")</f>
        <v/>
      </c>
      <c r="AM134" s="2" t="str">
        <f ca="1">IFERROR(__xludf.DUMMYFUNCTION("""COMPUTED_VALUE"""),"")</f>
        <v/>
      </c>
      <c r="AN134" s="2" t="str">
        <f ca="1">IFERROR(__xludf.DUMMYFUNCTION("""COMPUTED_VALUE"""),"")</f>
        <v/>
      </c>
      <c r="AO134" s="2" t="str">
        <f ca="1">IFERROR(__xludf.DUMMYFUNCTION("""COMPUTED_VALUE"""),"")</f>
        <v/>
      </c>
      <c r="AP134" s="2" t="str">
        <f ca="1">IFERROR(__xludf.DUMMYFUNCTION("""COMPUTED_VALUE"""),"")</f>
        <v/>
      </c>
      <c r="AQ134" s="2" t="str">
        <f ca="1">IFERROR(__xludf.DUMMYFUNCTION("""COMPUTED_VALUE"""),"")</f>
        <v/>
      </c>
      <c r="AR134" s="2" t="str">
        <f ca="1">IFERROR(__xludf.DUMMYFUNCTION("""COMPUTED_VALUE"""),"")</f>
        <v/>
      </c>
      <c r="AS134" s="2" t="str">
        <f ca="1">IFERROR(__xludf.DUMMYFUNCTION("""COMPUTED_VALUE"""),"")</f>
        <v/>
      </c>
      <c r="AT134" s="2" t="str">
        <f ca="1">IFERROR(__xludf.DUMMYFUNCTION("""COMPUTED_VALUE"""),"")</f>
        <v/>
      </c>
      <c r="AU134" s="2" t="str">
        <f ca="1">IFERROR(__xludf.DUMMYFUNCTION("""COMPUTED_VALUE"""),"")</f>
        <v/>
      </c>
      <c r="AV134" s="2" t="str">
        <f ca="1">IFERROR(__xludf.DUMMYFUNCTION("""COMPUTED_VALUE"""),"")</f>
        <v/>
      </c>
      <c r="AW134" s="2" t="str">
        <f ca="1">IFERROR(__xludf.DUMMYFUNCTION("""COMPUTED_VALUE"""),"")</f>
        <v/>
      </c>
      <c r="AX134" s="2" t="str">
        <f ca="1">IFERROR(__xludf.DUMMYFUNCTION("""COMPUTED_VALUE"""),"")</f>
        <v/>
      </c>
      <c r="AY134" s="2" t="str">
        <f ca="1">IFERROR(__xludf.DUMMYFUNCTION("""COMPUTED_VALUE"""),"")</f>
        <v/>
      </c>
      <c r="AZ134" s="2" t="str">
        <f ca="1">IFERROR(__xludf.DUMMYFUNCTION("""COMPUTED_VALUE"""),"")</f>
        <v/>
      </c>
      <c r="BA134" s="2" t="str">
        <f ca="1">IFERROR(__xludf.DUMMYFUNCTION("""COMPUTED_VALUE"""),"")</f>
        <v/>
      </c>
      <c r="BB134" s="2" t="str">
        <f ca="1">IFERROR(__xludf.DUMMYFUNCTION("""COMPUTED_VALUE"""),"")</f>
        <v/>
      </c>
      <c r="BC134" s="2" t="str">
        <f ca="1">IFERROR(__xludf.DUMMYFUNCTION("""COMPUTED_VALUE"""),"")</f>
        <v/>
      </c>
      <c r="BD134" s="2" t="str">
        <f ca="1">IFERROR(__xludf.DUMMYFUNCTION("""COMPUTED_VALUE"""),"")</f>
        <v/>
      </c>
      <c r="BE134" s="2" t="str">
        <f ca="1">IFERROR(__xludf.DUMMYFUNCTION("""COMPUTED_VALUE"""),"")</f>
        <v/>
      </c>
      <c r="BF134" t="str">
        <f ca="1">IFERROR(__xludf.DUMMYFUNCTION("""COMPUTED_VALUE"""),"")</f>
        <v/>
      </c>
      <c r="BG134" t="str">
        <f ca="1">IFERROR(__xludf.DUMMYFUNCTION("""COMPUTED_VALUE"""),"")</f>
        <v/>
      </c>
      <c r="BH134" s="2">
        <f ca="1">IFERROR(__xludf.DUMMYFUNCTION("""COMPUTED_VALUE"""),-37.349823)</f>
        <v>-37.349823000000001</v>
      </c>
      <c r="BI134" s="13">
        <f ca="1">IFERROR(__xludf.DUMMYFUNCTION("""COMPUTED_VALUE"""),175.177887)</f>
        <v>175.177887</v>
      </c>
      <c r="BJ134" s="9">
        <f ca="1">IFERROR(__xludf.DUMMYFUNCTION("""COMPUTED_VALUE"""),43442)</f>
        <v>43442</v>
      </c>
      <c r="BK134" s="4">
        <f ca="1">IFERROR(__xludf.DUMMYFUNCTION("""COMPUTED_VALUE"""),0.958518518516939)</f>
        <v>0.95851851851693903</v>
      </c>
    </row>
    <row r="135" spans="1:63" ht="12.5" x14ac:dyDescent="0.25">
      <c r="A135" s="7" t="str">
        <f ca="1">IFERROR(__xludf.DUMMYFUNCTION("""COMPUTED_VALUE"""),"")</f>
        <v/>
      </c>
      <c r="B135" s="8" t="str">
        <f ca="1">IFERROR(__xludf.DUMMYFUNCTION("""COMPUTED_VALUE"""),"Waikato")</f>
        <v>Waikato</v>
      </c>
      <c r="C135" s="2">
        <f ca="1">IFERROR(__xludf.DUMMYFUNCTION("""COMPUTED_VALUE"""),64)</f>
        <v>64</v>
      </c>
      <c r="D135" s="9" t="str">
        <f ca="1">IFERROR(__xludf.DUMMYFUNCTION("""COMPUTED_VALUE"""),"")</f>
        <v/>
      </c>
      <c r="E135" s="4" t="str">
        <f ca="1">IFERROR(__xludf.DUMMYFUNCTION("""COMPUTED_VALUE"""),"")</f>
        <v/>
      </c>
      <c r="F135" s="2" t="str">
        <f ca="1">IFERROR(__xludf.DUMMYFUNCTION("""COMPUTED_VALUE"""),"")</f>
        <v/>
      </c>
      <c r="G135" s="2" t="str">
        <f ca="1">IFERROR(__xludf.DUMMYFUNCTION("""COMPUTED_VALUE"""),"GPS: I converted data downloaded from ARGOS using Pinpoint software")</f>
        <v>GPS: I converted data downloaded from ARGOS using Pinpoint software</v>
      </c>
      <c r="H135" s="2" t="str">
        <f ca="1">IFERROR(__xludf.DUMMYFUNCTION("""COMPUTED_VALUE"""),"3D")</f>
        <v>3D</v>
      </c>
      <c r="I135" s="2" t="str">
        <f ca="1">IFERROR(__xludf.DUMMYFUNCTION("""COMPUTED_VALUE"""),"")</f>
        <v/>
      </c>
      <c r="J135" s="2" t="str">
        <f ca="1">IFERROR(__xludf.DUMMYFUNCTION("""COMPUTED_VALUE"""),"")</f>
        <v/>
      </c>
      <c r="K135" s="2" t="str">
        <f ca="1">IFERROR(__xludf.DUMMYFUNCTION("""COMPUTED_VALUE"""),"")</f>
        <v/>
      </c>
      <c r="L135" s="2" t="str">
        <f ca="1">IFERROR(__xludf.DUMMYFUNCTION("""COMPUTED_VALUE"""),"")</f>
        <v/>
      </c>
      <c r="M135" s="5" t="str">
        <f ca="1">IFERROR(__xludf.DUMMYFUNCTION("""COMPUTED_VALUE"""),"")</f>
        <v/>
      </c>
      <c r="N135" s="5" t="str">
        <f ca="1">IFERROR(__xludf.DUMMYFUNCTION("""COMPUTED_VALUE"""),"")</f>
        <v/>
      </c>
      <c r="O135" s="2" t="str">
        <f ca="1">IFERROR(__xludf.DUMMYFUNCTION("""COMPUTED_VALUE"""),"")</f>
        <v/>
      </c>
      <c r="P135" s="2" t="str">
        <f ca="1">IFERROR(__xludf.DUMMYFUNCTION("""COMPUTED_VALUE"""),"")</f>
        <v/>
      </c>
      <c r="Q135" s="2" t="str">
        <f ca="1">IFERROR(__xludf.DUMMYFUNCTION("""COMPUTED_VALUE"""),"")</f>
        <v/>
      </c>
      <c r="R135" s="2" t="str">
        <f ca="1">IFERROR(__xludf.DUMMYFUNCTION("""COMPUTED_VALUE"""),"")</f>
        <v/>
      </c>
      <c r="S135" s="2" t="str">
        <f ca="1">IFERROR(__xludf.DUMMYFUNCTION("""COMPUTED_VALUE"""),"")</f>
        <v/>
      </c>
      <c r="T135" s="2" t="str">
        <f ca="1">IFERROR(__xludf.DUMMYFUNCTION("""COMPUTED_VALUE"""),"")</f>
        <v/>
      </c>
      <c r="U135" s="2" t="str">
        <f ca="1">IFERROR(__xludf.DUMMYFUNCTION("""COMPUTED_VALUE"""),"")</f>
        <v/>
      </c>
      <c r="V135" s="2" t="str">
        <f ca="1">IFERROR(__xludf.DUMMYFUNCTION("""COMPUTED_VALUE"""),"")</f>
        <v/>
      </c>
      <c r="W135" s="2" t="str">
        <f ca="1">IFERROR(__xludf.DUMMYFUNCTION("""COMPUTED_VALUE"""),"")</f>
        <v/>
      </c>
      <c r="X135" s="2" t="str">
        <f ca="1">IFERROR(__xludf.DUMMYFUNCTION("""COMPUTED_VALUE"""),"")</f>
        <v/>
      </c>
      <c r="Y135" s="2" t="str">
        <f ca="1">IFERROR(__xludf.DUMMYFUNCTION("""COMPUTED_VALUE"""),"")</f>
        <v/>
      </c>
      <c r="Z135" s="2" t="str">
        <f ca="1">IFERROR(__xludf.DUMMYFUNCTION("""COMPUTED_VALUE"""),"")</f>
        <v/>
      </c>
      <c r="AA135" s="2" t="str">
        <f ca="1">IFERROR(__xludf.DUMMYFUNCTION("""COMPUTED_VALUE"""),"")</f>
        <v/>
      </c>
      <c r="AB135" s="2" t="str">
        <f ca="1">IFERROR(__xludf.DUMMYFUNCTION("""COMPUTED_VALUE"""),"")</f>
        <v/>
      </c>
      <c r="AC135" s="2" t="str">
        <f ca="1">IFERROR(__xludf.DUMMYFUNCTION("""COMPUTED_VALUE"""),"")</f>
        <v/>
      </c>
      <c r="AD135" s="2" t="str">
        <f ca="1">IFERROR(__xludf.DUMMYFUNCTION("""COMPUTED_VALUE"""),"")</f>
        <v/>
      </c>
      <c r="AE135" s="2" t="str">
        <f ca="1">IFERROR(__xludf.DUMMYFUNCTION("""COMPUTED_VALUE"""),"")</f>
        <v/>
      </c>
      <c r="AF135" s="2" t="str">
        <f ca="1">IFERROR(__xludf.DUMMYFUNCTION("""COMPUTED_VALUE"""),"")</f>
        <v/>
      </c>
      <c r="AG135" s="2" t="str">
        <f ca="1">IFERROR(__xludf.DUMMYFUNCTION("""COMPUTED_VALUE"""),"")</f>
        <v/>
      </c>
      <c r="AH135" s="2" t="str">
        <f ca="1">IFERROR(__xludf.DUMMYFUNCTION("""COMPUTED_VALUE"""),"")</f>
        <v/>
      </c>
      <c r="AI135" s="2" t="str">
        <f ca="1">IFERROR(__xludf.DUMMYFUNCTION("""COMPUTED_VALUE"""),"")</f>
        <v/>
      </c>
      <c r="AJ135" s="2" t="str">
        <f ca="1">IFERROR(__xludf.DUMMYFUNCTION("""COMPUTED_VALUE"""),"")</f>
        <v/>
      </c>
      <c r="AK135" s="2" t="str">
        <f ca="1">IFERROR(__xludf.DUMMYFUNCTION("""COMPUTED_VALUE"""),"")</f>
        <v/>
      </c>
      <c r="AL135" s="2" t="str">
        <f ca="1">IFERROR(__xludf.DUMMYFUNCTION("""COMPUTED_VALUE"""),"")</f>
        <v/>
      </c>
      <c r="AM135" s="2" t="str">
        <f ca="1">IFERROR(__xludf.DUMMYFUNCTION("""COMPUTED_VALUE"""),"")</f>
        <v/>
      </c>
      <c r="AN135" s="2" t="str">
        <f ca="1">IFERROR(__xludf.DUMMYFUNCTION("""COMPUTED_VALUE"""),"")</f>
        <v/>
      </c>
      <c r="AO135" s="2" t="str">
        <f ca="1">IFERROR(__xludf.DUMMYFUNCTION("""COMPUTED_VALUE"""),"")</f>
        <v/>
      </c>
      <c r="AP135" s="2" t="str">
        <f ca="1">IFERROR(__xludf.DUMMYFUNCTION("""COMPUTED_VALUE"""),"")</f>
        <v/>
      </c>
      <c r="AQ135" s="2" t="str">
        <f ca="1">IFERROR(__xludf.DUMMYFUNCTION("""COMPUTED_VALUE"""),"")</f>
        <v/>
      </c>
      <c r="AR135" s="2" t="str">
        <f ca="1">IFERROR(__xludf.DUMMYFUNCTION("""COMPUTED_VALUE"""),"")</f>
        <v/>
      </c>
      <c r="AS135" s="2" t="str">
        <f ca="1">IFERROR(__xludf.DUMMYFUNCTION("""COMPUTED_VALUE"""),"")</f>
        <v/>
      </c>
      <c r="AT135" s="2" t="str">
        <f ca="1">IFERROR(__xludf.DUMMYFUNCTION("""COMPUTED_VALUE"""),"")</f>
        <v/>
      </c>
      <c r="AU135" s="2" t="str">
        <f ca="1">IFERROR(__xludf.DUMMYFUNCTION("""COMPUTED_VALUE"""),"")</f>
        <v/>
      </c>
      <c r="AV135" s="2" t="str">
        <f ca="1">IFERROR(__xludf.DUMMYFUNCTION("""COMPUTED_VALUE"""),"")</f>
        <v/>
      </c>
      <c r="AW135" s="2" t="str">
        <f ca="1">IFERROR(__xludf.DUMMYFUNCTION("""COMPUTED_VALUE"""),"")</f>
        <v/>
      </c>
      <c r="AX135" s="2" t="str">
        <f ca="1">IFERROR(__xludf.DUMMYFUNCTION("""COMPUTED_VALUE"""),"")</f>
        <v/>
      </c>
      <c r="AY135" s="2" t="str">
        <f ca="1">IFERROR(__xludf.DUMMYFUNCTION("""COMPUTED_VALUE"""),"")</f>
        <v/>
      </c>
      <c r="AZ135" s="2" t="str">
        <f ca="1">IFERROR(__xludf.DUMMYFUNCTION("""COMPUTED_VALUE"""),"")</f>
        <v/>
      </c>
      <c r="BA135" s="2" t="str">
        <f ca="1">IFERROR(__xludf.DUMMYFUNCTION("""COMPUTED_VALUE"""),"")</f>
        <v/>
      </c>
      <c r="BB135" s="2" t="str">
        <f ca="1">IFERROR(__xludf.DUMMYFUNCTION("""COMPUTED_VALUE"""),"")</f>
        <v/>
      </c>
      <c r="BC135" s="2" t="str">
        <f ca="1">IFERROR(__xludf.DUMMYFUNCTION("""COMPUTED_VALUE"""),"")</f>
        <v/>
      </c>
      <c r="BD135" s="2" t="str">
        <f ca="1">IFERROR(__xludf.DUMMYFUNCTION("""COMPUTED_VALUE"""),"")</f>
        <v/>
      </c>
      <c r="BE135" s="2" t="str">
        <f ca="1">IFERROR(__xludf.DUMMYFUNCTION("""COMPUTED_VALUE"""),"")</f>
        <v/>
      </c>
      <c r="BF135" t="str">
        <f ca="1">IFERROR(__xludf.DUMMYFUNCTION("""COMPUTED_VALUE"""),"")</f>
        <v/>
      </c>
      <c r="BG135" t="str">
        <f ca="1">IFERROR(__xludf.DUMMYFUNCTION("""COMPUTED_VALUE"""),"")</f>
        <v/>
      </c>
      <c r="BH135" s="2">
        <f ca="1">IFERROR(__xludf.DUMMYFUNCTION("""COMPUTED_VALUE"""),-37.3571968)</f>
        <v>-37.357196799999997</v>
      </c>
      <c r="BI135" s="12">
        <f ca="1">IFERROR(__xludf.DUMMYFUNCTION("""COMPUTED_VALUE"""),175.1712952)</f>
        <v>175.1712952</v>
      </c>
      <c r="BJ135" s="9">
        <f ca="1">IFERROR(__xludf.DUMMYFUNCTION("""COMPUTED_VALUE"""),43444)</f>
        <v>43444</v>
      </c>
      <c r="BK135" s="4">
        <f ca="1">IFERROR(__xludf.DUMMYFUNCTION("""COMPUTED_VALUE"""),0.457777777777664)</f>
        <v>0.45777777777766399</v>
      </c>
    </row>
    <row r="136" spans="1:63" ht="12.5" x14ac:dyDescent="0.25">
      <c r="A136" s="7" t="str">
        <f ca="1">IFERROR(__xludf.DUMMYFUNCTION("""COMPUTED_VALUE"""),"")</f>
        <v/>
      </c>
      <c r="B136" s="8" t="str">
        <f ca="1">IFERROR(__xludf.DUMMYFUNCTION("""COMPUTED_VALUE"""),"Waikato")</f>
        <v>Waikato</v>
      </c>
      <c r="C136" s="2">
        <f ca="1">IFERROR(__xludf.DUMMYFUNCTION("""COMPUTED_VALUE"""),64)</f>
        <v>64</v>
      </c>
      <c r="D136" s="9" t="str">
        <f ca="1">IFERROR(__xludf.DUMMYFUNCTION("""COMPUTED_VALUE"""),"")</f>
        <v/>
      </c>
      <c r="E136" s="4" t="str">
        <f ca="1">IFERROR(__xludf.DUMMYFUNCTION("""COMPUTED_VALUE"""),"")</f>
        <v/>
      </c>
      <c r="F136" s="2" t="str">
        <f ca="1">IFERROR(__xludf.DUMMYFUNCTION("""COMPUTED_VALUE"""),"")</f>
        <v/>
      </c>
      <c r="G136" s="2" t="str">
        <f ca="1">IFERROR(__xludf.DUMMYFUNCTION("""COMPUTED_VALUE"""),"GPS: I converted data downloaded from ARGOS using Pinpoint software")</f>
        <v>GPS: I converted data downloaded from ARGOS using Pinpoint software</v>
      </c>
      <c r="H136" s="2" t="str">
        <f ca="1">IFERROR(__xludf.DUMMYFUNCTION("""COMPUTED_VALUE"""),"3D")</f>
        <v>3D</v>
      </c>
      <c r="I136" s="2" t="str">
        <f ca="1">IFERROR(__xludf.DUMMYFUNCTION("""COMPUTED_VALUE"""),"")</f>
        <v/>
      </c>
      <c r="J136" s="2" t="str">
        <f ca="1">IFERROR(__xludf.DUMMYFUNCTION("""COMPUTED_VALUE"""),"")</f>
        <v/>
      </c>
      <c r="K136" s="2" t="str">
        <f ca="1">IFERROR(__xludf.DUMMYFUNCTION("""COMPUTED_VALUE"""),"")</f>
        <v/>
      </c>
      <c r="L136" s="2" t="str">
        <f ca="1">IFERROR(__xludf.DUMMYFUNCTION("""COMPUTED_VALUE"""),"")</f>
        <v/>
      </c>
      <c r="M136" s="5" t="str">
        <f ca="1">IFERROR(__xludf.DUMMYFUNCTION("""COMPUTED_VALUE"""),"")</f>
        <v/>
      </c>
      <c r="N136" s="5" t="str">
        <f ca="1">IFERROR(__xludf.DUMMYFUNCTION("""COMPUTED_VALUE"""),"")</f>
        <v/>
      </c>
      <c r="O136" s="2" t="str">
        <f ca="1">IFERROR(__xludf.DUMMYFUNCTION("""COMPUTED_VALUE"""),"")</f>
        <v/>
      </c>
      <c r="P136" s="2" t="str">
        <f ca="1">IFERROR(__xludf.DUMMYFUNCTION("""COMPUTED_VALUE"""),"")</f>
        <v/>
      </c>
      <c r="Q136" s="2" t="str">
        <f ca="1">IFERROR(__xludf.DUMMYFUNCTION("""COMPUTED_VALUE"""),"")</f>
        <v/>
      </c>
      <c r="R136" s="2" t="str">
        <f ca="1">IFERROR(__xludf.DUMMYFUNCTION("""COMPUTED_VALUE"""),"")</f>
        <v/>
      </c>
      <c r="S136" s="2" t="str">
        <f ca="1">IFERROR(__xludf.DUMMYFUNCTION("""COMPUTED_VALUE"""),"")</f>
        <v/>
      </c>
      <c r="T136" s="2" t="str">
        <f ca="1">IFERROR(__xludf.DUMMYFUNCTION("""COMPUTED_VALUE"""),"")</f>
        <v/>
      </c>
      <c r="U136" s="2" t="str">
        <f ca="1">IFERROR(__xludf.DUMMYFUNCTION("""COMPUTED_VALUE"""),"")</f>
        <v/>
      </c>
      <c r="V136" s="2" t="str">
        <f ca="1">IFERROR(__xludf.DUMMYFUNCTION("""COMPUTED_VALUE"""),"")</f>
        <v/>
      </c>
      <c r="W136" s="2" t="str">
        <f ca="1">IFERROR(__xludf.DUMMYFUNCTION("""COMPUTED_VALUE"""),"")</f>
        <v/>
      </c>
      <c r="X136" s="2" t="str">
        <f ca="1">IFERROR(__xludf.DUMMYFUNCTION("""COMPUTED_VALUE"""),"")</f>
        <v/>
      </c>
      <c r="Y136" s="2" t="str">
        <f ca="1">IFERROR(__xludf.DUMMYFUNCTION("""COMPUTED_VALUE"""),"")</f>
        <v/>
      </c>
      <c r="Z136" s="2" t="str">
        <f ca="1">IFERROR(__xludf.DUMMYFUNCTION("""COMPUTED_VALUE"""),"")</f>
        <v/>
      </c>
      <c r="AA136" s="2" t="str">
        <f ca="1">IFERROR(__xludf.DUMMYFUNCTION("""COMPUTED_VALUE"""),"")</f>
        <v/>
      </c>
      <c r="AB136" s="2" t="str">
        <f ca="1">IFERROR(__xludf.DUMMYFUNCTION("""COMPUTED_VALUE"""),"")</f>
        <v/>
      </c>
      <c r="AC136" s="2" t="str">
        <f ca="1">IFERROR(__xludf.DUMMYFUNCTION("""COMPUTED_VALUE"""),"")</f>
        <v/>
      </c>
      <c r="AD136" s="2" t="str">
        <f ca="1">IFERROR(__xludf.DUMMYFUNCTION("""COMPUTED_VALUE"""),"")</f>
        <v/>
      </c>
      <c r="AE136" s="2" t="str">
        <f ca="1">IFERROR(__xludf.DUMMYFUNCTION("""COMPUTED_VALUE"""),"")</f>
        <v/>
      </c>
      <c r="AF136" s="2" t="str">
        <f ca="1">IFERROR(__xludf.DUMMYFUNCTION("""COMPUTED_VALUE"""),"")</f>
        <v/>
      </c>
      <c r="AG136" s="2" t="str">
        <f ca="1">IFERROR(__xludf.DUMMYFUNCTION("""COMPUTED_VALUE"""),"")</f>
        <v/>
      </c>
      <c r="AH136" s="2" t="str">
        <f ca="1">IFERROR(__xludf.DUMMYFUNCTION("""COMPUTED_VALUE"""),"")</f>
        <v/>
      </c>
      <c r="AI136" s="2" t="str">
        <f ca="1">IFERROR(__xludf.DUMMYFUNCTION("""COMPUTED_VALUE"""),"")</f>
        <v/>
      </c>
      <c r="AJ136" s="2" t="str">
        <f ca="1">IFERROR(__xludf.DUMMYFUNCTION("""COMPUTED_VALUE"""),"")</f>
        <v/>
      </c>
      <c r="AK136" s="2" t="str">
        <f ca="1">IFERROR(__xludf.DUMMYFUNCTION("""COMPUTED_VALUE"""),"")</f>
        <v/>
      </c>
      <c r="AL136" s="2" t="str">
        <f ca="1">IFERROR(__xludf.DUMMYFUNCTION("""COMPUTED_VALUE"""),"")</f>
        <v/>
      </c>
      <c r="AM136" s="2" t="str">
        <f ca="1">IFERROR(__xludf.DUMMYFUNCTION("""COMPUTED_VALUE"""),"")</f>
        <v/>
      </c>
      <c r="AN136" s="2" t="str">
        <f ca="1">IFERROR(__xludf.DUMMYFUNCTION("""COMPUTED_VALUE"""),"")</f>
        <v/>
      </c>
      <c r="AO136" s="2" t="str">
        <f ca="1">IFERROR(__xludf.DUMMYFUNCTION("""COMPUTED_VALUE"""),"")</f>
        <v/>
      </c>
      <c r="AP136" s="2" t="str">
        <f ca="1">IFERROR(__xludf.DUMMYFUNCTION("""COMPUTED_VALUE"""),"")</f>
        <v/>
      </c>
      <c r="AQ136" s="2" t="str">
        <f ca="1">IFERROR(__xludf.DUMMYFUNCTION("""COMPUTED_VALUE"""),"")</f>
        <v/>
      </c>
      <c r="AR136" s="2" t="str">
        <f ca="1">IFERROR(__xludf.DUMMYFUNCTION("""COMPUTED_VALUE"""),"")</f>
        <v/>
      </c>
      <c r="AS136" s="2" t="str">
        <f ca="1">IFERROR(__xludf.DUMMYFUNCTION("""COMPUTED_VALUE"""),"")</f>
        <v/>
      </c>
      <c r="AT136" s="2" t="str">
        <f ca="1">IFERROR(__xludf.DUMMYFUNCTION("""COMPUTED_VALUE"""),"")</f>
        <v/>
      </c>
      <c r="AU136" s="2" t="str">
        <f ca="1">IFERROR(__xludf.DUMMYFUNCTION("""COMPUTED_VALUE"""),"")</f>
        <v/>
      </c>
      <c r="AV136" s="2" t="str">
        <f ca="1">IFERROR(__xludf.DUMMYFUNCTION("""COMPUTED_VALUE"""),"")</f>
        <v/>
      </c>
      <c r="AW136" s="2" t="str">
        <f ca="1">IFERROR(__xludf.DUMMYFUNCTION("""COMPUTED_VALUE"""),"")</f>
        <v/>
      </c>
      <c r="AX136" s="2" t="str">
        <f ca="1">IFERROR(__xludf.DUMMYFUNCTION("""COMPUTED_VALUE"""),"")</f>
        <v/>
      </c>
      <c r="AY136" s="2" t="str">
        <f ca="1">IFERROR(__xludf.DUMMYFUNCTION("""COMPUTED_VALUE"""),"")</f>
        <v/>
      </c>
      <c r="AZ136" s="2" t="str">
        <f ca="1">IFERROR(__xludf.DUMMYFUNCTION("""COMPUTED_VALUE"""),"")</f>
        <v/>
      </c>
      <c r="BA136" s="2" t="str">
        <f ca="1">IFERROR(__xludf.DUMMYFUNCTION("""COMPUTED_VALUE"""),"")</f>
        <v/>
      </c>
      <c r="BB136" s="2" t="str">
        <f ca="1">IFERROR(__xludf.DUMMYFUNCTION("""COMPUTED_VALUE"""),"")</f>
        <v/>
      </c>
      <c r="BC136" s="2" t="str">
        <f ca="1">IFERROR(__xludf.DUMMYFUNCTION("""COMPUTED_VALUE"""),"")</f>
        <v/>
      </c>
      <c r="BD136" s="2" t="str">
        <f ca="1">IFERROR(__xludf.DUMMYFUNCTION("""COMPUTED_VALUE"""),"")</f>
        <v/>
      </c>
      <c r="BE136" s="2" t="str">
        <f ca="1">IFERROR(__xludf.DUMMYFUNCTION("""COMPUTED_VALUE"""),"")</f>
        <v/>
      </c>
      <c r="BF136" t="str">
        <f ca="1">IFERROR(__xludf.DUMMYFUNCTION("""COMPUTED_VALUE"""),"")</f>
        <v/>
      </c>
      <c r="BG136" t="str">
        <f ca="1">IFERROR(__xludf.DUMMYFUNCTION("""COMPUTED_VALUE"""),"")</f>
        <v/>
      </c>
      <c r="BH136" s="2">
        <f ca="1">IFERROR(__xludf.DUMMYFUNCTION("""COMPUTED_VALUE"""),-37.3542519)</f>
        <v>-37.354251900000001</v>
      </c>
      <c r="BI136" s="13">
        <f ca="1">IFERROR(__xludf.DUMMYFUNCTION("""COMPUTED_VALUE"""),175.1784515)</f>
        <v>175.17845149999999</v>
      </c>
      <c r="BJ136" s="9">
        <f ca="1">IFERROR(__xludf.DUMMYFUNCTION("""COMPUTED_VALUE"""),43444)</f>
        <v>43444</v>
      </c>
      <c r="BK136" s="4">
        <f ca="1">IFERROR(__xludf.DUMMYFUNCTION("""COMPUTED_VALUE"""),0.958518518516939)</f>
        <v>0.95851851851693903</v>
      </c>
    </row>
    <row r="137" spans="1:63" ht="12.5" x14ac:dyDescent="0.25">
      <c r="A137" s="7" t="str">
        <f ca="1">IFERROR(__xludf.DUMMYFUNCTION("""COMPUTED_VALUE"""),"")</f>
        <v/>
      </c>
      <c r="B137" s="8" t="str">
        <f ca="1">IFERROR(__xludf.DUMMYFUNCTION("""COMPUTED_VALUE"""),"Waikato")</f>
        <v>Waikato</v>
      </c>
      <c r="C137" s="2">
        <f ca="1">IFERROR(__xludf.DUMMYFUNCTION("""COMPUTED_VALUE"""),64)</f>
        <v>64</v>
      </c>
      <c r="D137" s="9" t="str">
        <f ca="1">IFERROR(__xludf.DUMMYFUNCTION("""COMPUTED_VALUE"""),"")</f>
        <v/>
      </c>
      <c r="E137" s="4" t="str">
        <f ca="1">IFERROR(__xludf.DUMMYFUNCTION("""COMPUTED_VALUE"""),"")</f>
        <v/>
      </c>
      <c r="F137" s="2" t="str">
        <f ca="1">IFERROR(__xludf.DUMMYFUNCTION("""COMPUTED_VALUE"""),"")</f>
        <v/>
      </c>
      <c r="G137" s="2" t="str">
        <f ca="1">IFERROR(__xludf.DUMMYFUNCTION("""COMPUTED_VALUE"""),"GPS: I converted data downloaded from ARGOS using Pinpoint software")</f>
        <v>GPS: I converted data downloaded from ARGOS using Pinpoint software</v>
      </c>
      <c r="H137" s="2" t="str">
        <f ca="1">IFERROR(__xludf.DUMMYFUNCTION("""COMPUTED_VALUE"""),"3D")</f>
        <v>3D</v>
      </c>
      <c r="I137" s="2" t="str">
        <f ca="1">IFERROR(__xludf.DUMMYFUNCTION("""COMPUTED_VALUE"""),"")</f>
        <v/>
      </c>
      <c r="J137" s="2" t="str">
        <f ca="1">IFERROR(__xludf.DUMMYFUNCTION("""COMPUTED_VALUE"""),"")</f>
        <v/>
      </c>
      <c r="K137" s="2" t="str">
        <f ca="1">IFERROR(__xludf.DUMMYFUNCTION("""COMPUTED_VALUE"""),"")</f>
        <v/>
      </c>
      <c r="L137" s="2" t="str">
        <f ca="1">IFERROR(__xludf.DUMMYFUNCTION("""COMPUTED_VALUE"""),"")</f>
        <v/>
      </c>
      <c r="M137" s="5" t="str">
        <f ca="1">IFERROR(__xludf.DUMMYFUNCTION("""COMPUTED_VALUE"""),"")</f>
        <v/>
      </c>
      <c r="N137" s="5" t="str">
        <f ca="1">IFERROR(__xludf.DUMMYFUNCTION("""COMPUTED_VALUE"""),"")</f>
        <v/>
      </c>
      <c r="O137" s="2" t="str">
        <f ca="1">IFERROR(__xludf.DUMMYFUNCTION("""COMPUTED_VALUE"""),"")</f>
        <v/>
      </c>
      <c r="P137" s="2" t="str">
        <f ca="1">IFERROR(__xludf.DUMMYFUNCTION("""COMPUTED_VALUE"""),"")</f>
        <v/>
      </c>
      <c r="Q137" s="2" t="str">
        <f ca="1">IFERROR(__xludf.DUMMYFUNCTION("""COMPUTED_VALUE"""),"")</f>
        <v/>
      </c>
      <c r="R137" s="2" t="str">
        <f ca="1">IFERROR(__xludf.DUMMYFUNCTION("""COMPUTED_VALUE"""),"")</f>
        <v/>
      </c>
      <c r="S137" s="2" t="str">
        <f ca="1">IFERROR(__xludf.DUMMYFUNCTION("""COMPUTED_VALUE"""),"")</f>
        <v/>
      </c>
      <c r="T137" s="2" t="str">
        <f ca="1">IFERROR(__xludf.DUMMYFUNCTION("""COMPUTED_VALUE"""),"")</f>
        <v/>
      </c>
      <c r="U137" s="2" t="str">
        <f ca="1">IFERROR(__xludf.DUMMYFUNCTION("""COMPUTED_VALUE"""),"")</f>
        <v/>
      </c>
      <c r="V137" s="2" t="str">
        <f ca="1">IFERROR(__xludf.DUMMYFUNCTION("""COMPUTED_VALUE"""),"")</f>
        <v/>
      </c>
      <c r="W137" s="2" t="str">
        <f ca="1">IFERROR(__xludf.DUMMYFUNCTION("""COMPUTED_VALUE"""),"")</f>
        <v/>
      </c>
      <c r="X137" s="2" t="str">
        <f ca="1">IFERROR(__xludf.DUMMYFUNCTION("""COMPUTED_VALUE"""),"")</f>
        <v/>
      </c>
      <c r="Y137" s="2" t="str">
        <f ca="1">IFERROR(__xludf.DUMMYFUNCTION("""COMPUTED_VALUE"""),"")</f>
        <v/>
      </c>
      <c r="Z137" s="2" t="str">
        <f ca="1">IFERROR(__xludf.DUMMYFUNCTION("""COMPUTED_VALUE"""),"")</f>
        <v/>
      </c>
      <c r="AA137" s="2" t="str">
        <f ca="1">IFERROR(__xludf.DUMMYFUNCTION("""COMPUTED_VALUE"""),"")</f>
        <v/>
      </c>
      <c r="AB137" s="2" t="str">
        <f ca="1">IFERROR(__xludf.DUMMYFUNCTION("""COMPUTED_VALUE"""),"")</f>
        <v/>
      </c>
      <c r="AC137" s="2" t="str">
        <f ca="1">IFERROR(__xludf.DUMMYFUNCTION("""COMPUTED_VALUE"""),"")</f>
        <v/>
      </c>
      <c r="AD137" s="2" t="str">
        <f ca="1">IFERROR(__xludf.DUMMYFUNCTION("""COMPUTED_VALUE"""),"")</f>
        <v/>
      </c>
      <c r="AE137" s="2" t="str">
        <f ca="1">IFERROR(__xludf.DUMMYFUNCTION("""COMPUTED_VALUE"""),"")</f>
        <v/>
      </c>
      <c r="AF137" s="2" t="str">
        <f ca="1">IFERROR(__xludf.DUMMYFUNCTION("""COMPUTED_VALUE"""),"")</f>
        <v/>
      </c>
      <c r="AG137" s="2" t="str">
        <f ca="1">IFERROR(__xludf.DUMMYFUNCTION("""COMPUTED_VALUE"""),"")</f>
        <v/>
      </c>
      <c r="AH137" s="2" t="str">
        <f ca="1">IFERROR(__xludf.DUMMYFUNCTION("""COMPUTED_VALUE"""),"")</f>
        <v/>
      </c>
      <c r="AI137" s="2" t="str">
        <f ca="1">IFERROR(__xludf.DUMMYFUNCTION("""COMPUTED_VALUE"""),"")</f>
        <v/>
      </c>
      <c r="AJ137" s="2" t="str">
        <f ca="1">IFERROR(__xludf.DUMMYFUNCTION("""COMPUTED_VALUE"""),"")</f>
        <v/>
      </c>
      <c r="AK137" s="2" t="str">
        <f ca="1">IFERROR(__xludf.DUMMYFUNCTION("""COMPUTED_VALUE"""),"")</f>
        <v/>
      </c>
      <c r="AL137" s="2" t="str">
        <f ca="1">IFERROR(__xludf.DUMMYFUNCTION("""COMPUTED_VALUE"""),"")</f>
        <v/>
      </c>
      <c r="AM137" s="2" t="str">
        <f ca="1">IFERROR(__xludf.DUMMYFUNCTION("""COMPUTED_VALUE"""),"")</f>
        <v/>
      </c>
      <c r="AN137" s="2" t="str">
        <f ca="1">IFERROR(__xludf.DUMMYFUNCTION("""COMPUTED_VALUE"""),"")</f>
        <v/>
      </c>
      <c r="AO137" s="2" t="str">
        <f ca="1">IFERROR(__xludf.DUMMYFUNCTION("""COMPUTED_VALUE"""),"")</f>
        <v/>
      </c>
      <c r="AP137" s="2" t="str">
        <f ca="1">IFERROR(__xludf.DUMMYFUNCTION("""COMPUTED_VALUE"""),"")</f>
        <v/>
      </c>
      <c r="AQ137" s="2" t="str">
        <f ca="1">IFERROR(__xludf.DUMMYFUNCTION("""COMPUTED_VALUE"""),"")</f>
        <v/>
      </c>
      <c r="AR137" s="2" t="str">
        <f ca="1">IFERROR(__xludf.DUMMYFUNCTION("""COMPUTED_VALUE"""),"")</f>
        <v/>
      </c>
      <c r="AS137" s="2" t="str">
        <f ca="1">IFERROR(__xludf.DUMMYFUNCTION("""COMPUTED_VALUE"""),"")</f>
        <v/>
      </c>
      <c r="AT137" s="2" t="str">
        <f ca="1">IFERROR(__xludf.DUMMYFUNCTION("""COMPUTED_VALUE"""),"")</f>
        <v/>
      </c>
      <c r="AU137" s="2" t="str">
        <f ca="1">IFERROR(__xludf.DUMMYFUNCTION("""COMPUTED_VALUE"""),"")</f>
        <v/>
      </c>
      <c r="AV137" s="2" t="str">
        <f ca="1">IFERROR(__xludf.DUMMYFUNCTION("""COMPUTED_VALUE"""),"")</f>
        <v/>
      </c>
      <c r="AW137" s="2" t="str">
        <f ca="1">IFERROR(__xludf.DUMMYFUNCTION("""COMPUTED_VALUE"""),"")</f>
        <v/>
      </c>
      <c r="AX137" s="2" t="str">
        <f ca="1">IFERROR(__xludf.DUMMYFUNCTION("""COMPUTED_VALUE"""),"")</f>
        <v/>
      </c>
      <c r="AY137" s="2" t="str">
        <f ca="1">IFERROR(__xludf.DUMMYFUNCTION("""COMPUTED_VALUE"""),"")</f>
        <v/>
      </c>
      <c r="AZ137" s="2" t="str">
        <f ca="1">IFERROR(__xludf.DUMMYFUNCTION("""COMPUTED_VALUE"""),"")</f>
        <v/>
      </c>
      <c r="BA137" s="2" t="str">
        <f ca="1">IFERROR(__xludf.DUMMYFUNCTION("""COMPUTED_VALUE"""),"")</f>
        <v/>
      </c>
      <c r="BB137" s="2" t="str">
        <f ca="1">IFERROR(__xludf.DUMMYFUNCTION("""COMPUTED_VALUE"""),"")</f>
        <v/>
      </c>
      <c r="BC137" s="2" t="str">
        <f ca="1">IFERROR(__xludf.DUMMYFUNCTION("""COMPUTED_VALUE"""),"")</f>
        <v/>
      </c>
      <c r="BD137" s="2" t="str">
        <f ca="1">IFERROR(__xludf.DUMMYFUNCTION("""COMPUTED_VALUE"""),"")</f>
        <v/>
      </c>
      <c r="BE137" s="2" t="str">
        <f ca="1">IFERROR(__xludf.DUMMYFUNCTION("""COMPUTED_VALUE"""),"")</f>
        <v/>
      </c>
      <c r="BF137" t="str">
        <f ca="1">IFERROR(__xludf.DUMMYFUNCTION("""COMPUTED_VALUE"""),"")</f>
        <v/>
      </c>
      <c r="BG137" t="str">
        <f ca="1">IFERROR(__xludf.DUMMYFUNCTION("""COMPUTED_VALUE"""),"")</f>
        <v/>
      </c>
      <c r="BH137" s="2">
        <f ca="1">IFERROR(__xludf.DUMMYFUNCTION("""COMPUTED_VALUE"""),-37.3368454)</f>
        <v>-37.336845400000001</v>
      </c>
      <c r="BI137" s="12">
        <f ca="1">IFERROR(__xludf.DUMMYFUNCTION("""COMPUTED_VALUE"""),175.1720581)</f>
        <v>175.17205809999999</v>
      </c>
      <c r="BJ137" s="9">
        <f ca="1">IFERROR(__xludf.DUMMYFUNCTION("""COMPUTED_VALUE"""),43446)</f>
        <v>43446</v>
      </c>
      <c r="BK137" s="4">
        <f ca="1">IFERROR(__xludf.DUMMYFUNCTION("""COMPUTED_VALUE"""),0.457777777777664)</f>
        <v>0.45777777777766399</v>
      </c>
    </row>
    <row r="138" spans="1:63" ht="12.5" x14ac:dyDescent="0.25">
      <c r="A138" s="7" t="str">
        <f ca="1">IFERROR(__xludf.DUMMYFUNCTION("""COMPUTED_VALUE"""),"")</f>
        <v/>
      </c>
      <c r="B138" s="8" t="str">
        <f ca="1">IFERROR(__xludf.DUMMYFUNCTION("""COMPUTED_VALUE"""),"Waikato")</f>
        <v>Waikato</v>
      </c>
      <c r="C138" s="2">
        <f ca="1">IFERROR(__xludf.DUMMYFUNCTION("""COMPUTED_VALUE"""),64)</f>
        <v>64</v>
      </c>
      <c r="D138" s="9" t="str">
        <f ca="1">IFERROR(__xludf.DUMMYFUNCTION("""COMPUTED_VALUE"""),"")</f>
        <v/>
      </c>
      <c r="E138" s="4" t="str">
        <f ca="1">IFERROR(__xludf.DUMMYFUNCTION("""COMPUTED_VALUE"""),"")</f>
        <v/>
      </c>
      <c r="F138" s="2" t="str">
        <f ca="1">IFERROR(__xludf.DUMMYFUNCTION("""COMPUTED_VALUE"""),"")</f>
        <v/>
      </c>
      <c r="G138" s="2" t="str">
        <f ca="1">IFERROR(__xludf.DUMMYFUNCTION("""COMPUTED_VALUE"""),"GPS: I converted data downloaded from ARGOS using Pinpoint software")</f>
        <v>GPS: I converted data downloaded from ARGOS using Pinpoint software</v>
      </c>
      <c r="H138" s="2" t="str">
        <f ca="1">IFERROR(__xludf.DUMMYFUNCTION("""COMPUTED_VALUE"""),"3D")</f>
        <v>3D</v>
      </c>
      <c r="I138" s="2" t="str">
        <f ca="1">IFERROR(__xludf.DUMMYFUNCTION("""COMPUTED_VALUE"""),"")</f>
        <v/>
      </c>
      <c r="J138" s="2" t="str">
        <f ca="1">IFERROR(__xludf.DUMMYFUNCTION("""COMPUTED_VALUE"""),"")</f>
        <v/>
      </c>
      <c r="K138" s="2" t="str">
        <f ca="1">IFERROR(__xludf.DUMMYFUNCTION("""COMPUTED_VALUE"""),"")</f>
        <v/>
      </c>
      <c r="L138" s="2" t="str">
        <f ca="1">IFERROR(__xludf.DUMMYFUNCTION("""COMPUTED_VALUE"""),"")</f>
        <v/>
      </c>
      <c r="M138" s="5" t="str">
        <f ca="1">IFERROR(__xludf.DUMMYFUNCTION("""COMPUTED_VALUE"""),"")</f>
        <v/>
      </c>
      <c r="N138" s="5" t="str">
        <f ca="1">IFERROR(__xludf.DUMMYFUNCTION("""COMPUTED_VALUE"""),"")</f>
        <v/>
      </c>
      <c r="O138" s="2" t="str">
        <f ca="1">IFERROR(__xludf.DUMMYFUNCTION("""COMPUTED_VALUE"""),"")</f>
        <v/>
      </c>
      <c r="P138" s="2" t="str">
        <f ca="1">IFERROR(__xludf.DUMMYFUNCTION("""COMPUTED_VALUE"""),"")</f>
        <v/>
      </c>
      <c r="Q138" s="2" t="str">
        <f ca="1">IFERROR(__xludf.DUMMYFUNCTION("""COMPUTED_VALUE"""),"")</f>
        <v/>
      </c>
      <c r="R138" s="2" t="str">
        <f ca="1">IFERROR(__xludf.DUMMYFUNCTION("""COMPUTED_VALUE"""),"")</f>
        <v/>
      </c>
      <c r="S138" s="2" t="str">
        <f ca="1">IFERROR(__xludf.DUMMYFUNCTION("""COMPUTED_VALUE"""),"")</f>
        <v/>
      </c>
      <c r="T138" s="2" t="str">
        <f ca="1">IFERROR(__xludf.DUMMYFUNCTION("""COMPUTED_VALUE"""),"")</f>
        <v/>
      </c>
      <c r="U138" s="2" t="str">
        <f ca="1">IFERROR(__xludf.DUMMYFUNCTION("""COMPUTED_VALUE"""),"")</f>
        <v/>
      </c>
      <c r="V138" s="2" t="str">
        <f ca="1">IFERROR(__xludf.DUMMYFUNCTION("""COMPUTED_VALUE"""),"")</f>
        <v/>
      </c>
      <c r="W138" s="2" t="str">
        <f ca="1">IFERROR(__xludf.DUMMYFUNCTION("""COMPUTED_VALUE"""),"")</f>
        <v/>
      </c>
      <c r="X138" s="2" t="str">
        <f ca="1">IFERROR(__xludf.DUMMYFUNCTION("""COMPUTED_VALUE"""),"")</f>
        <v/>
      </c>
      <c r="Y138" s="2" t="str">
        <f ca="1">IFERROR(__xludf.DUMMYFUNCTION("""COMPUTED_VALUE"""),"")</f>
        <v/>
      </c>
      <c r="Z138" s="2" t="str">
        <f ca="1">IFERROR(__xludf.DUMMYFUNCTION("""COMPUTED_VALUE"""),"")</f>
        <v/>
      </c>
      <c r="AA138" s="2" t="str">
        <f ca="1">IFERROR(__xludf.DUMMYFUNCTION("""COMPUTED_VALUE"""),"")</f>
        <v/>
      </c>
      <c r="AB138" s="2" t="str">
        <f ca="1">IFERROR(__xludf.DUMMYFUNCTION("""COMPUTED_VALUE"""),"")</f>
        <v/>
      </c>
      <c r="AC138" s="2" t="str">
        <f ca="1">IFERROR(__xludf.DUMMYFUNCTION("""COMPUTED_VALUE"""),"")</f>
        <v/>
      </c>
      <c r="AD138" s="2" t="str">
        <f ca="1">IFERROR(__xludf.DUMMYFUNCTION("""COMPUTED_VALUE"""),"")</f>
        <v/>
      </c>
      <c r="AE138" s="2" t="str">
        <f ca="1">IFERROR(__xludf.DUMMYFUNCTION("""COMPUTED_VALUE"""),"")</f>
        <v/>
      </c>
      <c r="AF138" s="2" t="str">
        <f ca="1">IFERROR(__xludf.DUMMYFUNCTION("""COMPUTED_VALUE"""),"")</f>
        <v/>
      </c>
      <c r="AG138" s="2" t="str">
        <f ca="1">IFERROR(__xludf.DUMMYFUNCTION("""COMPUTED_VALUE"""),"")</f>
        <v/>
      </c>
      <c r="AH138" s="2" t="str">
        <f ca="1">IFERROR(__xludf.DUMMYFUNCTION("""COMPUTED_VALUE"""),"")</f>
        <v/>
      </c>
      <c r="AI138" s="2" t="str">
        <f ca="1">IFERROR(__xludf.DUMMYFUNCTION("""COMPUTED_VALUE"""),"")</f>
        <v/>
      </c>
      <c r="AJ138" s="2" t="str">
        <f ca="1">IFERROR(__xludf.DUMMYFUNCTION("""COMPUTED_VALUE"""),"")</f>
        <v/>
      </c>
      <c r="AK138" s="2" t="str">
        <f ca="1">IFERROR(__xludf.DUMMYFUNCTION("""COMPUTED_VALUE"""),"")</f>
        <v/>
      </c>
      <c r="AL138" s="2" t="str">
        <f ca="1">IFERROR(__xludf.DUMMYFUNCTION("""COMPUTED_VALUE"""),"")</f>
        <v/>
      </c>
      <c r="AM138" s="2" t="str">
        <f ca="1">IFERROR(__xludf.DUMMYFUNCTION("""COMPUTED_VALUE"""),"")</f>
        <v/>
      </c>
      <c r="AN138" s="2" t="str">
        <f ca="1">IFERROR(__xludf.DUMMYFUNCTION("""COMPUTED_VALUE"""),"")</f>
        <v/>
      </c>
      <c r="AO138" s="2" t="str">
        <f ca="1">IFERROR(__xludf.DUMMYFUNCTION("""COMPUTED_VALUE"""),"")</f>
        <v/>
      </c>
      <c r="AP138" s="2" t="str">
        <f ca="1">IFERROR(__xludf.DUMMYFUNCTION("""COMPUTED_VALUE"""),"")</f>
        <v/>
      </c>
      <c r="AQ138" s="2" t="str">
        <f ca="1">IFERROR(__xludf.DUMMYFUNCTION("""COMPUTED_VALUE"""),"")</f>
        <v/>
      </c>
      <c r="AR138" s="2" t="str">
        <f ca="1">IFERROR(__xludf.DUMMYFUNCTION("""COMPUTED_VALUE"""),"")</f>
        <v/>
      </c>
      <c r="AS138" s="2" t="str">
        <f ca="1">IFERROR(__xludf.DUMMYFUNCTION("""COMPUTED_VALUE"""),"")</f>
        <v/>
      </c>
      <c r="AT138" s="2" t="str">
        <f ca="1">IFERROR(__xludf.DUMMYFUNCTION("""COMPUTED_VALUE"""),"")</f>
        <v/>
      </c>
      <c r="AU138" s="2" t="str">
        <f ca="1">IFERROR(__xludf.DUMMYFUNCTION("""COMPUTED_VALUE"""),"")</f>
        <v/>
      </c>
      <c r="AV138" s="2" t="str">
        <f ca="1">IFERROR(__xludf.DUMMYFUNCTION("""COMPUTED_VALUE"""),"")</f>
        <v/>
      </c>
      <c r="AW138" s="2" t="str">
        <f ca="1">IFERROR(__xludf.DUMMYFUNCTION("""COMPUTED_VALUE"""),"")</f>
        <v/>
      </c>
      <c r="AX138" s="2" t="str">
        <f ca="1">IFERROR(__xludf.DUMMYFUNCTION("""COMPUTED_VALUE"""),"")</f>
        <v/>
      </c>
      <c r="AY138" s="2" t="str">
        <f ca="1">IFERROR(__xludf.DUMMYFUNCTION("""COMPUTED_VALUE"""),"")</f>
        <v/>
      </c>
      <c r="AZ138" s="2" t="str">
        <f ca="1">IFERROR(__xludf.DUMMYFUNCTION("""COMPUTED_VALUE"""),"")</f>
        <v/>
      </c>
      <c r="BA138" s="2" t="str">
        <f ca="1">IFERROR(__xludf.DUMMYFUNCTION("""COMPUTED_VALUE"""),"")</f>
        <v/>
      </c>
      <c r="BB138" s="2" t="str">
        <f ca="1">IFERROR(__xludf.DUMMYFUNCTION("""COMPUTED_VALUE"""),"")</f>
        <v/>
      </c>
      <c r="BC138" s="2" t="str">
        <f ca="1">IFERROR(__xludf.DUMMYFUNCTION("""COMPUTED_VALUE"""),"")</f>
        <v/>
      </c>
      <c r="BD138" s="2" t="str">
        <f ca="1">IFERROR(__xludf.DUMMYFUNCTION("""COMPUTED_VALUE"""),"")</f>
        <v/>
      </c>
      <c r="BE138" s="2" t="str">
        <f ca="1">IFERROR(__xludf.DUMMYFUNCTION("""COMPUTED_VALUE"""),"")</f>
        <v/>
      </c>
      <c r="BF138" t="str">
        <f ca="1">IFERROR(__xludf.DUMMYFUNCTION("""COMPUTED_VALUE"""),"")</f>
        <v/>
      </c>
      <c r="BG138" t="str">
        <f ca="1">IFERROR(__xludf.DUMMYFUNCTION("""COMPUTED_VALUE"""),"")</f>
        <v/>
      </c>
      <c r="BH138" s="2">
        <f ca="1">IFERROR(__xludf.DUMMYFUNCTION("""COMPUTED_VALUE"""),-37.3457298)</f>
        <v>-37.345729800000001</v>
      </c>
      <c r="BI138" s="13">
        <f ca="1">IFERROR(__xludf.DUMMYFUNCTION("""COMPUTED_VALUE"""),175.1704254)</f>
        <v>175.1704254</v>
      </c>
      <c r="BJ138" s="9">
        <f ca="1">IFERROR(__xludf.DUMMYFUNCTION("""COMPUTED_VALUE"""),43446)</f>
        <v>43446</v>
      </c>
      <c r="BK138" s="4">
        <f ca="1">IFERROR(__xludf.DUMMYFUNCTION("""COMPUTED_VALUE"""),0.958518518516939)</f>
        <v>0.95851851851693903</v>
      </c>
    </row>
    <row r="139" spans="1:63" ht="12.5" x14ac:dyDescent="0.25">
      <c r="A139" s="7" t="str">
        <f ca="1">IFERROR(__xludf.DUMMYFUNCTION("""COMPUTED_VALUE"""),"")</f>
        <v/>
      </c>
      <c r="B139" s="8" t="str">
        <f ca="1">IFERROR(__xludf.DUMMYFUNCTION("""COMPUTED_VALUE"""),"Waikato")</f>
        <v>Waikato</v>
      </c>
      <c r="C139" s="2">
        <f ca="1">IFERROR(__xludf.DUMMYFUNCTION("""COMPUTED_VALUE"""),64)</f>
        <v>64</v>
      </c>
      <c r="D139" s="9" t="str">
        <f ca="1">IFERROR(__xludf.DUMMYFUNCTION("""COMPUTED_VALUE"""),"")</f>
        <v/>
      </c>
      <c r="E139" s="4" t="str">
        <f ca="1">IFERROR(__xludf.DUMMYFUNCTION("""COMPUTED_VALUE"""),"")</f>
        <v/>
      </c>
      <c r="F139" s="2" t="str">
        <f ca="1">IFERROR(__xludf.DUMMYFUNCTION("""COMPUTED_VALUE"""),"")</f>
        <v/>
      </c>
      <c r="G139" s="2" t="str">
        <f ca="1">IFERROR(__xludf.DUMMYFUNCTION("""COMPUTED_VALUE"""),"GPS: I converted data downloaded from ARGOS using Pinpoint software")</f>
        <v>GPS: I converted data downloaded from ARGOS using Pinpoint software</v>
      </c>
      <c r="H139" s="2" t="str">
        <f ca="1">IFERROR(__xludf.DUMMYFUNCTION("""COMPUTED_VALUE"""),"3D")</f>
        <v>3D</v>
      </c>
      <c r="I139" s="2" t="str">
        <f ca="1">IFERROR(__xludf.DUMMYFUNCTION("""COMPUTED_VALUE"""),"")</f>
        <v/>
      </c>
      <c r="J139" s="2" t="str">
        <f ca="1">IFERROR(__xludf.DUMMYFUNCTION("""COMPUTED_VALUE"""),"")</f>
        <v/>
      </c>
      <c r="K139" s="2" t="str">
        <f ca="1">IFERROR(__xludf.DUMMYFUNCTION("""COMPUTED_VALUE"""),"")</f>
        <v/>
      </c>
      <c r="L139" s="2" t="str">
        <f ca="1">IFERROR(__xludf.DUMMYFUNCTION("""COMPUTED_VALUE"""),"")</f>
        <v/>
      </c>
      <c r="M139" s="5" t="str">
        <f ca="1">IFERROR(__xludf.DUMMYFUNCTION("""COMPUTED_VALUE"""),"")</f>
        <v/>
      </c>
      <c r="N139" s="5" t="str">
        <f ca="1">IFERROR(__xludf.DUMMYFUNCTION("""COMPUTED_VALUE"""),"")</f>
        <v/>
      </c>
      <c r="O139" s="2" t="str">
        <f ca="1">IFERROR(__xludf.DUMMYFUNCTION("""COMPUTED_VALUE"""),"")</f>
        <v/>
      </c>
      <c r="P139" s="2" t="str">
        <f ca="1">IFERROR(__xludf.DUMMYFUNCTION("""COMPUTED_VALUE"""),"")</f>
        <v/>
      </c>
      <c r="Q139" s="2" t="str">
        <f ca="1">IFERROR(__xludf.DUMMYFUNCTION("""COMPUTED_VALUE"""),"")</f>
        <v/>
      </c>
      <c r="R139" s="2" t="str">
        <f ca="1">IFERROR(__xludf.DUMMYFUNCTION("""COMPUTED_VALUE"""),"")</f>
        <v/>
      </c>
      <c r="S139" s="2" t="str">
        <f ca="1">IFERROR(__xludf.DUMMYFUNCTION("""COMPUTED_VALUE"""),"")</f>
        <v/>
      </c>
      <c r="T139" s="2" t="str">
        <f ca="1">IFERROR(__xludf.DUMMYFUNCTION("""COMPUTED_VALUE"""),"")</f>
        <v/>
      </c>
      <c r="U139" s="2" t="str">
        <f ca="1">IFERROR(__xludf.DUMMYFUNCTION("""COMPUTED_VALUE"""),"")</f>
        <v/>
      </c>
      <c r="V139" s="2" t="str">
        <f ca="1">IFERROR(__xludf.DUMMYFUNCTION("""COMPUTED_VALUE"""),"")</f>
        <v/>
      </c>
      <c r="W139" s="2" t="str">
        <f ca="1">IFERROR(__xludf.DUMMYFUNCTION("""COMPUTED_VALUE"""),"")</f>
        <v/>
      </c>
      <c r="X139" s="2" t="str">
        <f ca="1">IFERROR(__xludf.DUMMYFUNCTION("""COMPUTED_VALUE"""),"")</f>
        <v/>
      </c>
      <c r="Y139" s="2" t="str">
        <f ca="1">IFERROR(__xludf.DUMMYFUNCTION("""COMPUTED_VALUE"""),"")</f>
        <v/>
      </c>
      <c r="Z139" s="2" t="str">
        <f ca="1">IFERROR(__xludf.DUMMYFUNCTION("""COMPUTED_VALUE"""),"")</f>
        <v/>
      </c>
      <c r="AA139" s="2" t="str">
        <f ca="1">IFERROR(__xludf.DUMMYFUNCTION("""COMPUTED_VALUE"""),"")</f>
        <v/>
      </c>
      <c r="AB139" s="2" t="str">
        <f ca="1">IFERROR(__xludf.DUMMYFUNCTION("""COMPUTED_VALUE"""),"")</f>
        <v/>
      </c>
      <c r="AC139" s="2" t="str">
        <f ca="1">IFERROR(__xludf.DUMMYFUNCTION("""COMPUTED_VALUE"""),"")</f>
        <v/>
      </c>
      <c r="AD139" s="2" t="str">
        <f ca="1">IFERROR(__xludf.DUMMYFUNCTION("""COMPUTED_VALUE"""),"")</f>
        <v/>
      </c>
      <c r="AE139" s="2" t="str">
        <f ca="1">IFERROR(__xludf.DUMMYFUNCTION("""COMPUTED_VALUE"""),"")</f>
        <v/>
      </c>
      <c r="AF139" s="2" t="str">
        <f ca="1">IFERROR(__xludf.DUMMYFUNCTION("""COMPUTED_VALUE"""),"")</f>
        <v/>
      </c>
      <c r="AG139" s="2" t="str">
        <f ca="1">IFERROR(__xludf.DUMMYFUNCTION("""COMPUTED_VALUE"""),"")</f>
        <v/>
      </c>
      <c r="AH139" s="2" t="str">
        <f ca="1">IFERROR(__xludf.DUMMYFUNCTION("""COMPUTED_VALUE"""),"")</f>
        <v/>
      </c>
      <c r="AI139" s="2" t="str">
        <f ca="1">IFERROR(__xludf.DUMMYFUNCTION("""COMPUTED_VALUE"""),"")</f>
        <v/>
      </c>
      <c r="AJ139" s="2" t="str">
        <f ca="1">IFERROR(__xludf.DUMMYFUNCTION("""COMPUTED_VALUE"""),"")</f>
        <v/>
      </c>
      <c r="AK139" s="2" t="str">
        <f ca="1">IFERROR(__xludf.DUMMYFUNCTION("""COMPUTED_VALUE"""),"")</f>
        <v/>
      </c>
      <c r="AL139" s="2" t="str">
        <f ca="1">IFERROR(__xludf.DUMMYFUNCTION("""COMPUTED_VALUE"""),"")</f>
        <v/>
      </c>
      <c r="AM139" s="2" t="str">
        <f ca="1">IFERROR(__xludf.DUMMYFUNCTION("""COMPUTED_VALUE"""),"")</f>
        <v/>
      </c>
      <c r="AN139" s="2" t="str">
        <f ca="1">IFERROR(__xludf.DUMMYFUNCTION("""COMPUTED_VALUE"""),"")</f>
        <v/>
      </c>
      <c r="AO139" s="2" t="str">
        <f ca="1">IFERROR(__xludf.DUMMYFUNCTION("""COMPUTED_VALUE"""),"")</f>
        <v/>
      </c>
      <c r="AP139" s="2" t="str">
        <f ca="1">IFERROR(__xludf.DUMMYFUNCTION("""COMPUTED_VALUE"""),"")</f>
        <v/>
      </c>
      <c r="AQ139" s="2" t="str">
        <f ca="1">IFERROR(__xludf.DUMMYFUNCTION("""COMPUTED_VALUE"""),"")</f>
        <v/>
      </c>
      <c r="AR139" s="2" t="str">
        <f ca="1">IFERROR(__xludf.DUMMYFUNCTION("""COMPUTED_VALUE"""),"")</f>
        <v/>
      </c>
      <c r="AS139" s="2" t="str">
        <f ca="1">IFERROR(__xludf.DUMMYFUNCTION("""COMPUTED_VALUE"""),"")</f>
        <v/>
      </c>
      <c r="AT139" s="2" t="str">
        <f ca="1">IFERROR(__xludf.DUMMYFUNCTION("""COMPUTED_VALUE"""),"")</f>
        <v/>
      </c>
      <c r="AU139" s="2" t="str">
        <f ca="1">IFERROR(__xludf.DUMMYFUNCTION("""COMPUTED_VALUE"""),"")</f>
        <v/>
      </c>
      <c r="AV139" s="2" t="str">
        <f ca="1">IFERROR(__xludf.DUMMYFUNCTION("""COMPUTED_VALUE"""),"")</f>
        <v/>
      </c>
      <c r="AW139" s="2" t="str">
        <f ca="1">IFERROR(__xludf.DUMMYFUNCTION("""COMPUTED_VALUE"""),"")</f>
        <v/>
      </c>
      <c r="AX139" s="2" t="str">
        <f ca="1">IFERROR(__xludf.DUMMYFUNCTION("""COMPUTED_VALUE"""),"")</f>
        <v/>
      </c>
      <c r="AY139" s="2" t="str">
        <f ca="1">IFERROR(__xludf.DUMMYFUNCTION("""COMPUTED_VALUE"""),"")</f>
        <v/>
      </c>
      <c r="AZ139" s="2" t="str">
        <f ca="1">IFERROR(__xludf.DUMMYFUNCTION("""COMPUTED_VALUE"""),"")</f>
        <v/>
      </c>
      <c r="BA139" s="2" t="str">
        <f ca="1">IFERROR(__xludf.DUMMYFUNCTION("""COMPUTED_VALUE"""),"")</f>
        <v/>
      </c>
      <c r="BB139" s="2" t="str">
        <f ca="1">IFERROR(__xludf.DUMMYFUNCTION("""COMPUTED_VALUE"""),"")</f>
        <v/>
      </c>
      <c r="BC139" s="2" t="str">
        <f ca="1">IFERROR(__xludf.DUMMYFUNCTION("""COMPUTED_VALUE"""),"")</f>
        <v/>
      </c>
      <c r="BD139" s="2" t="str">
        <f ca="1">IFERROR(__xludf.DUMMYFUNCTION("""COMPUTED_VALUE"""),"")</f>
        <v/>
      </c>
      <c r="BE139" s="2" t="str">
        <f ca="1">IFERROR(__xludf.DUMMYFUNCTION("""COMPUTED_VALUE"""),"")</f>
        <v/>
      </c>
      <c r="BF139" t="str">
        <f ca="1">IFERROR(__xludf.DUMMYFUNCTION("""COMPUTED_VALUE"""),"")</f>
        <v/>
      </c>
      <c r="BG139" t="str">
        <f ca="1">IFERROR(__xludf.DUMMYFUNCTION("""COMPUTED_VALUE"""),"")</f>
        <v/>
      </c>
      <c r="BH139" s="2">
        <f ca="1">IFERROR(__xludf.DUMMYFUNCTION("""COMPUTED_VALUE"""),-37.3370514)</f>
        <v>-37.3370514</v>
      </c>
      <c r="BI139" s="12">
        <f ca="1">IFERROR(__xludf.DUMMYFUNCTION("""COMPUTED_VALUE"""),175.1694183)</f>
        <v>175.16941829999999</v>
      </c>
      <c r="BJ139" s="9">
        <f ca="1">IFERROR(__xludf.DUMMYFUNCTION("""COMPUTED_VALUE"""),43448)</f>
        <v>43448</v>
      </c>
      <c r="BK139" s="4">
        <f ca="1">IFERROR(__xludf.DUMMYFUNCTION("""COMPUTED_VALUE"""),0.457777777777664)</f>
        <v>0.45777777777766399</v>
      </c>
    </row>
    <row r="140" spans="1:63" ht="12.5" x14ac:dyDescent="0.25">
      <c r="A140" s="7" t="str">
        <f ca="1">IFERROR(__xludf.DUMMYFUNCTION("""COMPUTED_VALUE"""),"")</f>
        <v/>
      </c>
      <c r="B140" s="8" t="str">
        <f ca="1">IFERROR(__xludf.DUMMYFUNCTION("""COMPUTED_VALUE"""),"Waikato")</f>
        <v>Waikato</v>
      </c>
      <c r="C140" s="2">
        <f ca="1">IFERROR(__xludf.DUMMYFUNCTION("""COMPUTED_VALUE"""),64)</f>
        <v>64</v>
      </c>
      <c r="D140" s="9" t="str">
        <f ca="1">IFERROR(__xludf.DUMMYFUNCTION("""COMPUTED_VALUE"""),"")</f>
        <v/>
      </c>
      <c r="E140" s="4" t="str">
        <f ca="1">IFERROR(__xludf.DUMMYFUNCTION("""COMPUTED_VALUE"""),"")</f>
        <v/>
      </c>
      <c r="F140" s="2" t="str">
        <f ca="1">IFERROR(__xludf.DUMMYFUNCTION("""COMPUTED_VALUE"""),"")</f>
        <v/>
      </c>
      <c r="G140" s="2" t="str">
        <f ca="1">IFERROR(__xludf.DUMMYFUNCTION("""COMPUTED_VALUE"""),"GPS: I converted data downloaded from ARGOS using Pinpoint software")</f>
        <v>GPS: I converted data downloaded from ARGOS using Pinpoint software</v>
      </c>
      <c r="H140" s="2" t="str">
        <f ca="1">IFERROR(__xludf.DUMMYFUNCTION("""COMPUTED_VALUE"""),"3D")</f>
        <v>3D</v>
      </c>
      <c r="I140" s="2" t="str">
        <f ca="1">IFERROR(__xludf.DUMMYFUNCTION("""COMPUTED_VALUE"""),"")</f>
        <v/>
      </c>
      <c r="J140" s="2" t="str">
        <f ca="1">IFERROR(__xludf.DUMMYFUNCTION("""COMPUTED_VALUE"""),"")</f>
        <v/>
      </c>
      <c r="K140" s="2" t="str">
        <f ca="1">IFERROR(__xludf.DUMMYFUNCTION("""COMPUTED_VALUE"""),"")</f>
        <v/>
      </c>
      <c r="L140" s="2" t="str">
        <f ca="1">IFERROR(__xludf.DUMMYFUNCTION("""COMPUTED_VALUE"""),"")</f>
        <v/>
      </c>
      <c r="M140" s="5" t="str">
        <f ca="1">IFERROR(__xludf.DUMMYFUNCTION("""COMPUTED_VALUE"""),"")</f>
        <v/>
      </c>
      <c r="N140" s="5" t="str">
        <f ca="1">IFERROR(__xludf.DUMMYFUNCTION("""COMPUTED_VALUE"""),"")</f>
        <v/>
      </c>
      <c r="O140" s="2" t="str">
        <f ca="1">IFERROR(__xludf.DUMMYFUNCTION("""COMPUTED_VALUE"""),"")</f>
        <v/>
      </c>
      <c r="P140" s="2" t="str">
        <f ca="1">IFERROR(__xludf.DUMMYFUNCTION("""COMPUTED_VALUE"""),"")</f>
        <v/>
      </c>
      <c r="Q140" s="2" t="str">
        <f ca="1">IFERROR(__xludf.DUMMYFUNCTION("""COMPUTED_VALUE"""),"")</f>
        <v/>
      </c>
      <c r="R140" s="2" t="str">
        <f ca="1">IFERROR(__xludf.DUMMYFUNCTION("""COMPUTED_VALUE"""),"")</f>
        <v/>
      </c>
      <c r="S140" s="2" t="str">
        <f ca="1">IFERROR(__xludf.DUMMYFUNCTION("""COMPUTED_VALUE"""),"")</f>
        <v/>
      </c>
      <c r="T140" s="2" t="str">
        <f ca="1">IFERROR(__xludf.DUMMYFUNCTION("""COMPUTED_VALUE"""),"")</f>
        <v/>
      </c>
      <c r="U140" s="2" t="str">
        <f ca="1">IFERROR(__xludf.DUMMYFUNCTION("""COMPUTED_VALUE"""),"")</f>
        <v/>
      </c>
      <c r="V140" s="2" t="str">
        <f ca="1">IFERROR(__xludf.DUMMYFUNCTION("""COMPUTED_VALUE"""),"")</f>
        <v/>
      </c>
      <c r="W140" s="2" t="str">
        <f ca="1">IFERROR(__xludf.DUMMYFUNCTION("""COMPUTED_VALUE"""),"")</f>
        <v/>
      </c>
      <c r="X140" s="2" t="str">
        <f ca="1">IFERROR(__xludf.DUMMYFUNCTION("""COMPUTED_VALUE"""),"")</f>
        <v/>
      </c>
      <c r="Y140" s="2" t="str">
        <f ca="1">IFERROR(__xludf.DUMMYFUNCTION("""COMPUTED_VALUE"""),"")</f>
        <v/>
      </c>
      <c r="Z140" s="2" t="str">
        <f ca="1">IFERROR(__xludf.DUMMYFUNCTION("""COMPUTED_VALUE"""),"")</f>
        <v/>
      </c>
      <c r="AA140" s="2" t="str">
        <f ca="1">IFERROR(__xludf.DUMMYFUNCTION("""COMPUTED_VALUE"""),"")</f>
        <v/>
      </c>
      <c r="AB140" s="2" t="str">
        <f ca="1">IFERROR(__xludf.DUMMYFUNCTION("""COMPUTED_VALUE"""),"")</f>
        <v/>
      </c>
      <c r="AC140" s="2" t="str">
        <f ca="1">IFERROR(__xludf.DUMMYFUNCTION("""COMPUTED_VALUE"""),"")</f>
        <v/>
      </c>
      <c r="AD140" s="2" t="str">
        <f ca="1">IFERROR(__xludf.DUMMYFUNCTION("""COMPUTED_VALUE"""),"")</f>
        <v/>
      </c>
      <c r="AE140" s="2" t="str">
        <f ca="1">IFERROR(__xludf.DUMMYFUNCTION("""COMPUTED_VALUE"""),"")</f>
        <v/>
      </c>
      <c r="AF140" s="2" t="str">
        <f ca="1">IFERROR(__xludf.DUMMYFUNCTION("""COMPUTED_VALUE"""),"")</f>
        <v/>
      </c>
      <c r="AG140" s="2" t="str">
        <f ca="1">IFERROR(__xludf.DUMMYFUNCTION("""COMPUTED_VALUE"""),"")</f>
        <v/>
      </c>
      <c r="AH140" s="2" t="str">
        <f ca="1">IFERROR(__xludf.DUMMYFUNCTION("""COMPUTED_VALUE"""),"")</f>
        <v/>
      </c>
      <c r="AI140" s="2" t="str">
        <f ca="1">IFERROR(__xludf.DUMMYFUNCTION("""COMPUTED_VALUE"""),"")</f>
        <v/>
      </c>
      <c r="AJ140" s="2" t="str">
        <f ca="1">IFERROR(__xludf.DUMMYFUNCTION("""COMPUTED_VALUE"""),"")</f>
        <v/>
      </c>
      <c r="AK140" s="2" t="str">
        <f ca="1">IFERROR(__xludf.DUMMYFUNCTION("""COMPUTED_VALUE"""),"")</f>
        <v/>
      </c>
      <c r="AL140" s="2" t="str">
        <f ca="1">IFERROR(__xludf.DUMMYFUNCTION("""COMPUTED_VALUE"""),"")</f>
        <v/>
      </c>
      <c r="AM140" s="2" t="str">
        <f ca="1">IFERROR(__xludf.DUMMYFUNCTION("""COMPUTED_VALUE"""),"")</f>
        <v/>
      </c>
      <c r="AN140" s="2" t="str">
        <f ca="1">IFERROR(__xludf.DUMMYFUNCTION("""COMPUTED_VALUE"""),"")</f>
        <v/>
      </c>
      <c r="AO140" s="2" t="str">
        <f ca="1">IFERROR(__xludf.DUMMYFUNCTION("""COMPUTED_VALUE"""),"")</f>
        <v/>
      </c>
      <c r="AP140" s="2" t="str">
        <f ca="1">IFERROR(__xludf.DUMMYFUNCTION("""COMPUTED_VALUE"""),"")</f>
        <v/>
      </c>
      <c r="AQ140" s="2" t="str">
        <f ca="1">IFERROR(__xludf.DUMMYFUNCTION("""COMPUTED_VALUE"""),"")</f>
        <v/>
      </c>
      <c r="AR140" s="2" t="str">
        <f ca="1">IFERROR(__xludf.DUMMYFUNCTION("""COMPUTED_VALUE"""),"")</f>
        <v/>
      </c>
      <c r="AS140" s="2" t="str">
        <f ca="1">IFERROR(__xludf.DUMMYFUNCTION("""COMPUTED_VALUE"""),"")</f>
        <v/>
      </c>
      <c r="AT140" s="2" t="str">
        <f ca="1">IFERROR(__xludf.DUMMYFUNCTION("""COMPUTED_VALUE"""),"")</f>
        <v/>
      </c>
      <c r="AU140" s="2" t="str">
        <f ca="1">IFERROR(__xludf.DUMMYFUNCTION("""COMPUTED_VALUE"""),"")</f>
        <v/>
      </c>
      <c r="AV140" s="2" t="str">
        <f ca="1">IFERROR(__xludf.DUMMYFUNCTION("""COMPUTED_VALUE"""),"")</f>
        <v/>
      </c>
      <c r="AW140" s="2" t="str">
        <f ca="1">IFERROR(__xludf.DUMMYFUNCTION("""COMPUTED_VALUE"""),"")</f>
        <v/>
      </c>
      <c r="AX140" s="2" t="str">
        <f ca="1">IFERROR(__xludf.DUMMYFUNCTION("""COMPUTED_VALUE"""),"")</f>
        <v/>
      </c>
      <c r="AY140" s="2" t="str">
        <f ca="1">IFERROR(__xludf.DUMMYFUNCTION("""COMPUTED_VALUE"""),"")</f>
        <v/>
      </c>
      <c r="AZ140" s="2" t="str">
        <f ca="1">IFERROR(__xludf.DUMMYFUNCTION("""COMPUTED_VALUE"""),"")</f>
        <v/>
      </c>
      <c r="BA140" s="2" t="str">
        <f ca="1">IFERROR(__xludf.DUMMYFUNCTION("""COMPUTED_VALUE"""),"")</f>
        <v/>
      </c>
      <c r="BB140" s="2" t="str">
        <f ca="1">IFERROR(__xludf.DUMMYFUNCTION("""COMPUTED_VALUE"""),"")</f>
        <v/>
      </c>
      <c r="BC140" s="2" t="str">
        <f ca="1">IFERROR(__xludf.DUMMYFUNCTION("""COMPUTED_VALUE"""),"")</f>
        <v/>
      </c>
      <c r="BD140" s="2" t="str">
        <f ca="1">IFERROR(__xludf.DUMMYFUNCTION("""COMPUTED_VALUE"""),"")</f>
        <v/>
      </c>
      <c r="BE140" s="2" t="str">
        <f ca="1">IFERROR(__xludf.DUMMYFUNCTION("""COMPUTED_VALUE"""),"")</f>
        <v/>
      </c>
      <c r="BF140" t="str">
        <f ca="1">IFERROR(__xludf.DUMMYFUNCTION("""COMPUTED_VALUE"""),"")</f>
        <v/>
      </c>
      <c r="BG140" t="str">
        <f ca="1">IFERROR(__xludf.DUMMYFUNCTION("""COMPUTED_VALUE"""),"")</f>
        <v/>
      </c>
      <c r="BH140" s="2">
        <f ca="1">IFERROR(__xludf.DUMMYFUNCTION("""COMPUTED_VALUE"""),-37.3454475)</f>
        <v>-37.345447499999999</v>
      </c>
      <c r="BI140" s="13">
        <f ca="1">IFERROR(__xludf.DUMMYFUNCTION("""COMPUTED_VALUE"""),175.1701813)</f>
        <v>175.1701813</v>
      </c>
      <c r="BJ140" s="9">
        <f ca="1">IFERROR(__xludf.DUMMYFUNCTION("""COMPUTED_VALUE"""),43448)</f>
        <v>43448</v>
      </c>
      <c r="BK140" s="4">
        <f ca="1">IFERROR(__xludf.DUMMYFUNCTION("""COMPUTED_VALUE"""),0.875555555554456)</f>
        <v>0.87555555555445597</v>
      </c>
    </row>
    <row r="141" spans="1:63" ht="12.5" x14ac:dyDescent="0.25">
      <c r="A141" s="7" t="str">
        <f ca="1">IFERROR(__xludf.DUMMYFUNCTION("""COMPUTED_VALUE"""),"")</f>
        <v/>
      </c>
      <c r="B141" s="8" t="str">
        <f ca="1">IFERROR(__xludf.DUMMYFUNCTION("""COMPUTED_VALUE"""),"Waikato")</f>
        <v>Waikato</v>
      </c>
      <c r="C141" s="2">
        <f ca="1">IFERROR(__xludf.DUMMYFUNCTION("""COMPUTED_VALUE"""),64)</f>
        <v>64</v>
      </c>
      <c r="D141" s="9" t="str">
        <f ca="1">IFERROR(__xludf.DUMMYFUNCTION("""COMPUTED_VALUE"""),"")</f>
        <v/>
      </c>
      <c r="E141" s="4" t="str">
        <f ca="1">IFERROR(__xludf.DUMMYFUNCTION("""COMPUTED_VALUE"""),"")</f>
        <v/>
      </c>
      <c r="F141" s="2" t="str">
        <f ca="1">IFERROR(__xludf.DUMMYFUNCTION("""COMPUTED_VALUE"""),"")</f>
        <v/>
      </c>
      <c r="G141" s="2" t="str">
        <f ca="1">IFERROR(__xludf.DUMMYFUNCTION("""COMPUTED_VALUE"""),"GPS: I converted data downloaded from ARGOS using Pinpoint software")</f>
        <v>GPS: I converted data downloaded from ARGOS using Pinpoint software</v>
      </c>
      <c r="H141" s="2" t="str">
        <f ca="1">IFERROR(__xludf.DUMMYFUNCTION("""COMPUTED_VALUE"""),"3D")</f>
        <v>3D</v>
      </c>
      <c r="I141" s="2" t="str">
        <f ca="1">IFERROR(__xludf.DUMMYFUNCTION("""COMPUTED_VALUE"""),"")</f>
        <v/>
      </c>
      <c r="J141" s="2" t="str">
        <f ca="1">IFERROR(__xludf.DUMMYFUNCTION("""COMPUTED_VALUE"""),"")</f>
        <v/>
      </c>
      <c r="K141" s="2" t="str">
        <f ca="1">IFERROR(__xludf.DUMMYFUNCTION("""COMPUTED_VALUE"""),"")</f>
        <v/>
      </c>
      <c r="L141" s="2" t="str">
        <f ca="1">IFERROR(__xludf.DUMMYFUNCTION("""COMPUTED_VALUE"""),"")</f>
        <v/>
      </c>
      <c r="M141" s="5" t="str">
        <f ca="1">IFERROR(__xludf.DUMMYFUNCTION("""COMPUTED_VALUE"""),"")</f>
        <v/>
      </c>
      <c r="N141" s="5" t="str">
        <f ca="1">IFERROR(__xludf.DUMMYFUNCTION("""COMPUTED_VALUE"""),"")</f>
        <v/>
      </c>
      <c r="O141" s="2" t="str">
        <f ca="1">IFERROR(__xludf.DUMMYFUNCTION("""COMPUTED_VALUE"""),"")</f>
        <v/>
      </c>
      <c r="P141" s="2" t="str">
        <f ca="1">IFERROR(__xludf.DUMMYFUNCTION("""COMPUTED_VALUE"""),"")</f>
        <v/>
      </c>
      <c r="Q141" s="2" t="str">
        <f ca="1">IFERROR(__xludf.DUMMYFUNCTION("""COMPUTED_VALUE"""),"")</f>
        <v/>
      </c>
      <c r="R141" s="2" t="str">
        <f ca="1">IFERROR(__xludf.DUMMYFUNCTION("""COMPUTED_VALUE"""),"")</f>
        <v/>
      </c>
      <c r="S141" s="2" t="str">
        <f ca="1">IFERROR(__xludf.DUMMYFUNCTION("""COMPUTED_VALUE"""),"")</f>
        <v/>
      </c>
      <c r="T141" s="2" t="str">
        <f ca="1">IFERROR(__xludf.DUMMYFUNCTION("""COMPUTED_VALUE"""),"")</f>
        <v/>
      </c>
      <c r="U141" s="2" t="str">
        <f ca="1">IFERROR(__xludf.DUMMYFUNCTION("""COMPUTED_VALUE"""),"")</f>
        <v/>
      </c>
      <c r="V141" s="2" t="str">
        <f ca="1">IFERROR(__xludf.DUMMYFUNCTION("""COMPUTED_VALUE"""),"")</f>
        <v/>
      </c>
      <c r="W141" s="2" t="str">
        <f ca="1">IFERROR(__xludf.DUMMYFUNCTION("""COMPUTED_VALUE"""),"")</f>
        <v/>
      </c>
      <c r="X141" s="2" t="str">
        <f ca="1">IFERROR(__xludf.DUMMYFUNCTION("""COMPUTED_VALUE"""),"")</f>
        <v/>
      </c>
      <c r="Y141" s="2" t="str">
        <f ca="1">IFERROR(__xludf.DUMMYFUNCTION("""COMPUTED_VALUE"""),"")</f>
        <v/>
      </c>
      <c r="Z141" s="2" t="str">
        <f ca="1">IFERROR(__xludf.DUMMYFUNCTION("""COMPUTED_VALUE"""),"")</f>
        <v/>
      </c>
      <c r="AA141" s="2" t="str">
        <f ca="1">IFERROR(__xludf.DUMMYFUNCTION("""COMPUTED_VALUE"""),"")</f>
        <v/>
      </c>
      <c r="AB141" s="2" t="str">
        <f ca="1">IFERROR(__xludf.DUMMYFUNCTION("""COMPUTED_VALUE"""),"")</f>
        <v/>
      </c>
      <c r="AC141" s="2" t="str">
        <f ca="1">IFERROR(__xludf.DUMMYFUNCTION("""COMPUTED_VALUE"""),"")</f>
        <v/>
      </c>
      <c r="AD141" s="2" t="str">
        <f ca="1">IFERROR(__xludf.DUMMYFUNCTION("""COMPUTED_VALUE"""),"")</f>
        <v/>
      </c>
      <c r="AE141" s="2" t="str">
        <f ca="1">IFERROR(__xludf.DUMMYFUNCTION("""COMPUTED_VALUE"""),"")</f>
        <v/>
      </c>
      <c r="AF141" s="2" t="str">
        <f ca="1">IFERROR(__xludf.DUMMYFUNCTION("""COMPUTED_VALUE"""),"")</f>
        <v/>
      </c>
      <c r="AG141" s="2" t="str">
        <f ca="1">IFERROR(__xludf.DUMMYFUNCTION("""COMPUTED_VALUE"""),"")</f>
        <v/>
      </c>
      <c r="AH141" s="2" t="str">
        <f ca="1">IFERROR(__xludf.DUMMYFUNCTION("""COMPUTED_VALUE"""),"")</f>
        <v/>
      </c>
      <c r="AI141" s="2" t="str">
        <f ca="1">IFERROR(__xludf.DUMMYFUNCTION("""COMPUTED_VALUE"""),"")</f>
        <v/>
      </c>
      <c r="AJ141" s="2" t="str">
        <f ca="1">IFERROR(__xludf.DUMMYFUNCTION("""COMPUTED_VALUE"""),"")</f>
        <v/>
      </c>
      <c r="AK141" s="2" t="str">
        <f ca="1">IFERROR(__xludf.DUMMYFUNCTION("""COMPUTED_VALUE"""),"")</f>
        <v/>
      </c>
      <c r="AL141" s="2" t="str">
        <f ca="1">IFERROR(__xludf.DUMMYFUNCTION("""COMPUTED_VALUE"""),"")</f>
        <v/>
      </c>
      <c r="AM141" s="2" t="str">
        <f ca="1">IFERROR(__xludf.DUMMYFUNCTION("""COMPUTED_VALUE"""),"")</f>
        <v/>
      </c>
      <c r="AN141" s="2" t="str">
        <f ca="1">IFERROR(__xludf.DUMMYFUNCTION("""COMPUTED_VALUE"""),"")</f>
        <v/>
      </c>
      <c r="AO141" s="2" t="str">
        <f ca="1">IFERROR(__xludf.DUMMYFUNCTION("""COMPUTED_VALUE"""),"")</f>
        <v/>
      </c>
      <c r="AP141" s="2" t="str">
        <f ca="1">IFERROR(__xludf.DUMMYFUNCTION("""COMPUTED_VALUE"""),"")</f>
        <v/>
      </c>
      <c r="AQ141" s="2" t="str">
        <f ca="1">IFERROR(__xludf.DUMMYFUNCTION("""COMPUTED_VALUE"""),"")</f>
        <v/>
      </c>
      <c r="AR141" s="2" t="str">
        <f ca="1">IFERROR(__xludf.DUMMYFUNCTION("""COMPUTED_VALUE"""),"")</f>
        <v/>
      </c>
      <c r="AS141" s="2" t="str">
        <f ca="1">IFERROR(__xludf.DUMMYFUNCTION("""COMPUTED_VALUE"""),"")</f>
        <v/>
      </c>
      <c r="AT141" s="2" t="str">
        <f ca="1">IFERROR(__xludf.DUMMYFUNCTION("""COMPUTED_VALUE"""),"")</f>
        <v/>
      </c>
      <c r="AU141" s="2" t="str">
        <f ca="1">IFERROR(__xludf.DUMMYFUNCTION("""COMPUTED_VALUE"""),"")</f>
        <v/>
      </c>
      <c r="AV141" s="2" t="str">
        <f ca="1">IFERROR(__xludf.DUMMYFUNCTION("""COMPUTED_VALUE"""),"")</f>
        <v/>
      </c>
      <c r="AW141" s="2" t="str">
        <f ca="1">IFERROR(__xludf.DUMMYFUNCTION("""COMPUTED_VALUE"""),"")</f>
        <v/>
      </c>
      <c r="AX141" s="2" t="str">
        <f ca="1">IFERROR(__xludf.DUMMYFUNCTION("""COMPUTED_VALUE"""),"")</f>
        <v/>
      </c>
      <c r="AY141" s="2" t="str">
        <f ca="1">IFERROR(__xludf.DUMMYFUNCTION("""COMPUTED_VALUE"""),"")</f>
        <v/>
      </c>
      <c r="AZ141" s="2" t="str">
        <f ca="1">IFERROR(__xludf.DUMMYFUNCTION("""COMPUTED_VALUE"""),"")</f>
        <v/>
      </c>
      <c r="BA141" s="2" t="str">
        <f ca="1">IFERROR(__xludf.DUMMYFUNCTION("""COMPUTED_VALUE"""),"")</f>
        <v/>
      </c>
      <c r="BB141" s="2" t="str">
        <f ca="1">IFERROR(__xludf.DUMMYFUNCTION("""COMPUTED_VALUE"""),"")</f>
        <v/>
      </c>
      <c r="BC141" s="2" t="str">
        <f ca="1">IFERROR(__xludf.DUMMYFUNCTION("""COMPUTED_VALUE"""),"")</f>
        <v/>
      </c>
      <c r="BD141" s="2" t="str">
        <f ca="1">IFERROR(__xludf.DUMMYFUNCTION("""COMPUTED_VALUE"""),"")</f>
        <v/>
      </c>
      <c r="BE141" s="2" t="str">
        <f ca="1">IFERROR(__xludf.DUMMYFUNCTION("""COMPUTED_VALUE"""),"")</f>
        <v/>
      </c>
      <c r="BF141" t="str">
        <f ca="1">IFERROR(__xludf.DUMMYFUNCTION("""COMPUTED_VALUE"""),"")</f>
        <v/>
      </c>
      <c r="BG141" t="str">
        <f ca="1">IFERROR(__xludf.DUMMYFUNCTION("""COMPUTED_VALUE"""),"")</f>
        <v/>
      </c>
      <c r="BH141" s="2">
        <f ca="1">IFERROR(__xludf.DUMMYFUNCTION("""COMPUTED_VALUE"""),-37.3461113)</f>
        <v>-37.346111299999997</v>
      </c>
      <c r="BI141" s="12">
        <f ca="1">IFERROR(__xludf.DUMMYFUNCTION("""COMPUTED_VALUE"""),175.1700134)</f>
        <v>175.17001339999999</v>
      </c>
      <c r="BJ141" s="9">
        <f ca="1">IFERROR(__xludf.DUMMYFUNCTION("""COMPUTED_VALUE"""),43448)</f>
        <v>43448</v>
      </c>
      <c r="BK141" s="4">
        <f ca="1">IFERROR(__xludf.DUMMYFUNCTION("""COMPUTED_VALUE"""),0.958518518516939)</f>
        <v>0.95851851851693903</v>
      </c>
    </row>
    <row r="142" spans="1:63" ht="12.5" x14ac:dyDescent="0.25">
      <c r="A142" s="7" t="str">
        <f ca="1">IFERROR(__xludf.DUMMYFUNCTION("""COMPUTED_VALUE"""),"")</f>
        <v/>
      </c>
      <c r="B142" s="8" t="str">
        <f ca="1">IFERROR(__xludf.DUMMYFUNCTION("""COMPUTED_VALUE"""),"Waikato")</f>
        <v>Waikato</v>
      </c>
      <c r="C142" s="2">
        <f ca="1">IFERROR(__xludf.DUMMYFUNCTION("""COMPUTED_VALUE"""),64)</f>
        <v>64</v>
      </c>
      <c r="D142" s="9" t="str">
        <f ca="1">IFERROR(__xludf.DUMMYFUNCTION("""COMPUTED_VALUE"""),"")</f>
        <v/>
      </c>
      <c r="E142" s="4" t="str">
        <f ca="1">IFERROR(__xludf.DUMMYFUNCTION("""COMPUTED_VALUE"""),"")</f>
        <v/>
      </c>
      <c r="F142" s="2" t="str">
        <f ca="1">IFERROR(__xludf.DUMMYFUNCTION("""COMPUTED_VALUE"""),"")</f>
        <v/>
      </c>
      <c r="G142" s="2" t="str">
        <f ca="1">IFERROR(__xludf.DUMMYFUNCTION("""COMPUTED_VALUE"""),"GPS: I converted data downloaded from ARGOS using Pinpoint software")</f>
        <v>GPS: I converted data downloaded from ARGOS using Pinpoint software</v>
      </c>
      <c r="H142" s="2" t="str">
        <f ca="1">IFERROR(__xludf.DUMMYFUNCTION("""COMPUTED_VALUE"""),"3D")</f>
        <v>3D</v>
      </c>
      <c r="I142" s="2" t="str">
        <f ca="1">IFERROR(__xludf.DUMMYFUNCTION("""COMPUTED_VALUE"""),"")</f>
        <v/>
      </c>
      <c r="J142" s="2" t="str">
        <f ca="1">IFERROR(__xludf.DUMMYFUNCTION("""COMPUTED_VALUE"""),"")</f>
        <v/>
      </c>
      <c r="K142" s="2" t="str">
        <f ca="1">IFERROR(__xludf.DUMMYFUNCTION("""COMPUTED_VALUE"""),"")</f>
        <v/>
      </c>
      <c r="L142" s="2" t="str">
        <f ca="1">IFERROR(__xludf.DUMMYFUNCTION("""COMPUTED_VALUE"""),"")</f>
        <v/>
      </c>
      <c r="M142" s="5" t="str">
        <f ca="1">IFERROR(__xludf.DUMMYFUNCTION("""COMPUTED_VALUE"""),"")</f>
        <v/>
      </c>
      <c r="N142" s="5" t="str">
        <f ca="1">IFERROR(__xludf.DUMMYFUNCTION("""COMPUTED_VALUE"""),"")</f>
        <v/>
      </c>
      <c r="O142" s="2" t="str">
        <f ca="1">IFERROR(__xludf.DUMMYFUNCTION("""COMPUTED_VALUE"""),"")</f>
        <v/>
      </c>
      <c r="P142" s="2" t="str">
        <f ca="1">IFERROR(__xludf.DUMMYFUNCTION("""COMPUTED_VALUE"""),"")</f>
        <v/>
      </c>
      <c r="Q142" s="2" t="str">
        <f ca="1">IFERROR(__xludf.DUMMYFUNCTION("""COMPUTED_VALUE"""),"")</f>
        <v/>
      </c>
      <c r="R142" s="2" t="str">
        <f ca="1">IFERROR(__xludf.DUMMYFUNCTION("""COMPUTED_VALUE"""),"")</f>
        <v/>
      </c>
      <c r="S142" s="2" t="str">
        <f ca="1">IFERROR(__xludf.DUMMYFUNCTION("""COMPUTED_VALUE"""),"")</f>
        <v/>
      </c>
      <c r="T142" s="2" t="str">
        <f ca="1">IFERROR(__xludf.DUMMYFUNCTION("""COMPUTED_VALUE"""),"")</f>
        <v/>
      </c>
      <c r="U142" s="2" t="str">
        <f ca="1">IFERROR(__xludf.DUMMYFUNCTION("""COMPUTED_VALUE"""),"")</f>
        <v/>
      </c>
      <c r="V142" s="2" t="str">
        <f ca="1">IFERROR(__xludf.DUMMYFUNCTION("""COMPUTED_VALUE"""),"")</f>
        <v/>
      </c>
      <c r="W142" s="2" t="str">
        <f ca="1">IFERROR(__xludf.DUMMYFUNCTION("""COMPUTED_VALUE"""),"")</f>
        <v/>
      </c>
      <c r="X142" s="2" t="str">
        <f ca="1">IFERROR(__xludf.DUMMYFUNCTION("""COMPUTED_VALUE"""),"")</f>
        <v/>
      </c>
      <c r="Y142" s="2" t="str">
        <f ca="1">IFERROR(__xludf.DUMMYFUNCTION("""COMPUTED_VALUE"""),"")</f>
        <v/>
      </c>
      <c r="Z142" s="2" t="str">
        <f ca="1">IFERROR(__xludf.DUMMYFUNCTION("""COMPUTED_VALUE"""),"")</f>
        <v/>
      </c>
      <c r="AA142" s="2" t="str">
        <f ca="1">IFERROR(__xludf.DUMMYFUNCTION("""COMPUTED_VALUE"""),"")</f>
        <v/>
      </c>
      <c r="AB142" s="2" t="str">
        <f ca="1">IFERROR(__xludf.DUMMYFUNCTION("""COMPUTED_VALUE"""),"")</f>
        <v/>
      </c>
      <c r="AC142" s="2" t="str">
        <f ca="1">IFERROR(__xludf.DUMMYFUNCTION("""COMPUTED_VALUE"""),"")</f>
        <v/>
      </c>
      <c r="AD142" s="2" t="str">
        <f ca="1">IFERROR(__xludf.DUMMYFUNCTION("""COMPUTED_VALUE"""),"")</f>
        <v/>
      </c>
      <c r="AE142" s="2" t="str">
        <f ca="1">IFERROR(__xludf.DUMMYFUNCTION("""COMPUTED_VALUE"""),"")</f>
        <v/>
      </c>
      <c r="AF142" s="2" t="str">
        <f ca="1">IFERROR(__xludf.DUMMYFUNCTION("""COMPUTED_VALUE"""),"")</f>
        <v/>
      </c>
      <c r="AG142" s="2" t="str">
        <f ca="1">IFERROR(__xludf.DUMMYFUNCTION("""COMPUTED_VALUE"""),"")</f>
        <v/>
      </c>
      <c r="AH142" s="2" t="str">
        <f ca="1">IFERROR(__xludf.DUMMYFUNCTION("""COMPUTED_VALUE"""),"")</f>
        <v/>
      </c>
      <c r="AI142" s="2" t="str">
        <f ca="1">IFERROR(__xludf.DUMMYFUNCTION("""COMPUTED_VALUE"""),"")</f>
        <v/>
      </c>
      <c r="AJ142" s="2" t="str">
        <f ca="1">IFERROR(__xludf.DUMMYFUNCTION("""COMPUTED_VALUE"""),"")</f>
        <v/>
      </c>
      <c r="AK142" s="2" t="str">
        <f ca="1">IFERROR(__xludf.DUMMYFUNCTION("""COMPUTED_VALUE"""),"")</f>
        <v/>
      </c>
      <c r="AL142" s="2" t="str">
        <f ca="1">IFERROR(__xludf.DUMMYFUNCTION("""COMPUTED_VALUE"""),"")</f>
        <v/>
      </c>
      <c r="AM142" s="2" t="str">
        <f ca="1">IFERROR(__xludf.DUMMYFUNCTION("""COMPUTED_VALUE"""),"")</f>
        <v/>
      </c>
      <c r="AN142" s="2" t="str">
        <f ca="1">IFERROR(__xludf.DUMMYFUNCTION("""COMPUTED_VALUE"""),"")</f>
        <v/>
      </c>
      <c r="AO142" s="2" t="str">
        <f ca="1">IFERROR(__xludf.DUMMYFUNCTION("""COMPUTED_VALUE"""),"")</f>
        <v/>
      </c>
      <c r="AP142" s="2" t="str">
        <f ca="1">IFERROR(__xludf.DUMMYFUNCTION("""COMPUTED_VALUE"""),"")</f>
        <v/>
      </c>
      <c r="AQ142" s="2" t="str">
        <f ca="1">IFERROR(__xludf.DUMMYFUNCTION("""COMPUTED_VALUE"""),"")</f>
        <v/>
      </c>
      <c r="AR142" s="2" t="str">
        <f ca="1">IFERROR(__xludf.DUMMYFUNCTION("""COMPUTED_VALUE"""),"")</f>
        <v/>
      </c>
      <c r="AS142" s="2" t="str">
        <f ca="1">IFERROR(__xludf.DUMMYFUNCTION("""COMPUTED_VALUE"""),"")</f>
        <v/>
      </c>
      <c r="AT142" s="2" t="str">
        <f ca="1">IFERROR(__xludf.DUMMYFUNCTION("""COMPUTED_VALUE"""),"")</f>
        <v/>
      </c>
      <c r="AU142" s="2" t="str">
        <f ca="1">IFERROR(__xludf.DUMMYFUNCTION("""COMPUTED_VALUE"""),"")</f>
        <v/>
      </c>
      <c r="AV142" s="2" t="str">
        <f ca="1">IFERROR(__xludf.DUMMYFUNCTION("""COMPUTED_VALUE"""),"")</f>
        <v/>
      </c>
      <c r="AW142" s="2" t="str">
        <f ca="1">IFERROR(__xludf.DUMMYFUNCTION("""COMPUTED_VALUE"""),"")</f>
        <v/>
      </c>
      <c r="AX142" s="2" t="str">
        <f ca="1">IFERROR(__xludf.DUMMYFUNCTION("""COMPUTED_VALUE"""),"")</f>
        <v/>
      </c>
      <c r="AY142" s="2" t="str">
        <f ca="1">IFERROR(__xludf.DUMMYFUNCTION("""COMPUTED_VALUE"""),"")</f>
        <v/>
      </c>
      <c r="AZ142" s="2" t="str">
        <f ca="1">IFERROR(__xludf.DUMMYFUNCTION("""COMPUTED_VALUE"""),"")</f>
        <v/>
      </c>
      <c r="BA142" s="2" t="str">
        <f ca="1">IFERROR(__xludf.DUMMYFUNCTION("""COMPUTED_VALUE"""),"")</f>
        <v/>
      </c>
      <c r="BB142" s="2" t="str">
        <f ca="1">IFERROR(__xludf.DUMMYFUNCTION("""COMPUTED_VALUE"""),"")</f>
        <v/>
      </c>
      <c r="BC142" s="2" t="str">
        <f ca="1">IFERROR(__xludf.DUMMYFUNCTION("""COMPUTED_VALUE"""),"")</f>
        <v/>
      </c>
      <c r="BD142" s="2" t="str">
        <f ca="1">IFERROR(__xludf.DUMMYFUNCTION("""COMPUTED_VALUE"""),"")</f>
        <v/>
      </c>
      <c r="BE142" s="2" t="str">
        <f ca="1">IFERROR(__xludf.DUMMYFUNCTION("""COMPUTED_VALUE"""),"")</f>
        <v/>
      </c>
      <c r="BF142" t="str">
        <f ca="1">IFERROR(__xludf.DUMMYFUNCTION("""COMPUTED_VALUE"""),"")</f>
        <v/>
      </c>
      <c r="BG142" t="str">
        <f ca="1">IFERROR(__xludf.DUMMYFUNCTION("""COMPUTED_VALUE"""),"")</f>
        <v/>
      </c>
      <c r="BH142" s="2">
        <f ca="1">IFERROR(__xludf.DUMMYFUNCTION("""COMPUTED_VALUE"""),-37.3372307)</f>
        <v>-37.337230699999999</v>
      </c>
      <c r="BI142" s="13">
        <f ca="1">IFERROR(__xludf.DUMMYFUNCTION("""COMPUTED_VALUE"""),175.169754)</f>
        <v>175.16975400000001</v>
      </c>
      <c r="BJ142" s="9">
        <f ca="1">IFERROR(__xludf.DUMMYFUNCTION("""COMPUTED_VALUE"""),43450)</f>
        <v>43450</v>
      </c>
      <c r="BK142" s="4">
        <f ca="1">IFERROR(__xludf.DUMMYFUNCTION("""COMPUTED_VALUE"""),0.457777777777664)</f>
        <v>0.45777777777766399</v>
      </c>
    </row>
    <row r="143" spans="1:63" ht="12.5" x14ac:dyDescent="0.25">
      <c r="A143" s="7" t="str">
        <f ca="1">IFERROR(__xludf.DUMMYFUNCTION("""COMPUTED_VALUE"""),"")</f>
        <v/>
      </c>
      <c r="B143" s="8" t="str">
        <f ca="1">IFERROR(__xludf.DUMMYFUNCTION("""COMPUTED_VALUE"""),"Waikato")</f>
        <v>Waikato</v>
      </c>
      <c r="C143" s="2">
        <f ca="1">IFERROR(__xludf.DUMMYFUNCTION("""COMPUTED_VALUE"""),64)</f>
        <v>64</v>
      </c>
      <c r="D143" s="9" t="str">
        <f ca="1">IFERROR(__xludf.DUMMYFUNCTION("""COMPUTED_VALUE"""),"")</f>
        <v/>
      </c>
      <c r="E143" s="4" t="str">
        <f ca="1">IFERROR(__xludf.DUMMYFUNCTION("""COMPUTED_VALUE"""),"")</f>
        <v/>
      </c>
      <c r="F143" s="2" t="str">
        <f ca="1">IFERROR(__xludf.DUMMYFUNCTION("""COMPUTED_VALUE"""),"")</f>
        <v/>
      </c>
      <c r="G143" s="2" t="str">
        <f ca="1">IFERROR(__xludf.DUMMYFUNCTION("""COMPUTED_VALUE"""),"GPS: I converted data downloaded from ARGOS using Pinpoint software")</f>
        <v>GPS: I converted data downloaded from ARGOS using Pinpoint software</v>
      </c>
      <c r="H143" s="2" t="str">
        <f ca="1">IFERROR(__xludf.DUMMYFUNCTION("""COMPUTED_VALUE"""),"3D")</f>
        <v>3D</v>
      </c>
      <c r="I143" s="2" t="str">
        <f ca="1">IFERROR(__xludf.DUMMYFUNCTION("""COMPUTED_VALUE"""),"")</f>
        <v/>
      </c>
      <c r="J143" s="2" t="str">
        <f ca="1">IFERROR(__xludf.DUMMYFUNCTION("""COMPUTED_VALUE"""),"")</f>
        <v/>
      </c>
      <c r="K143" s="2" t="str">
        <f ca="1">IFERROR(__xludf.DUMMYFUNCTION("""COMPUTED_VALUE"""),"")</f>
        <v/>
      </c>
      <c r="L143" s="2" t="str">
        <f ca="1">IFERROR(__xludf.DUMMYFUNCTION("""COMPUTED_VALUE"""),"")</f>
        <v/>
      </c>
      <c r="M143" s="5" t="str">
        <f ca="1">IFERROR(__xludf.DUMMYFUNCTION("""COMPUTED_VALUE"""),"")</f>
        <v/>
      </c>
      <c r="N143" s="5" t="str">
        <f ca="1">IFERROR(__xludf.DUMMYFUNCTION("""COMPUTED_VALUE"""),"")</f>
        <v/>
      </c>
      <c r="O143" s="2" t="str">
        <f ca="1">IFERROR(__xludf.DUMMYFUNCTION("""COMPUTED_VALUE"""),"")</f>
        <v/>
      </c>
      <c r="P143" s="2" t="str">
        <f ca="1">IFERROR(__xludf.DUMMYFUNCTION("""COMPUTED_VALUE"""),"")</f>
        <v/>
      </c>
      <c r="Q143" s="2" t="str">
        <f ca="1">IFERROR(__xludf.DUMMYFUNCTION("""COMPUTED_VALUE"""),"")</f>
        <v/>
      </c>
      <c r="R143" s="2" t="str">
        <f ca="1">IFERROR(__xludf.DUMMYFUNCTION("""COMPUTED_VALUE"""),"")</f>
        <v/>
      </c>
      <c r="S143" s="2" t="str">
        <f ca="1">IFERROR(__xludf.DUMMYFUNCTION("""COMPUTED_VALUE"""),"")</f>
        <v/>
      </c>
      <c r="T143" s="2" t="str">
        <f ca="1">IFERROR(__xludf.DUMMYFUNCTION("""COMPUTED_VALUE"""),"")</f>
        <v/>
      </c>
      <c r="U143" s="2" t="str">
        <f ca="1">IFERROR(__xludf.DUMMYFUNCTION("""COMPUTED_VALUE"""),"")</f>
        <v/>
      </c>
      <c r="V143" s="2" t="str">
        <f ca="1">IFERROR(__xludf.DUMMYFUNCTION("""COMPUTED_VALUE"""),"")</f>
        <v/>
      </c>
      <c r="W143" s="2" t="str">
        <f ca="1">IFERROR(__xludf.DUMMYFUNCTION("""COMPUTED_VALUE"""),"")</f>
        <v/>
      </c>
      <c r="X143" s="2" t="str">
        <f ca="1">IFERROR(__xludf.DUMMYFUNCTION("""COMPUTED_VALUE"""),"")</f>
        <v/>
      </c>
      <c r="Y143" s="2" t="str">
        <f ca="1">IFERROR(__xludf.DUMMYFUNCTION("""COMPUTED_VALUE"""),"")</f>
        <v/>
      </c>
      <c r="Z143" s="2" t="str">
        <f ca="1">IFERROR(__xludf.DUMMYFUNCTION("""COMPUTED_VALUE"""),"")</f>
        <v/>
      </c>
      <c r="AA143" s="2" t="str">
        <f ca="1">IFERROR(__xludf.DUMMYFUNCTION("""COMPUTED_VALUE"""),"")</f>
        <v/>
      </c>
      <c r="AB143" s="2" t="str">
        <f ca="1">IFERROR(__xludf.DUMMYFUNCTION("""COMPUTED_VALUE"""),"")</f>
        <v/>
      </c>
      <c r="AC143" s="2" t="str">
        <f ca="1">IFERROR(__xludf.DUMMYFUNCTION("""COMPUTED_VALUE"""),"")</f>
        <v/>
      </c>
      <c r="AD143" s="2" t="str">
        <f ca="1">IFERROR(__xludf.DUMMYFUNCTION("""COMPUTED_VALUE"""),"")</f>
        <v/>
      </c>
      <c r="AE143" s="2" t="str">
        <f ca="1">IFERROR(__xludf.DUMMYFUNCTION("""COMPUTED_VALUE"""),"")</f>
        <v/>
      </c>
      <c r="AF143" s="2" t="str">
        <f ca="1">IFERROR(__xludf.DUMMYFUNCTION("""COMPUTED_VALUE"""),"")</f>
        <v/>
      </c>
      <c r="AG143" s="2" t="str">
        <f ca="1">IFERROR(__xludf.DUMMYFUNCTION("""COMPUTED_VALUE"""),"")</f>
        <v/>
      </c>
      <c r="AH143" s="2" t="str">
        <f ca="1">IFERROR(__xludf.DUMMYFUNCTION("""COMPUTED_VALUE"""),"")</f>
        <v/>
      </c>
      <c r="AI143" s="2" t="str">
        <f ca="1">IFERROR(__xludf.DUMMYFUNCTION("""COMPUTED_VALUE"""),"")</f>
        <v/>
      </c>
      <c r="AJ143" s="2" t="str">
        <f ca="1">IFERROR(__xludf.DUMMYFUNCTION("""COMPUTED_VALUE"""),"")</f>
        <v/>
      </c>
      <c r="AK143" s="2" t="str">
        <f ca="1">IFERROR(__xludf.DUMMYFUNCTION("""COMPUTED_VALUE"""),"")</f>
        <v/>
      </c>
      <c r="AL143" s="2" t="str">
        <f ca="1">IFERROR(__xludf.DUMMYFUNCTION("""COMPUTED_VALUE"""),"")</f>
        <v/>
      </c>
      <c r="AM143" s="2" t="str">
        <f ca="1">IFERROR(__xludf.DUMMYFUNCTION("""COMPUTED_VALUE"""),"")</f>
        <v/>
      </c>
      <c r="AN143" s="2" t="str">
        <f ca="1">IFERROR(__xludf.DUMMYFUNCTION("""COMPUTED_VALUE"""),"")</f>
        <v/>
      </c>
      <c r="AO143" s="2" t="str">
        <f ca="1">IFERROR(__xludf.DUMMYFUNCTION("""COMPUTED_VALUE"""),"")</f>
        <v/>
      </c>
      <c r="AP143" s="2" t="str">
        <f ca="1">IFERROR(__xludf.DUMMYFUNCTION("""COMPUTED_VALUE"""),"")</f>
        <v/>
      </c>
      <c r="AQ143" s="2" t="str">
        <f ca="1">IFERROR(__xludf.DUMMYFUNCTION("""COMPUTED_VALUE"""),"")</f>
        <v/>
      </c>
      <c r="AR143" s="2" t="str">
        <f ca="1">IFERROR(__xludf.DUMMYFUNCTION("""COMPUTED_VALUE"""),"")</f>
        <v/>
      </c>
      <c r="AS143" s="2" t="str">
        <f ca="1">IFERROR(__xludf.DUMMYFUNCTION("""COMPUTED_VALUE"""),"")</f>
        <v/>
      </c>
      <c r="AT143" s="2" t="str">
        <f ca="1">IFERROR(__xludf.DUMMYFUNCTION("""COMPUTED_VALUE"""),"")</f>
        <v/>
      </c>
      <c r="AU143" s="2" t="str">
        <f ca="1">IFERROR(__xludf.DUMMYFUNCTION("""COMPUTED_VALUE"""),"")</f>
        <v/>
      </c>
      <c r="AV143" s="2" t="str">
        <f ca="1">IFERROR(__xludf.DUMMYFUNCTION("""COMPUTED_VALUE"""),"")</f>
        <v/>
      </c>
      <c r="AW143" s="2" t="str">
        <f ca="1">IFERROR(__xludf.DUMMYFUNCTION("""COMPUTED_VALUE"""),"")</f>
        <v/>
      </c>
      <c r="AX143" s="2" t="str">
        <f ca="1">IFERROR(__xludf.DUMMYFUNCTION("""COMPUTED_VALUE"""),"")</f>
        <v/>
      </c>
      <c r="AY143" s="2" t="str">
        <f ca="1">IFERROR(__xludf.DUMMYFUNCTION("""COMPUTED_VALUE"""),"")</f>
        <v/>
      </c>
      <c r="AZ143" s="2" t="str">
        <f ca="1">IFERROR(__xludf.DUMMYFUNCTION("""COMPUTED_VALUE"""),"")</f>
        <v/>
      </c>
      <c r="BA143" s="2" t="str">
        <f ca="1">IFERROR(__xludf.DUMMYFUNCTION("""COMPUTED_VALUE"""),"")</f>
        <v/>
      </c>
      <c r="BB143" s="2" t="str">
        <f ca="1">IFERROR(__xludf.DUMMYFUNCTION("""COMPUTED_VALUE"""),"")</f>
        <v/>
      </c>
      <c r="BC143" s="2" t="str">
        <f ca="1">IFERROR(__xludf.DUMMYFUNCTION("""COMPUTED_VALUE"""),"")</f>
        <v/>
      </c>
      <c r="BD143" s="2" t="str">
        <f ca="1">IFERROR(__xludf.DUMMYFUNCTION("""COMPUTED_VALUE"""),"")</f>
        <v/>
      </c>
      <c r="BE143" s="2" t="str">
        <f ca="1">IFERROR(__xludf.DUMMYFUNCTION("""COMPUTED_VALUE"""),"")</f>
        <v/>
      </c>
      <c r="BF143" t="str">
        <f ca="1">IFERROR(__xludf.DUMMYFUNCTION("""COMPUTED_VALUE"""),"")</f>
        <v/>
      </c>
      <c r="BG143" t="str">
        <f ca="1">IFERROR(__xludf.DUMMYFUNCTION("""COMPUTED_VALUE"""),"")</f>
        <v/>
      </c>
      <c r="BH143" s="2">
        <f ca="1">IFERROR(__xludf.DUMMYFUNCTION("""COMPUTED_VALUE"""),-37.3460617)</f>
        <v>-37.3460617</v>
      </c>
      <c r="BI143" s="12">
        <f ca="1">IFERROR(__xludf.DUMMYFUNCTION("""COMPUTED_VALUE"""),175.1703949)</f>
        <v>175.17039489999999</v>
      </c>
      <c r="BJ143" s="9">
        <f ca="1">IFERROR(__xludf.DUMMYFUNCTION("""COMPUTED_VALUE"""),43450)</f>
        <v>43450</v>
      </c>
      <c r="BK143" s="4">
        <f ca="1">IFERROR(__xludf.DUMMYFUNCTION("""COMPUTED_VALUE"""),0.958518518516939)</f>
        <v>0.95851851851693903</v>
      </c>
    </row>
    <row r="144" spans="1:63" ht="12.5" x14ac:dyDescent="0.25">
      <c r="A144" s="7" t="str">
        <f ca="1">IFERROR(__xludf.DUMMYFUNCTION("""COMPUTED_VALUE"""),"")</f>
        <v/>
      </c>
      <c r="B144" s="8" t="str">
        <f ca="1">IFERROR(__xludf.DUMMYFUNCTION("""COMPUTED_VALUE"""),"Waikato")</f>
        <v>Waikato</v>
      </c>
      <c r="C144" s="2">
        <f ca="1">IFERROR(__xludf.DUMMYFUNCTION("""COMPUTED_VALUE"""),64)</f>
        <v>64</v>
      </c>
      <c r="D144" s="9" t="str">
        <f ca="1">IFERROR(__xludf.DUMMYFUNCTION("""COMPUTED_VALUE"""),"")</f>
        <v/>
      </c>
      <c r="E144" s="4" t="str">
        <f ca="1">IFERROR(__xludf.DUMMYFUNCTION("""COMPUTED_VALUE"""),"")</f>
        <v/>
      </c>
      <c r="F144" s="2" t="str">
        <f ca="1">IFERROR(__xludf.DUMMYFUNCTION("""COMPUTED_VALUE"""),"")</f>
        <v/>
      </c>
      <c r="G144" s="2" t="str">
        <f ca="1">IFERROR(__xludf.DUMMYFUNCTION("""COMPUTED_VALUE"""),"GPS: I converted data downloaded from ARGOS using Pinpoint software")</f>
        <v>GPS: I converted data downloaded from ARGOS using Pinpoint software</v>
      </c>
      <c r="H144" s="2" t="str">
        <f ca="1">IFERROR(__xludf.DUMMYFUNCTION("""COMPUTED_VALUE"""),"3D")</f>
        <v>3D</v>
      </c>
      <c r="I144" s="2" t="str">
        <f ca="1">IFERROR(__xludf.DUMMYFUNCTION("""COMPUTED_VALUE"""),"")</f>
        <v/>
      </c>
      <c r="J144" s="2" t="str">
        <f ca="1">IFERROR(__xludf.DUMMYFUNCTION("""COMPUTED_VALUE"""),"")</f>
        <v/>
      </c>
      <c r="K144" s="2" t="str">
        <f ca="1">IFERROR(__xludf.DUMMYFUNCTION("""COMPUTED_VALUE"""),"")</f>
        <v/>
      </c>
      <c r="L144" s="2" t="str">
        <f ca="1">IFERROR(__xludf.DUMMYFUNCTION("""COMPUTED_VALUE"""),"")</f>
        <v/>
      </c>
      <c r="M144" s="5" t="str">
        <f ca="1">IFERROR(__xludf.DUMMYFUNCTION("""COMPUTED_VALUE"""),"")</f>
        <v/>
      </c>
      <c r="N144" s="5" t="str">
        <f ca="1">IFERROR(__xludf.DUMMYFUNCTION("""COMPUTED_VALUE"""),"")</f>
        <v/>
      </c>
      <c r="O144" s="2" t="str">
        <f ca="1">IFERROR(__xludf.DUMMYFUNCTION("""COMPUTED_VALUE"""),"")</f>
        <v/>
      </c>
      <c r="P144" s="2" t="str">
        <f ca="1">IFERROR(__xludf.DUMMYFUNCTION("""COMPUTED_VALUE"""),"")</f>
        <v/>
      </c>
      <c r="Q144" s="2" t="str">
        <f ca="1">IFERROR(__xludf.DUMMYFUNCTION("""COMPUTED_VALUE"""),"")</f>
        <v/>
      </c>
      <c r="R144" s="2" t="str">
        <f ca="1">IFERROR(__xludf.DUMMYFUNCTION("""COMPUTED_VALUE"""),"")</f>
        <v/>
      </c>
      <c r="S144" s="2" t="str">
        <f ca="1">IFERROR(__xludf.DUMMYFUNCTION("""COMPUTED_VALUE"""),"")</f>
        <v/>
      </c>
      <c r="T144" s="2" t="str">
        <f ca="1">IFERROR(__xludf.DUMMYFUNCTION("""COMPUTED_VALUE"""),"")</f>
        <v/>
      </c>
      <c r="U144" s="2" t="str">
        <f ca="1">IFERROR(__xludf.DUMMYFUNCTION("""COMPUTED_VALUE"""),"")</f>
        <v/>
      </c>
      <c r="V144" s="2" t="str">
        <f ca="1">IFERROR(__xludf.DUMMYFUNCTION("""COMPUTED_VALUE"""),"")</f>
        <v/>
      </c>
      <c r="W144" s="2" t="str">
        <f ca="1">IFERROR(__xludf.DUMMYFUNCTION("""COMPUTED_VALUE"""),"")</f>
        <v/>
      </c>
      <c r="X144" s="2" t="str">
        <f ca="1">IFERROR(__xludf.DUMMYFUNCTION("""COMPUTED_VALUE"""),"")</f>
        <v/>
      </c>
      <c r="Y144" s="2" t="str">
        <f ca="1">IFERROR(__xludf.DUMMYFUNCTION("""COMPUTED_VALUE"""),"")</f>
        <v/>
      </c>
      <c r="Z144" s="2" t="str">
        <f ca="1">IFERROR(__xludf.DUMMYFUNCTION("""COMPUTED_VALUE"""),"")</f>
        <v/>
      </c>
      <c r="AA144" s="2" t="str">
        <f ca="1">IFERROR(__xludf.DUMMYFUNCTION("""COMPUTED_VALUE"""),"")</f>
        <v/>
      </c>
      <c r="AB144" s="2" t="str">
        <f ca="1">IFERROR(__xludf.DUMMYFUNCTION("""COMPUTED_VALUE"""),"")</f>
        <v/>
      </c>
      <c r="AC144" s="2" t="str">
        <f ca="1">IFERROR(__xludf.DUMMYFUNCTION("""COMPUTED_VALUE"""),"")</f>
        <v/>
      </c>
      <c r="AD144" s="2" t="str">
        <f ca="1">IFERROR(__xludf.DUMMYFUNCTION("""COMPUTED_VALUE"""),"")</f>
        <v/>
      </c>
      <c r="AE144" s="2" t="str">
        <f ca="1">IFERROR(__xludf.DUMMYFUNCTION("""COMPUTED_VALUE"""),"")</f>
        <v/>
      </c>
      <c r="AF144" s="2" t="str">
        <f ca="1">IFERROR(__xludf.DUMMYFUNCTION("""COMPUTED_VALUE"""),"")</f>
        <v/>
      </c>
      <c r="AG144" s="2" t="str">
        <f ca="1">IFERROR(__xludf.DUMMYFUNCTION("""COMPUTED_VALUE"""),"")</f>
        <v/>
      </c>
      <c r="AH144" s="2" t="str">
        <f ca="1">IFERROR(__xludf.DUMMYFUNCTION("""COMPUTED_VALUE"""),"")</f>
        <v/>
      </c>
      <c r="AI144" s="2" t="str">
        <f ca="1">IFERROR(__xludf.DUMMYFUNCTION("""COMPUTED_VALUE"""),"")</f>
        <v/>
      </c>
      <c r="AJ144" s="2" t="str">
        <f ca="1">IFERROR(__xludf.DUMMYFUNCTION("""COMPUTED_VALUE"""),"")</f>
        <v/>
      </c>
      <c r="AK144" s="2" t="str">
        <f ca="1">IFERROR(__xludf.DUMMYFUNCTION("""COMPUTED_VALUE"""),"")</f>
        <v/>
      </c>
      <c r="AL144" s="2" t="str">
        <f ca="1">IFERROR(__xludf.DUMMYFUNCTION("""COMPUTED_VALUE"""),"")</f>
        <v/>
      </c>
      <c r="AM144" s="2" t="str">
        <f ca="1">IFERROR(__xludf.DUMMYFUNCTION("""COMPUTED_VALUE"""),"")</f>
        <v/>
      </c>
      <c r="AN144" s="2" t="str">
        <f ca="1">IFERROR(__xludf.DUMMYFUNCTION("""COMPUTED_VALUE"""),"")</f>
        <v/>
      </c>
      <c r="AO144" s="2" t="str">
        <f ca="1">IFERROR(__xludf.DUMMYFUNCTION("""COMPUTED_VALUE"""),"")</f>
        <v/>
      </c>
      <c r="AP144" s="2" t="str">
        <f ca="1">IFERROR(__xludf.DUMMYFUNCTION("""COMPUTED_VALUE"""),"")</f>
        <v/>
      </c>
      <c r="AQ144" s="2" t="str">
        <f ca="1">IFERROR(__xludf.DUMMYFUNCTION("""COMPUTED_VALUE"""),"")</f>
        <v/>
      </c>
      <c r="AR144" s="2" t="str">
        <f ca="1">IFERROR(__xludf.DUMMYFUNCTION("""COMPUTED_VALUE"""),"")</f>
        <v/>
      </c>
      <c r="AS144" s="2" t="str">
        <f ca="1">IFERROR(__xludf.DUMMYFUNCTION("""COMPUTED_VALUE"""),"")</f>
        <v/>
      </c>
      <c r="AT144" s="2" t="str">
        <f ca="1">IFERROR(__xludf.DUMMYFUNCTION("""COMPUTED_VALUE"""),"")</f>
        <v/>
      </c>
      <c r="AU144" s="2" t="str">
        <f ca="1">IFERROR(__xludf.DUMMYFUNCTION("""COMPUTED_VALUE"""),"")</f>
        <v/>
      </c>
      <c r="AV144" s="2" t="str">
        <f ca="1">IFERROR(__xludf.DUMMYFUNCTION("""COMPUTED_VALUE"""),"")</f>
        <v/>
      </c>
      <c r="AW144" s="2" t="str">
        <f ca="1">IFERROR(__xludf.DUMMYFUNCTION("""COMPUTED_VALUE"""),"")</f>
        <v/>
      </c>
      <c r="AX144" s="2" t="str">
        <f ca="1">IFERROR(__xludf.DUMMYFUNCTION("""COMPUTED_VALUE"""),"")</f>
        <v/>
      </c>
      <c r="AY144" s="2" t="str">
        <f ca="1">IFERROR(__xludf.DUMMYFUNCTION("""COMPUTED_VALUE"""),"")</f>
        <v/>
      </c>
      <c r="AZ144" s="2" t="str">
        <f ca="1">IFERROR(__xludf.DUMMYFUNCTION("""COMPUTED_VALUE"""),"")</f>
        <v/>
      </c>
      <c r="BA144" s="2" t="str">
        <f ca="1">IFERROR(__xludf.DUMMYFUNCTION("""COMPUTED_VALUE"""),"")</f>
        <v/>
      </c>
      <c r="BB144" s="2" t="str">
        <f ca="1">IFERROR(__xludf.DUMMYFUNCTION("""COMPUTED_VALUE"""),"")</f>
        <v/>
      </c>
      <c r="BC144" s="2" t="str">
        <f ca="1">IFERROR(__xludf.DUMMYFUNCTION("""COMPUTED_VALUE"""),"")</f>
        <v/>
      </c>
      <c r="BD144" s="2" t="str">
        <f ca="1">IFERROR(__xludf.DUMMYFUNCTION("""COMPUTED_VALUE"""),"")</f>
        <v/>
      </c>
      <c r="BE144" s="2" t="str">
        <f ca="1">IFERROR(__xludf.DUMMYFUNCTION("""COMPUTED_VALUE"""),"")</f>
        <v/>
      </c>
      <c r="BF144" t="str">
        <f ca="1">IFERROR(__xludf.DUMMYFUNCTION("""COMPUTED_VALUE"""),"")</f>
        <v/>
      </c>
      <c r="BG144" t="str">
        <f ca="1">IFERROR(__xludf.DUMMYFUNCTION("""COMPUTED_VALUE"""),"")</f>
        <v/>
      </c>
      <c r="BH144" s="2">
        <f ca="1">IFERROR(__xludf.DUMMYFUNCTION("""COMPUTED_VALUE"""),-37.3359756)</f>
        <v>-37.335975599999998</v>
      </c>
      <c r="BI144" s="13">
        <f ca="1">IFERROR(__xludf.DUMMYFUNCTION("""COMPUTED_VALUE"""),175.1699524)</f>
        <v>175.1699524</v>
      </c>
      <c r="BJ144" s="9">
        <f ca="1">IFERROR(__xludf.DUMMYFUNCTION("""COMPUTED_VALUE"""),43452)</f>
        <v>43452</v>
      </c>
      <c r="BK144" s="4">
        <f ca="1">IFERROR(__xludf.DUMMYFUNCTION("""COMPUTED_VALUE"""),0.457777777777664)</f>
        <v>0.45777777777766399</v>
      </c>
    </row>
    <row r="145" spans="1:63" ht="12.5" x14ac:dyDescent="0.25">
      <c r="A145" s="7" t="str">
        <f ca="1">IFERROR(__xludf.DUMMYFUNCTION("""COMPUTED_VALUE"""),"")</f>
        <v/>
      </c>
      <c r="B145" s="8" t="str">
        <f ca="1">IFERROR(__xludf.DUMMYFUNCTION("""COMPUTED_VALUE"""),"Waikato")</f>
        <v>Waikato</v>
      </c>
      <c r="C145" s="2">
        <f ca="1">IFERROR(__xludf.DUMMYFUNCTION("""COMPUTED_VALUE"""),64)</f>
        <v>64</v>
      </c>
      <c r="D145" s="9" t="str">
        <f ca="1">IFERROR(__xludf.DUMMYFUNCTION("""COMPUTED_VALUE"""),"")</f>
        <v/>
      </c>
      <c r="E145" s="4" t="str">
        <f ca="1">IFERROR(__xludf.DUMMYFUNCTION("""COMPUTED_VALUE"""),"")</f>
        <v/>
      </c>
      <c r="F145" s="2" t="str">
        <f ca="1">IFERROR(__xludf.DUMMYFUNCTION("""COMPUTED_VALUE"""),"")</f>
        <v/>
      </c>
      <c r="G145" s="2" t="str">
        <f ca="1">IFERROR(__xludf.DUMMYFUNCTION("""COMPUTED_VALUE"""),"GPS: I converted data downloaded from ARGOS using Pinpoint software")</f>
        <v>GPS: I converted data downloaded from ARGOS using Pinpoint software</v>
      </c>
      <c r="H145" s="2" t="str">
        <f ca="1">IFERROR(__xludf.DUMMYFUNCTION("""COMPUTED_VALUE"""),"3D")</f>
        <v>3D</v>
      </c>
      <c r="I145" s="2" t="str">
        <f ca="1">IFERROR(__xludf.DUMMYFUNCTION("""COMPUTED_VALUE"""),"")</f>
        <v/>
      </c>
      <c r="J145" s="2" t="str">
        <f ca="1">IFERROR(__xludf.DUMMYFUNCTION("""COMPUTED_VALUE"""),"")</f>
        <v/>
      </c>
      <c r="K145" s="2" t="str">
        <f ca="1">IFERROR(__xludf.DUMMYFUNCTION("""COMPUTED_VALUE"""),"")</f>
        <v/>
      </c>
      <c r="L145" s="2" t="str">
        <f ca="1">IFERROR(__xludf.DUMMYFUNCTION("""COMPUTED_VALUE"""),"")</f>
        <v/>
      </c>
      <c r="M145" s="5" t="str">
        <f ca="1">IFERROR(__xludf.DUMMYFUNCTION("""COMPUTED_VALUE"""),"")</f>
        <v/>
      </c>
      <c r="N145" s="5" t="str">
        <f ca="1">IFERROR(__xludf.DUMMYFUNCTION("""COMPUTED_VALUE"""),"")</f>
        <v/>
      </c>
      <c r="O145" s="2" t="str">
        <f ca="1">IFERROR(__xludf.DUMMYFUNCTION("""COMPUTED_VALUE"""),"")</f>
        <v/>
      </c>
      <c r="P145" s="2" t="str">
        <f ca="1">IFERROR(__xludf.DUMMYFUNCTION("""COMPUTED_VALUE"""),"")</f>
        <v/>
      </c>
      <c r="Q145" s="2" t="str">
        <f ca="1">IFERROR(__xludf.DUMMYFUNCTION("""COMPUTED_VALUE"""),"")</f>
        <v/>
      </c>
      <c r="R145" s="2" t="str">
        <f ca="1">IFERROR(__xludf.DUMMYFUNCTION("""COMPUTED_VALUE"""),"")</f>
        <v/>
      </c>
      <c r="S145" s="2" t="str">
        <f ca="1">IFERROR(__xludf.DUMMYFUNCTION("""COMPUTED_VALUE"""),"")</f>
        <v/>
      </c>
      <c r="T145" s="2" t="str">
        <f ca="1">IFERROR(__xludf.DUMMYFUNCTION("""COMPUTED_VALUE"""),"")</f>
        <v/>
      </c>
      <c r="U145" s="2" t="str">
        <f ca="1">IFERROR(__xludf.DUMMYFUNCTION("""COMPUTED_VALUE"""),"")</f>
        <v/>
      </c>
      <c r="V145" s="2" t="str">
        <f ca="1">IFERROR(__xludf.DUMMYFUNCTION("""COMPUTED_VALUE"""),"")</f>
        <v/>
      </c>
      <c r="W145" s="2" t="str">
        <f ca="1">IFERROR(__xludf.DUMMYFUNCTION("""COMPUTED_VALUE"""),"")</f>
        <v/>
      </c>
      <c r="X145" s="2" t="str">
        <f ca="1">IFERROR(__xludf.DUMMYFUNCTION("""COMPUTED_VALUE"""),"")</f>
        <v/>
      </c>
      <c r="Y145" s="2" t="str">
        <f ca="1">IFERROR(__xludf.DUMMYFUNCTION("""COMPUTED_VALUE"""),"")</f>
        <v/>
      </c>
      <c r="Z145" s="2" t="str">
        <f ca="1">IFERROR(__xludf.DUMMYFUNCTION("""COMPUTED_VALUE"""),"")</f>
        <v/>
      </c>
      <c r="AA145" s="2" t="str">
        <f ca="1">IFERROR(__xludf.DUMMYFUNCTION("""COMPUTED_VALUE"""),"")</f>
        <v/>
      </c>
      <c r="AB145" s="2" t="str">
        <f ca="1">IFERROR(__xludf.DUMMYFUNCTION("""COMPUTED_VALUE"""),"")</f>
        <v/>
      </c>
      <c r="AC145" s="2" t="str">
        <f ca="1">IFERROR(__xludf.DUMMYFUNCTION("""COMPUTED_VALUE"""),"")</f>
        <v/>
      </c>
      <c r="AD145" s="2" t="str">
        <f ca="1">IFERROR(__xludf.DUMMYFUNCTION("""COMPUTED_VALUE"""),"")</f>
        <v/>
      </c>
      <c r="AE145" s="2" t="str">
        <f ca="1">IFERROR(__xludf.DUMMYFUNCTION("""COMPUTED_VALUE"""),"")</f>
        <v/>
      </c>
      <c r="AF145" s="2" t="str">
        <f ca="1">IFERROR(__xludf.DUMMYFUNCTION("""COMPUTED_VALUE"""),"")</f>
        <v/>
      </c>
      <c r="AG145" s="2" t="str">
        <f ca="1">IFERROR(__xludf.DUMMYFUNCTION("""COMPUTED_VALUE"""),"")</f>
        <v/>
      </c>
      <c r="AH145" s="2" t="str">
        <f ca="1">IFERROR(__xludf.DUMMYFUNCTION("""COMPUTED_VALUE"""),"")</f>
        <v/>
      </c>
      <c r="AI145" s="2" t="str">
        <f ca="1">IFERROR(__xludf.DUMMYFUNCTION("""COMPUTED_VALUE"""),"")</f>
        <v/>
      </c>
      <c r="AJ145" s="2" t="str">
        <f ca="1">IFERROR(__xludf.DUMMYFUNCTION("""COMPUTED_VALUE"""),"")</f>
        <v/>
      </c>
      <c r="AK145" s="2" t="str">
        <f ca="1">IFERROR(__xludf.DUMMYFUNCTION("""COMPUTED_VALUE"""),"")</f>
        <v/>
      </c>
      <c r="AL145" s="2" t="str">
        <f ca="1">IFERROR(__xludf.DUMMYFUNCTION("""COMPUTED_VALUE"""),"")</f>
        <v/>
      </c>
      <c r="AM145" s="2" t="str">
        <f ca="1">IFERROR(__xludf.DUMMYFUNCTION("""COMPUTED_VALUE"""),"")</f>
        <v/>
      </c>
      <c r="AN145" s="2" t="str">
        <f ca="1">IFERROR(__xludf.DUMMYFUNCTION("""COMPUTED_VALUE"""),"")</f>
        <v/>
      </c>
      <c r="AO145" s="2" t="str">
        <f ca="1">IFERROR(__xludf.DUMMYFUNCTION("""COMPUTED_VALUE"""),"")</f>
        <v/>
      </c>
      <c r="AP145" s="2" t="str">
        <f ca="1">IFERROR(__xludf.DUMMYFUNCTION("""COMPUTED_VALUE"""),"")</f>
        <v/>
      </c>
      <c r="AQ145" s="2" t="str">
        <f ca="1">IFERROR(__xludf.DUMMYFUNCTION("""COMPUTED_VALUE"""),"")</f>
        <v/>
      </c>
      <c r="AR145" s="2" t="str">
        <f ca="1">IFERROR(__xludf.DUMMYFUNCTION("""COMPUTED_VALUE"""),"")</f>
        <v/>
      </c>
      <c r="AS145" s="2" t="str">
        <f ca="1">IFERROR(__xludf.DUMMYFUNCTION("""COMPUTED_VALUE"""),"")</f>
        <v/>
      </c>
      <c r="AT145" s="2" t="str">
        <f ca="1">IFERROR(__xludf.DUMMYFUNCTION("""COMPUTED_VALUE"""),"")</f>
        <v/>
      </c>
      <c r="AU145" s="2" t="str">
        <f ca="1">IFERROR(__xludf.DUMMYFUNCTION("""COMPUTED_VALUE"""),"")</f>
        <v/>
      </c>
      <c r="AV145" s="2" t="str">
        <f ca="1">IFERROR(__xludf.DUMMYFUNCTION("""COMPUTED_VALUE"""),"")</f>
        <v/>
      </c>
      <c r="AW145" s="2" t="str">
        <f ca="1">IFERROR(__xludf.DUMMYFUNCTION("""COMPUTED_VALUE"""),"")</f>
        <v/>
      </c>
      <c r="AX145" s="2" t="str">
        <f ca="1">IFERROR(__xludf.DUMMYFUNCTION("""COMPUTED_VALUE"""),"")</f>
        <v/>
      </c>
      <c r="AY145" s="2" t="str">
        <f ca="1">IFERROR(__xludf.DUMMYFUNCTION("""COMPUTED_VALUE"""),"")</f>
        <v/>
      </c>
      <c r="AZ145" s="2" t="str">
        <f ca="1">IFERROR(__xludf.DUMMYFUNCTION("""COMPUTED_VALUE"""),"")</f>
        <v/>
      </c>
      <c r="BA145" s="2" t="str">
        <f ca="1">IFERROR(__xludf.DUMMYFUNCTION("""COMPUTED_VALUE"""),"")</f>
        <v/>
      </c>
      <c r="BB145" s="2" t="str">
        <f ca="1">IFERROR(__xludf.DUMMYFUNCTION("""COMPUTED_VALUE"""),"")</f>
        <v/>
      </c>
      <c r="BC145" s="2" t="str">
        <f ca="1">IFERROR(__xludf.DUMMYFUNCTION("""COMPUTED_VALUE"""),"")</f>
        <v/>
      </c>
      <c r="BD145" s="2" t="str">
        <f ca="1">IFERROR(__xludf.DUMMYFUNCTION("""COMPUTED_VALUE"""),"")</f>
        <v/>
      </c>
      <c r="BE145" s="2" t="str">
        <f ca="1">IFERROR(__xludf.DUMMYFUNCTION("""COMPUTED_VALUE"""),"")</f>
        <v/>
      </c>
      <c r="BF145" t="str">
        <f ca="1">IFERROR(__xludf.DUMMYFUNCTION("""COMPUTED_VALUE"""),"")</f>
        <v/>
      </c>
      <c r="BG145" t="str">
        <f ca="1">IFERROR(__xludf.DUMMYFUNCTION("""COMPUTED_VALUE"""),"")</f>
        <v/>
      </c>
      <c r="BH145" s="2">
        <f ca="1">IFERROR(__xludf.DUMMYFUNCTION("""COMPUTED_VALUE"""),-37.3444214)</f>
        <v>-37.344421400000002</v>
      </c>
      <c r="BI145" s="12">
        <f ca="1">IFERROR(__xludf.DUMMYFUNCTION("""COMPUTED_VALUE"""),175.1623535)</f>
        <v>175.16235349999999</v>
      </c>
      <c r="BJ145" s="9">
        <f ca="1">IFERROR(__xludf.DUMMYFUNCTION("""COMPUTED_VALUE"""),43452)</f>
        <v>43452</v>
      </c>
      <c r="BK145" s="4">
        <f ca="1">IFERROR(__xludf.DUMMYFUNCTION("""COMPUTED_VALUE"""),0.958518518516939)</f>
        <v>0.95851851851693903</v>
      </c>
    </row>
    <row r="146" spans="1:63" ht="12.5" x14ac:dyDescent="0.25">
      <c r="A146" s="7" t="str">
        <f ca="1">IFERROR(__xludf.DUMMYFUNCTION("""COMPUTED_VALUE"""),"")</f>
        <v/>
      </c>
      <c r="B146" s="8" t="str">
        <f ca="1">IFERROR(__xludf.DUMMYFUNCTION("""COMPUTED_VALUE"""),"Waikato")</f>
        <v>Waikato</v>
      </c>
      <c r="C146" s="2">
        <f ca="1">IFERROR(__xludf.DUMMYFUNCTION("""COMPUTED_VALUE"""),64)</f>
        <v>64</v>
      </c>
      <c r="D146" s="9" t="str">
        <f ca="1">IFERROR(__xludf.DUMMYFUNCTION("""COMPUTED_VALUE"""),"")</f>
        <v/>
      </c>
      <c r="E146" s="4" t="str">
        <f ca="1">IFERROR(__xludf.DUMMYFUNCTION("""COMPUTED_VALUE"""),"")</f>
        <v/>
      </c>
      <c r="F146" s="2" t="str">
        <f ca="1">IFERROR(__xludf.DUMMYFUNCTION("""COMPUTED_VALUE"""),"")</f>
        <v/>
      </c>
      <c r="G146" s="2" t="str">
        <f ca="1">IFERROR(__xludf.DUMMYFUNCTION("""COMPUTED_VALUE"""),"GPS: I converted data downloaded from ARGOS using Pinpoint software")</f>
        <v>GPS: I converted data downloaded from ARGOS using Pinpoint software</v>
      </c>
      <c r="H146" s="2" t="str">
        <f ca="1">IFERROR(__xludf.DUMMYFUNCTION("""COMPUTED_VALUE"""),"3D")</f>
        <v>3D</v>
      </c>
      <c r="I146" s="2" t="str">
        <f ca="1">IFERROR(__xludf.DUMMYFUNCTION("""COMPUTED_VALUE"""),"")</f>
        <v/>
      </c>
      <c r="J146" s="2" t="str">
        <f ca="1">IFERROR(__xludf.DUMMYFUNCTION("""COMPUTED_VALUE"""),"")</f>
        <v/>
      </c>
      <c r="K146" s="2" t="str">
        <f ca="1">IFERROR(__xludf.DUMMYFUNCTION("""COMPUTED_VALUE"""),"")</f>
        <v/>
      </c>
      <c r="L146" s="2" t="str">
        <f ca="1">IFERROR(__xludf.DUMMYFUNCTION("""COMPUTED_VALUE"""),"")</f>
        <v/>
      </c>
      <c r="M146" s="5" t="str">
        <f ca="1">IFERROR(__xludf.DUMMYFUNCTION("""COMPUTED_VALUE"""),"")</f>
        <v/>
      </c>
      <c r="N146" s="5" t="str">
        <f ca="1">IFERROR(__xludf.DUMMYFUNCTION("""COMPUTED_VALUE"""),"")</f>
        <v/>
      </c>
      <c r="O146" s="2" t="str">
        <f ca="1">IFERROR(__xludf.DUMMYFUNCTION("""COMPUTED_VALUE"""),"")</f>
        <v/>
      </c>
      <c r="P146" s="2" t="str">
        <f ca="1">IFERROR(__xludf.DUMMYFUNCTION("""COMPUTED_VALUE"""),"")</f>
        <v/>
      </c>
      <c r="Q146" s="2" t="str">
        <f ca="1">IFERROR(__xludf.DUMMYFUNCTION("""COMPUTED_VALUE"""),"")</f>
        <v/>
      </c>
      <c r="R146" s="2" t="str">
        <f ca="1">IFERROR(__xludf.DUMMYFUNCTION("""COMPUTED_VALUE"""),"")</f>
        <v/>
      </c>
      <c r="S146" s="2" t="str">
        <f ca="1">IFERROR(__xludf.DUMMYFUNCTION("""COMPUTED_VALUE"""),"")</f>
        <v/>
      </c>
      <c r="T146" s="2" t="str">
        <f ca="1">IFERROR(__xludf.DUMMYFUNCTION("""COMPUTED_VALUE"""),"")</f>
        <v/>
      </c>
      <c r="U146" s="2" t="str">
        <f ca="1">IFERROR(__xludf.DUMMYFUNCTION("""COMPUTED_VALUE"""),"")</f>
        <v/>
      </c>
      <c r="V146" s="2" t="str">
        <f ca="1">IFERROR(__xludf.DUMMYFUNCTION("""COMPUTED_VALUE"""),"")</f>
        <v/>
      </c>
      <c r="W146" s="2" t="str">
        <f ca="1">IFERROR(__xludf.DUMMYFUNCTION("""COMPUTED_VALUE"""),"")</f>
        <v/>
      </c>
      <c r="X146" s="2" t="str">
        <f ca="1">IFERROR(__xludf.DUMMYFUNCTION("""COMPUTED_VALUE"""),"")</f>
        <v/>
      </c>
      <c r="Y146" s="2" t="str">
        <f ca="1">IFERROR(__xludf.DUMMYFUNCTION("""COMPUTED_VALUE"""),"")</f>
        <v/>
      </c>
      <c r="Z146" s="2" t="str">
        <f ca="1">IFERROR(__xludf.DUMMYFUNCTION("""COMPUTED_VALUE"""),"")</f>
        <v/>
      </c>
      <c r="AA146" s="2" t="str">
        <f ca="1">IFERROR(__xludf.DUMMYFUNCTION("""COMPUTED_VALUE"""),"")</f>
        <v/>
      </c>
      <c r="AB146" s="2" t="str">
        <f ca="1">IFERROR(__xludf.DUMMYFUNCTION("""COMPUTED_VALUE"""),"")</f>
        <v/>
      </c>
      <c r="AC146" s="2" t="str">
        <f ca="1">IFERROR(__xludf.DUMMYFUNCTION("""COMPUTED_VALUE"""),"")</f>
        <v/>
      </c>
      <c r="AD146" s="2" t="str">
        <f ca="1">IFERROR(__xludf.DUMMYFUNCTION("""COMPUTED_VALUE"""),"")</f>
        <v/>
      </c>
      <c r="AE146" s="2" t="str">
        <f ca="1">IFERROR(__xludf.DUMMYFUNCTION("""COMPUTED_VALUE"""),"")</f>
        <v/>
      </c>
      <c r="AF146" s="2" t="str">
        <f ca="1">IFERROR(__xludf.DUMMYFUNCTION("""COMPUTED_VALUE"""),"")</f>
        <v/>
      </c>
      <c r="AG146" s="2" t="str">
        <f ca="1">IFERROR(__xludf.DUMMYFUNCTION("""COMPUTED_VALUE"""),"")</f>
        <v/>
      </c>
      <c r="AH146" s="2" t="str">
        <f ca="1">IFERROR(__xludf.DUMMYFUNCTION("""COMPUTED_VALUE"""),"")</f>
        <v/>
      </c>
      <c r="AI146" s="2" t="str">
        <f ca="1">IFERROR(__xludf.DUMMYFUNCTION("""COMPUTED_VALUE"""),"")</f>
        <v/>
      </c>
      <c r="AJ146" s="2" t="str">
        <f ca="1">IFERROR(__xludf.DUMMYFUNCTION("""COMPUTED_VALUE"""),"")</f>
        <v/>
      </c>
      <c r="AK146" s="2" t="str">
        <f ca="1">IFERROR(__xludf.DUMMYFUNCTION("""COMPUTED_VALUE"""),"")</f>
        <v/>
      </c>
      <c r="AL146" s="2" t="str">
        <f ca="1">IFERROR(__xludf.DUMMYFUNCTION("""COMPUTED_VALUE"""),"")</f>
        <v/>
      </c>
      <c r="AM146" s="2" t="str">
        <f ca="1">IFERROR(__xludf.DUMMYFUNCTION("""COMPUTED_VALUE"""),"")</f>
        <v/>
      </c>
      <c r="AN146" s="2" t="str">
        <f ca="1">IFERROR(__xludf.DUMMYFUNCTION("""COMPUTED_VALUE"""),"")</f>
        <v/>
      </c>
      <c r="AO146" s="2" t="str">
        <f ca="1">IFERROR(__xludf.DUMMYFUNCTION("""COMPUTED_VALUE"""),"")</f>
        <v/>
      </c>
      <c r="AP146" s="2" t="str">
        <f ca="1">IFERROR(__xludf.DUMMYFUNCTION("""COMPUTED_VALUE"""),"")</f>
        <v/>
      </c>
      <c r="AQ146" s="2" t="str">
        <f ca="1">IFERROR(__xludf.DUMMYFUNCTION("""COMPUTED_VALUE"""),"")</f>
        <v/>
      </c>
      <c r="AR146" s="2" t="str">
        <f ca="1">IFERROR(__xludf.DUMMYFUNCTION("""COMPUTED_VALUE"""),"")</f>
        <v/>
      </c>
      <c r="AS146" s="2" t="str">
        <f ca="1">IFERROR(__xludf.DUMMYFUNCTION("""COMPUTED_VALUE"""),"")</f>
        <v/>
      </c>
      <c r="AT146" s="2" t="str">
        <f ca="1">IFERROR(__xludf.DUMMYFUNCTION("""COMPUTED_VALUE"""),"")</f>
        <v/>
      </c>
      <c r="AU146" s="2" t="str">
        <f ca="1">IFERROR(__xludf.DUMMYFUNCTION("""COMPUTED_VALUE"""),"")</f>
        <v/>
      </c>
      <c r="AV146" s="2" t="str">
        <f ca="1">IFERROR(__xludf.DUMMYFUNCTION("""COMPUTED_VALUE"""),"")</f>
        <v/>
      </c>
      <c r="AW146" s="2" t="str">
        <f ca="1">IFERROR(__xludf.DUMMYFUNCTION("""COMPUTED_VALUE"""),"")</f>
        <v/>
      </c>
      <c r="AX146" s="2" t="str">
        <f ca="1">IFERROR(__xludf.DUMMYFUNCTION("""COMPUTED_VALUE"""),"")</f>
        <v/>
      </c>
      <c r="AY146" s="2" t="str">
        <f ca="1">IFERROR(__xludf.DUMMYFUNCTION("""COMPUTED_VALUE"""),"")</f>
        <v/>
      </c>
      <c r="AZ146" s="2" t="str">
        <f ca="1">IFERROR(__xludf.DUMMYFUNCTION("""COMPUTED_VALUE"""),"")</f>
        <v/>
      </c>
      <c r="BA146" s="2" t="str">
        <f ca="1">IFERROR(__xludf.DUMMYFUNCTION("""COMPUTED_VALUE"""),"")</f>
        <v/>
      </c>
      <c r="BB146" s="2" t="str">
        <f ca="1">IFERROR(__xludf.DUMMYFUNCTION("""COMPUTED_VALUE"""),"")</f>
        <v/>
      </c>
      <c r="BC146" s="2" t="str">
        <f ca="1">IFERROR(__xludf.DUMMYFUNCTION("""COMPUTED_VALUE"""),"")</f>
        <v/>
      </c>
      <c r="BD146" s="2" t="str">
        <f ca="1">IFERROR(__xludf.DUMMYFUNCTION("""COMPUTED_VALUE"""),"")</f>
        <v/>
      </c>
      <c r="BE146" s="2" t="str">
        <f ca="1">IFERROR(__xludf.DUMMYFUNCTION("""COMPUTED_VALUE"""),"")</f>
        <v/>
      </c>
      <c r="BF146" t="str">
        <f ca="1">IFERROR(__xludf.DUMMYFUNCTION("""COMPUTED_VALUE"""),"")</f>
        <v/>
      </c>
      <c r="BG146" t="str">
        <f ca="1">IFERROR(__xludf.DUMMYFUNCTION("""COMPUTED_VALUE"""),"")</f>
        <v/>
      </c>
      <c r="BH146" s="2">
        <f ca="1">IFERROR(__xludf.DUMMYFUNCTION("""COMPUTED_VALUE"""),-37.3354607)</f>
        <v>-37.335460699999999</v>
      </c>
      <c r="BI146" s="13">
        <f ca="1">IFERROR(__xludf.DUMMYFUNCTION("""COMPUTED_VALUE"""),175.1695557)</f>
        <v>175.16955569999999</v>
      </c>
      <c r="BJ146" s="9">
        <f ca="1">IFERROR(__xludf.DUMMYFUNCTION("""COMPUTED_VALUE"""),43454)</f>
        <v>43454</v>
      </c>
      <c r="BK146" s="4">
        <f ca="1">IFERROR(__xludf.DUMMYFUNCTION("""COMPUTED_VALUE"""),0.457777777777664)</f>
        <v>0.45777777777766399</v>
      </c>
    </row>
    <row r="147" spans="1:63" ht="12.5" x14ac:dyDescent="0.25">
      <c r="A147" s="7" t="str">
        <f ca="1">IFERROR(__xludf.DUMMYFUNCTION("""COMPUTED_VALUE"""),"")</f>
        <v/>
      </c>
      <c r="B147" s="8" t="str">
        <f ca="1">IFERROR(__xludf.DUMMYFUNCTION("""COMPUTED_VALUE"""),"Waikato")</f>
        <v>Waikato</v>
      </c>
      <c r="C147" s="2">
        <f ca="1">IFERROR(__xludf.DUMMYFUNCTION("""COMPUTED_VALUE"""),64)</f>
        <v>64</v>
      </c>
      <c r="D147" s="9" t="str">
        <f ca="1">IFERROR(__xludf.DUMMYFUNCTION("""COMPUTED_VALUE"""),"")</f>
        <v/>
      </c>
      <c r="E147" s="4" t="str">
        <f ca="1">IFERROR(__xludf.DUMMYFUNCTION("""COMPUTED_VALUE"""),"")</f>
        <v/>
      </c>
      <c r="F147" s="2" t="str">
        <f ca="1">IFERROR(__xludf.DUMMYFUNCTION("""COMPUTED_VALUE"""),"")</f>
        <v/>
      </c>
      <c r="G147" s="2" t="str">
        <f ca="1">IFERROR(__xludf.DUMMYFUNCTION("""COMPUTED_VALUE"""),"GPS: I converted data downloaded from ARGOS using Pinpoint software")</f>
        <v>GPS: I converted data downloaded from ARGOS using Pinpoint software</v>
      </c>
      <c r="H147" s="2" t="str">
        <f ca="1">IFERROR(__xludf.DUMMYFUNCTION("""COMPUTED_VALUE"""),"3D")</f>
        <v>3D</v>
      </c>
      <c r="I147" s="2" t="str">
        <f ca="1">IFERROR(__xludf.DUMMYFUNCTION("""COMPUTED_VALUE"""),"")</f>
        <v/>
      </c>
      <c r="J147" s="2" t="str">
        <f ca="1">IFERROR(__xludf.DUMMYFUNCTION("""COMPUTED_VALUE"""),"")</f>
        <v/>
      </c>
      <c r="K147" s="2" t="str">
        <f ca="1">IFERROR(__xludf.DUMMYFUNCTION("""COMPUTED_VALUE"""),"")</f>
        <v/>
      </c>
      <c r="L147" s="2" t="str">
        <f ca="1">IFERROR(__xludf.DUMMYFUNCTION("""COMPUTED_VALUE"""),"")</f>
        <v/>
      </c>
      <c r="M147" s="5" t="str">
        <f ca="1">IFERROR(__xludf.DUMMYFUNCTION("""COMPUTED_VALUE"""),"")</f>
        <v/>
      </c>
      <c r="N147" s="5" t="str">
        <f ca="1">IFERROR(__xludf.DUMMYFUNCTION("""COMPUTED_VALUE"""),"")</f>
        <v/>
      </c>
      <c r="O147" s="2" t="str">
        <f ca="1">IFERROR(__xludf.DUMMYFUNCTION("""COMPUTED_VALUE"""),"")</f>
        <v/>
      </c>
      <c r="P147" s="2" t="str">
        <f ca="1">IFERROR(__xludf.DUMMYFUNCTION("""COMPUTED_VALUE"""),"")</f>
        <v/>
      </c>
      <c r="Q147" s="2" t="str">
        <f ca="1">IFERROR(__xludf.DUMMYFUNCTION("""COMPUTED_VALUE"""),"")</f>
        <v/>
      </c>
      <c r="R147" s="2" t="str">
        <f ca="1">IFERROR(__xludf.DUMMYFUNCTION("""COMPUTED_VALUE"""),"")</f>
        <v/>
      </c>
      <c r="S147" s="2" t="str">
        <f ca="1">IFERROR(__xludf.DUMMYFUNCTION("""COMPUTED_VALUE"""),"")</f>
        <v/>
      </c>
      <c r="T147" s="2" t="str">
        <f ca="1">IFERROR(__xludf.DUMMYFUNCTION("""COMPUTED_VALUE"""),"")</f>
        <v/>
      </c>
      <c r="U147" s="2" t="str">
        <f ca="1">IFERROR(__xludf.DUMMYFUNCTION("""COMPUTED_VALUE"""),"")</f>
        <v/>
      </c>
      <c r="V147" s="2" t="str">
        <f ca="1">IFERROR(__xludf.DUMMYFUNCTION("""COMPUTED_VALUE"""),"")</f>
        <v/>
      </c>
      <c r="W147" s="2" t="str">
        <f ca="1">IFERROR(__xludf.DUMMYFUNCTION("""COMPUTED_VALUE"""),"")</f>
        <v/>
      </c>
      <c r="X147" s="2" t="str">
        <f ca="1">IFERROR(__xludf.DUMMYFUNCTION("""COMPUTED_VALUE"""),"")</f>
        <v/>
      </c>
      <c r="Y147" s="2" t="str">
        <f ca="1">IFERROR(__xludf.DUMMYFUNCTION("""COMPUTED_VALUE"""),"")</f>
        <v/>
      </c>
      <c r="Z147" s="2" t="str">
        <f ca="1">IFERROR(__xludf.DUMMYFUNCTION("""COMPUTED_VALUE"""),"")</f>
        <v/>
      </c>
      <c r="AA147" s="2" t="str">
        <f ca="1">IFERROR(__xludf.DUMMYFUNCTION("""COMPUTED_VALUE"""),"")</f>
        <v/>
      </c>
      <c r="AB147" s="2" t="str">
        <f ca="1">IFERROR(__xludf.DUMMYFUNCTION("""COMPUTED_VALUE"""),"")</f>
        <v/>
      </c>
      <c r="AC147" s="2" t="str">
        <f ca="1">IFERROR(__xludf.DUMMYFUNCTION("""COMPUTED_VALUE"""),"")</f>
        <v/>
      </c>
      <c r="AD147" s="2" t="str">
        <f ca="1">IFERROR(__xludf.DUMMYFUNCTION("""COMPUTED_VALUE"""),"")</f>
        <v/>
      </c>
      <c r="AE147" s="2" t="str">
        <f ca="1">IFERROR(__xludf.DUMMYFUNCTION("""COMPUTED_VALUE"""),"")</f>
        <v/>
      </c>
      <c r="AF147" s="2" t="str">
        <f ca="1">IFERROR(__xludf.DUMMYFUNCTION("""COMPUTED_VALUE"""),"")</f>
        <v/>
      </c>
      <c r="AG147" s="2" t="str">
        <f ca="1">IFERROR(__xludf.DUMMYFUNCTION("""COMPUTED_VALUE"""),"")</f>
        <v/>
      </c>
      <c r="AH147" s="2" t="str">
        <f ca="1">IFERROR(__xludf.DUMMYFUNCTION("""COMPUTED_VALUE"""),"")</f>
        <v/>
      </c>
      <c r="AI147" s="2" t="str">
        <f ca="1">IFERROR(__xludf.DUMMYFUNCTION("""COMPUTED_VALUE"""),"")</f>
        <v/>
      </c>
      <c r="AJ147" s="2" t="str">
        <f ca="1">IFERROR(__xludf.DUMMYFUNCTION("""COMPUTED_VALUE"""),"")</f>
        <v/>
      </c>
      <c r="AK147" s="2" t="str">
        <f ca="1">IFERROR(__xludf.DUMMYFUNCTION("""COMPUTED_VALUE"""),"")</f>
        <v/>
      </c>
      <c r="AL147" s="2" t="str">
        <f ca="1">IFERROR(__xludf.DUMMYFUNCTION("""COMPUTED_VALUE"""),"")</f>
        <v/>
      </c>
      <c r="AM147" s="2" t="str">
        <f ca="1">IFERROR(__xludf.DUMMYFUNCTION("""COMPUTED_VALUE"""),"")</f>
        <v/>
      </c>
      <c r="AN147" s="2" t="str">
        <f ca="1">IFERROR(__xludf.DUMMYFUNCTION("""COMPUTED_VALUE"""),"")</f>
        <v/>
      </c>
      <c r="AO147" s="2" t="str">
        <f ca="1">IFERROR(__xludf.DUMMYFUNCTION("""COMPUTED_VALUE"""),"")</f>
        <v/>
      </c>
      <c r="AP147" s="2" t="str">
        <f ca="1">IFERROR(__xludf.DUMMYFUNCTION("""COMPUTED_VALUE"""),"")</f>
        <v/>
      </c>
      <c r="AQ147" s="2" t="str">
        <f ca="1">IFERROR(__xludf.DUMMYFUNCTION("""COMPUTED_VALUE"""),"")</f>
        <v/>
      </c>
      <c r="AR147" s="2" t="str">
        <f ca="1">IFERROR(__xludf.DUMMYFUNCTION("""COMPUTED_VALUE"""),"")</f>
        <v/>
      </c>
      <c r="AS147" s="2" t="str">
        <f ca="1">IFERROR(__xludf.DUMMYFUNCTION("""COMPUTED_VALUE"""),"")</f>
        <v/>
      </c>
      <c r="AT147" s="2" t="str">
        <f ca="1">IFERROR(__xludf.DUMMYFUNCTION("""COMPUTED_VALUE"""),"")</f>
        <v/>
      </c>
      <c r="AU147" s="2" t="str">
        <f ca="1">IFERROR(__xludf.DUMMYFUNCTION("""COMPUTED_VALUE"""),"")</f>
        <v/>
      </c>
      <c r="AV147" s="2" t="str">
        <f ca="1">IFERROR(__xludf.DUMMYFUNCTION("""COMPUTED_VALUE"""),"")</f>
        <v/>
      </c>
      <c r="AW147" s="2" t="str">
        <f ca="1">IFERROR(__xludf.DUMMYFUNCTION("""COMPUTED_VALUE"""),"")</f>
        <v/>
      </c>
      <c r="AX147" s="2" t="str">
        <f ca="1">IFERROR(__xludf.DUMMYFUNCTION("""COMPUTED_VALUE"""),"")</f>
        <v/>
      </c>
      <c r="AY147" s="2" t="str">
        <f ca="1">IFERROR(__xludf.DUMMYFUNCTION("""COMPUTED_VALUE"""),"")</f>
        <v/>
      </c>
      <c r="AZ147" s="2" t="str">
        <f ca="1">IFERROR(__xludf.DUMMYFUNCTION("""COMPUTED_VALUE"""),"")</f>
        <v/>
      </c>
      <c r="BA147" s="2" t="str">
        <f ca="1">IFERROR(__xludf.DUMMYFUNCTION("""COMPUTED_VALUE"""),"")</f>
        <v/>
      </c>
      <c r="BB147" s="2" t="str">
        <f ca="1">IFERROR(__xludf.DUMMYFUNCTION("""COMPUTED_VALUE"""),"")</f>
        <v/>
      </c>
      <c r="BC147" s="2" t="str">
        <f ca="1">IFERROR(__xludf.DUMMYFUNCTION("""COMPUTED_VALUE"""),"")</f>
        <v/>
      </c>
      <c r="BD147" s="2" t="str">
        <f ca="1">IFERROR(__xludf.DUMMYFUNCTION("""COMPUTED_VALUE"""),"")</f>
        <v/>
      </c>
      <c r="BE147" s="2" t="str">
        <f ca="1">IFERROR(__xludf.DUMMYFUNCTION("""COMPUTED_VALUE"""),"")</f>
        <v/>
      </c>
      <c r="BF147" t="str">
        <f ca="1">IFERROR(__xludf.DUMMYFUNCTION("""COMPUTED_VALUE"""),"")</f>
        <v/>
      </c>
      <c r="BG147" t="str">
        <f ca="1">IFERROR(__xludf.DUMMYFUNCTION("""COMPUTED_VALUE"""),"")</f>
        <v/>
      </c>
      <c r="BH147" s="2">
        <f ca="1">IFERROR(__xludf.DUMMYFUNCTION("""COMPUTED_VALUE"""),-37.3451385)</f>
        <v>-37.345138499999997</v>
      </c>
      <c r="BI147" s="12">
        <f ca="1">IFERROR(__xludf.DUMMYFUNCTION("""COMPUTED_VALUE"""),175.1663208)</f>
        <v>175.16632079999999</v>
      </c>
      <c r="BJ147" s="9">
        <f ca="1">IFERROR(__xludf.DUMMYFUNCTION("""COMPUTED_VALUE"""),43454)</f>
        <v>43454</v>
      </c>
      <c r="BK147" s="4">
        <f ca="1">IFERROR(__xludf.DUMMYFUNCTION("""COMPUTED_VALUE"""),0.958518518516939)</f>
        <v>0.95851851851693903</v>
      </c>
    </row>
    <row r="148" spans="1:63" ht="12.5" x14ac:dyDescent="0.25">
      <c r="A148" s="7" t="str">
        <f ca="1">IFERROR(__xludf.DUMMYFUNCTION("""COMPUTED_VALUE"""),"")</f>
        <v/>
      </c>
      <c r="B148" s="8" t="str">
        <f ca="1">IFERROR(__xludf.DUMMYFUNCTION("""COMPUTED_VALUE"""),"Waikato")</f>
        <v>Waikato</v>
      </c>
      <c r="C148" s="2">
        <f ca="1">IFERROR(__xludf.DUMMYFUNCTION("""COMPUTED_VALUE"""),64)</f>
        <v>64</v>
      </c>
      <c r="D148" s="9" t="str">
        <f ca="1">IFERROR(__xludf.DUMMYFUNCTION("""COMPUTED_VALUE"""),"")</f>
        <v/>
      </c>
      <c r="E148" s="4" t="str">
        <f ca="1">IFERROR(__xludf.DUMMYFUNCTION("""COMPUTED_VALUE"""),"")</f>
        <v/>
      </c>
      <c r="F148" s="2" t="str">
        <f ca="1">IFERROR(__xludf.DUMMYFUNCTION("""COMPUTED_VALUE"""),"")</f>
        <v/>
      </c>
      <c r="G148" s="2" t="str">
        <f ca="1">IFERROR(__xludf.DUMMYFUNCTION("""COMPUTED_VALUE"""),"GPS: I converted data downloaded from ARGOS using Pinpoint software")</f>
        <v>GPS: I converted data downloaded from ARGOS using Pinpoint software</v>
      </c>
      <c r="H148" s="2" t="str">
        <f ca="1">IFERROR(__xludf.DUMMYFUNCTION("""COMPUTED_VALUE"""),"3D")</f>
        <v>3D</v>
      </c>
      <c r="I148" s="2" t="str">
        <f ca="1">IFERROR(__xludf.DUMMYFUNCTION("""COMPUTED_VALUE"""),"")</f>
        <v/>
      </c>
      <c r="J148" s="2" t="str">
        <f ca="1">IFERROR(__xludf.DUMMYFUNCTION("""COMPUTED_VALUE"""),"")</f>
        <v/>
      </c>
      <c r="K148" s="2" t="str">
        <f ca="1">IFERROR(__xludf.DUMMYFUNCTION("""COMPUTED_VALUE"""),"")</f>
        <v/>
      </c>
      <c r="L148" s="2" t="str">
        <f ca="1">IFERROR(__xludf.DUMMYFUNCTION("""COMPUTED_VALUE"""),"")</f>
        <v/>
      </c>
      <c r="M148" s="5" t="str">
        <f ca="1">IFERROR(__xludf.DUMMYFUNCTION("""COMPUTED_VALUE"""),"")</f>
        <v/>
      </c>
      <c r="N148" s="5" t="str">
        <f ca="1">IFERROR(__xludf.DUMMYFUNCTION("""COMPUTED_VALUE"""),"")</f>
        <v/>
      </c>
      <c r="O148" s="2" t="str">
        <f ca="1">IFERROR(__xludf.DUMMYFUNCTION("""COMPUTED_VALUE"""),"")</f>
        <v/>
      </c>
      <c r="P148" s="2" t="str">
        <f ca="1">IFERROR(__xludf.DUMMYFUNCTION("""COMPUTED_VALUE"""),"")</f>
        <v/>
      </c>
      <c r="Q148" s="2" t="str">
        <f ca="1">IFERROR(__xludf.DUMMYFUNCTION("""COMPUTED_VALUE"""),"")</f>
        <v/>
      </c>
      <c r="R148" s="2" t="str">
        <f ca="1">IFERROR(__xludf.DUMMYFUNCTION("""COMPUTED_VALUE"""),"")</f>
        <v/>
      </c>
      <c r="S148" s="2" t="str">
        <f ca="1">IFERROR(__xludf.DUMMYFUNCTION("""COMPUTED_VALUE"""),"")</f>
        <v/>
      </c>
      <c r="T148" s="2" t="str">
        <f ca="1">IFERROR(__xludf.DUMMYFUNCTION("""COMPUTED_VALUE"""),"")</f>
        <v/>
      </c>
      <c r="U148" s="2" t="str">
        <f ca="1">IFERROR(__xludf.DUMMYFUNCTION("""COMPUTED_VALUE"""),"")</f>
        <v/>
      </c>
      <c r="V148" s="2" t="str">
        <f ca="1">IFERROR(__xludf.DUMMYFUNCTION("""COMPUTED_VALUE"""),"")</f>
        <v/>
      </c>
      <c r="W148" s="2" t="str">
        <f ca="1">IFERROR(__xludf.DUMMYFUNCTION("""COMPUTED_VALUE"""),"")</f>
        <v/>
      </c>
      <c r="X148" s="2" t="str">
        <f ca="1">IFERROR(__xludf.DUMMYFUNCTION("""COMPUTED_VALUE"""),"")</f>
        <v/>
      </c>
      <c r="Y148" s="2" t="str">
        <f ca="1">IFERROR(__xludf.DUMMYFUNCTION("""COMPUTED_VALUE"""),"")</f>
        <v/>
      </c>
      <c r="Z148" s="2" t="str">
        <f ca="1">IFERROR(__xludf.DUMMYFUNCTION("""COMPUTED_VALUE"""),"")</f>
        <v/>
      </c>
      <c r="AA148" s="2" t="str">
        <f ca="1">IFERROR(__xludf.DUMMYFUNCTION("""COMPUTED_VALUE"""),"")</f>
        <v/>
      </c>
      <c r="AB148" s="2" t="str">
        <f ca="1">IFERROR(__xludf.DUMMYFUNCTION("""COMPUTED_VALUE"""),"")</f>
        <v/>
      </c>
      <c r="AC148" s="2" t="str">
        <f ca="1">IFERROR(__xludf.DUMMYFUNCTION("""COMPUTED_VALUE"""),"")</f>
        <v/>
      </c>
      <c r="AD148" s="2" t="str">
        <f ca="1">IFERROR(__xludf.DUMMYFUNCTION("""COMPUTED_VALUE"""),"")</f>
        <v/>
      </c>
      <c r="AE148" s="2" t="str">
        <f ca="1">IFERROR(__xludf.DUMMYFUNCTION("""COMPUTED_VALUE"""),"")</f>
        <v/>
      </c>
      <c r="AF148" s="2" t="str">
        <f ca="1">IFERROR(__xludf.DUMMYFUNCTION("""COMPUTED_VALUE"""),"")</f>
        <v/>
      </c>
      <c r="AG148" s="2" t="str">
        <f ca="1">IFERROR(__xludf.DUMMYFUNCTION("""COMPUTED_VALUE"""),"")</f>
        <v/>
      </c>
      <c r="AH148" s="2" t="str">
        <f ca="1">IFERROR(__xludf.DUMMYFUNCTION("""COMPUTED_VALUE"""),"")</f>
        <v/>
      </c>
      <c r="AI148" s="2" t="str">
        <f ca="1">IFERROR(__xludf.DUMMYFUNCTION("""COMPUTED_VALUE"""),"")</f>
        <v/>
      </c>
      <c r="AJ148" s="2" t="str">
        <f ca="1">IFERROR(__xludf.DUMMYFUNCTION("""COMPUTED_VALUE"""),"")</f>
        <v/>
      </c>
      <c r="AK148" s="2" t="str">
        <f ca="1">IFERROR(__xludf.DUMMYFUNCTION("""COMPUTED_VALUE"""),"")</f>
        <v/>
      </c>
      <c r="AL148" s="2" t="str">
        <f ca="1">IFERROR(__xludf.DUMMYFUNCTION("""COMPUTED_VALUE"""),"")</f>
        <v/>
      </c>
      <c r="AM148" s="2" t="str">
        <f ca="1">IFERROR(__xludf.DUMMYFUNCTION("""COMPUTED_VALUE"""),"")</f>
        <v/>
      </c>
      <c r="AN148" s="2" t="str">
        <f ca="1">IFERROR(__xludf.DUMMYFUNCTION("""COMPUTED_VALUE"""),"")</f>
        <v/>
      </c>
      <c r="AO148" s="2" t="str">
        <f ca="1">IFERROR(__xludf.DUMMYFUNCTION("""COMPUTED_VALUE"""),"")</f>
        <v/>
      </c>
      <c r="AP148" s="2" t="str">
        <f ca="1">IFERROR(__xludf.DUMMYFUNCTION("""COMPUTED_VALUE"""),"")</f>
        <v/>
      </c>
      <c r="AQ148" s="2" t="str">
        <f ca="1">IFERROR(__xludf.DUMMYFUNCTION("""COMPUTED_VALUE"""),"")</f>
        <v/>
      </c>
      <c r="AR148" s="2" t="str">
        <f ca="1">IFERROR(__xludf.DUMMYFUNCTION("""COMPUTED_VALUE"""),"")</f>
        <v/>
      </c>
      <c r="AS148" s="2" t="str">
        <f ca="1">IFERROR(__xludf.DUMMYFUNCTION("""COMPUTED_VALUE"""),"")</f>
        <v/>
      </c>
      <c r="AT148" s="2" t="str">
        <f ca="1">IFERROR(__xludf.DUMMYFUNCTION("""COMPUTED_VALUE"""),"")</f>
        <v/>
      </c>
      <c r="AU148" s="2" t="str">
        <f ca="1">IFERROR(__xludf.DUMMYFUNCTION("""COMPUTED_VALUE"""),"")</f>
        <v/>
      </c>
      <c r="AV148" s="2" t="str">
        <f ca="1">IFERROR(__xludf.DUMMYFUNCTION("""COMPUTED_VALUE"""),"")</f>
        <v/>
      </c>
      <c r="AW148" s="2" t="str">
        <f ca="1">IFERROR(__xludf.DUMMYFUNCTION("""COMPUTED_VALUE"""),"")</f>
        <v/>
      </c>
      <c r="AX148" s="2" t="str">
        <f ca="1">IFERROR(__xludf.DUMMYFUNCTION("""COMPUTED_VALUE"""),"")</f>
        <v/>
      </c>
      <c r="AY148" s="2" t="str">
        <f ca="1">IFERROR(__xludf.DUMMYFUNCTION("""COMPUTED_VALUE"""),"")</f>
        <v/>
      </c>
      <c r="AZ148" s="2" t="str">
        <f ca="1">IFERROR(__xludf.DUMMYFUNCTION("""COMPUTED_VALUE"""),"")</f>
        <v/>
      </c>
      <c r="BA148" s="2" t="str">
        <f ca="1">IFERROR(__xludf.DUMMYFUNCTION("""COMPUTED_VALUE"""),"")</f>
        <v/>
      </c>
      <c r="BB148" s="2" t="str">
        <f ca="1">IFERROR(__xludf.DUMMYFUNCTION("""COMPUTED_VALUE"""),"")</f>
        <v/>
      </c>
      <c r="BC148" s="2" t="str">
        <f ca="1">IFERROR(__xludf.DUMMYFUNCTION("""COMPUTED_VALUE"""),"")</f>
        <v/>
      </c>
      <c r="BD148" s="2" t="str">
        <f ca="1">IFERROR(__xludf.DUMMYFUNCTION("""COMPUTED_VALUE"""),"")</f>
        <v/>
      </c>
      <c r="BE148" s="2" t="str">
        <f ca="1">IFERROR(__xludf.DUMMYFUNCTION("""COMPUTED_VALUE"""),"")</f>
        <v/>
      </c>
      <c r="BF148" t="str">
        <f ca="1">IFERROR(__xludf.DUMMYFUNCTION("""COMPUTED_VALUE"""),"")</f>
        <v/>
      </c>
      <c r="BG148" t="str">
        <f ca="1">IFERROR(__xludf.DUMMYFUNCTION("""COMPUTED_VALUE"""),"")</f>
        <v/>
      </c>
      <c r="BH148" s="2">
        <f ca="1">IFERROR(__xludf.DUMMYFUNCTION("""COMPUTED_VALUE"""),-37.3451118)</f>
        <v>-37.345111799999998</v>
      </c>
      <c r="BI148" s="13">
        <f ca="1">IFERROR(__xludf.DUMMYFUNCTION("""COMPUTED_VALUE"""),175.1633606)</f>
        <v>175.1633606</v>
      </c>
      <c r="BJ148" s="9">
        <f ca="1">IFERROR(__xludf.DUMMYFUNCTION("""COMPUTED_VALUE"""),43455)</f>
        <v>43455</v>
      </c>
      <c r="BK148" s="4">
        <f ca="1">IFERROR(__xludf.DUMMYFUNCTION("""COMPUTED_VALUE"""),0.874074074072268)</f>
        <v>0.874074074072268</v>
      </c>
    </row>
    <row r="149" spans="1:63" ht="12.5" x14ac:dyDescent="0.25">
      <c r="A149" s="7" t="str">
        <f ca="1">IFERROR(__xludf.DUMMYFUNCTION("""COMPUTED_VALUE"""),"")</f>
        <v/>
      </c>
      <c r="B149" s="8" t="str">
        <f ca="1">IFERROR(__xludf.DUMMYFUNCTION("""COMPUTED_VALUE"""),"Waikato")</f>
        <v>Waikato</v>
      </c>
      <c r="C149" s="2">
        <f ca="1">IFERROR(__xludf.DUMMYFUNCTION("""COMPUTED_VALUE"""),64)</f>
        <v>64</v>
      </c>
      <c r="D149" s="9" t="str">
        <f ca="1">IFERROR(__xludf.DUMMYFUNCTION("""COMPUTED_VALUE"""),"")</f>
        <v/>
      </c>
      <c r="E149" s="4" t="str">
        <f ca="1">IFERROR(__xludf.DUMMYFUNCTION("""COMPUTED_VALUE"""),"")</f>
        <v/>
      </c>
      <c r="F149" s="2" t="str">
        <f ca="1">IFERROR(__xludf.DUMMYFUNCTION("""COMPUTED_VALUE"""),"")</f>
        <v/>
      </c>
      <c r="G149" s="2" t="str">
        <f ca="1">IFERROR(__xludf.DUMMYFUNCTION("""COMPUTED_VALUE"""),"GPS: I converted data downloaded from ARGOS using Pinpoint software")</f>
        <v>GPS: I converted data downloaded from ARGOS using Pinpoint software</v>
      </c>
      <c r="H149" s="2" t="str">
        <f ca="1">IFERROR(__xludf.DUMMYFUNCTION("""COMPUTED_VALUE"""),"3D")</f>
        <v>3D</v>
      </c>
      <c r="I149" s="2" t="str">
        <f ca="1">IFERROR(__xludf.DUMMYFUNCTION("""COMPUTED_VALUE"""),"")</f>
        <v/>
      </c>
      <c r="J149" s="2" t="str">
        <f ca="1">IFERROR(__xludf.DUMMYFUNCTION("""COMPUTED_VALUE"""),"")</f>
        <v/>
      </c>
      <c r="K149" s="2" t="str">
        <f ca="1">IFERROR(__xludf.DUMMYFUNCTION("""COMPUTED_VALUE"""),"")</f>
        <v/>
      </c>
      <c r="L149" s="2" t="str">
        <f ca="1">IFERROR(__xludf.DUMMYFUNCTION("""COMPUTED_VALUE"""),"")</f>
        <v/>
      </c>
      <c r="M149" s="5" t="str">
        <f ca="1">IFERROR(__xludf.DUMMYFUNCTION("""COMPUTED_VALUE"""),"")</f>
        <v/>
      </c>
      <c r="N149" s="5" t="str">
        <f ca="1">IFERROR(__xludf.DUMMYFUNCTION("""COMPUTED_VALUE"""),"")</f>
        <v/>
      </c>
      <c r="O149" s="2" t="str">
        <f ca="1">IFERROR(__xludf.DUMMYFUNCTION("""COMPUTED_VALUE"""),"")</f>
        <v/>
      </c>
      <c r="P149" s="2" t="str">
        <f ca="1">IFERROR(__xludf.DUMMYFUNCTION("""COMPUTED_VALUE"""),"")</f>
        <v/>
      </c>
      <c r="Q149" s="2" t="str">
        <f ca="1">IFERROR(__xludf.DUMMYFUNCTION("""COMPUTED_VALUE"""),"")</f>
        <v/>
      </c>
      <c r="R149" s="2" t="str">
        <f ca="1">IFERROR(__xludf.DUMMYFUNCTION("""COMPUTED_VALUE"""),"")</f>
        <v/>
      </c>
      <c r="S149" s="2" t="str">
        <f ca="1">IFERROR(__xludf.DUMMYFUNCTION("""COMPUTED_VALUE"""),"")</f>
        <v/>
      </c>
      <c r="T149" s="2" t="str">
        <f ca="1">IFERROR(__xludf.DUMMYFUNCTION("""COMPUTED_VALUE"""),"")</f>
        <v/>
      </c>
      <c r="U149" s="2" t="str">
        <f ca="1">IFERROR(__xludf.DUMMYFUNCTION("""COMPUTED_VALUE"""),"")</f>
        <v/>
      </c>
      <c r="V149" s="2" t="str">
        <f ca="1">IFERROR(__xludf.DUMMYFUNCTION("""COMPUTED_VALUE"""),"")</f>
        <v/>
      </c>
      <c r="W149" s="2" t="str">
        <f ca="1">IFERROR(__xludf.DUMMYFUNCTION("""COMPUTED_VALUE"""),"")</f>
        <v/>
      </c>
      <c r="X149" s="2" t="str">
        <f ca="1">IFERROR(__xludf.DUMMYFUNCTION("""COMPUTED_VALUE"""),"")</f>
        <v/>
      </c>
      <c r="Y149" s="2" t="str">
        <f ca="1">IFERROR(__xludf.DUMMYFUNCTION("""COMPUTED_VALUE"""),"")</f>
        <v/>
      </c>
      <c r="Z149" s="2" t="str">
        <f ca="1">IFERROR(__xludf.DUMMYFUNCTION("""COMPUTED_VALUE"""),"")</f>
        <v/>
      </c>
      <c r="AA149" s="2" t="str">
        <f ca="1">IFERROR(__xludf.DUMMYFUNCTION("""COMPUTED_VALUE"""),"")</f>
        <v/>
      </c>
      <c r="AB149" s="2" t="str">
        <f ca="1">IFERROR(__xludf.DUMMYFUNCTION("""COMPUTED_VALUE"""),"")</f>
        <v/>
      </c>
      <c r="AC149" s="2" t="str">
        <f ca="1">IFERROR(__xludf.DUMMYFUNCTION("""COMPUTED_VALUE"""),"")</f>
        <v/>
      </c>
      <c r="AD149" s="2" t="str">
        <f ca="1">IFERROR(__xludf.DUMMYFUNCTION("""COMPUTED_VALUE"""),"")</f>
        <v/>
      </c>
      <c r="AE149" s="2" t="str">
        <f ca="1">IFERROR(__xludf.DUMMYFUNCTION("""COMPUTED_VALUE"""),"")</f>
        <v/>
      </c>
      <c r="AF149" s="2" t="str">
        <f ca="1">IFERROR(__xludf.DUMMYFUNCTION("""COMPUTED_VALUE"""),"")</f>
        <v/>
      </c>
      <c r="AG149" s="2" t="str">
        <f ca="1">IFERROR(__xludf.DUMMYFUNCTION("""COMPUTED_VALUE"""),"")</f>
        <v/>
      </c>
      <c r="AH149" s="2" t="str">
        <f ca="1">IFERROR(__xludf.DUMMYFUNCTION("""COMPUTED_VALUE"""),"")</f>
        <v/>
      </c>
      <c r="AI149" s="2" t="str">
        <f ca="1">IFERROR(__xludf.DUMMYFUNCTION("""COMPUTED_VALUE"""),"")</f>
        <v/>
      </c>
      <c r="AJ149" s="2" t="str">
        <f ca="1">IFERROR(__xludf.DUMMYFUNCTION("""COMPUTED_VALUE"""),"")</f>
        <v/>
      </c>
      <c r="AK149" s="2" t="str">
        <f ca="1">IFERROR(__xludf.DUMMYFUNCTION("""COMPUTED_VALUE"""),"")</f>
        <v/>
      </c>
      <c r="AL149" s="2" t="str">
        <f ca="1">IFERROR(__xludf.DUMMYFUNCTION("""COMPUTED_VALUE"""),"")</f>
        <v/>
      </c>
      <c r="AM149" s="2" t="str">
        <f ca="1">IFERROR(__xludf.DUMMYFUNCTION("""COMPUTED_VALUE"""),"")</f>
        <v/>
      </c>
      <c r="AN149" s="2" t="str">
        <f ca="1">IFERROR(__xludf.DUMMYFUNCTION("""COMPUTED_VALUE"""),"")</f>
        <v/>
      </c>
      <c r="AO149" s="2" t="str">
        <f ca="1">IFERROR(__xludf.DUMMYFUNCTION("""COMPUTED_VALUE"""),"")</f>
        <v/>
      </c>
      <c r="AP149" s="2" t="str">
        <f ca="1">IFERROR(__xludf.DUMMYFUNCTION("""COMPUTED_VALUE"""),"")</f>
        <v/>
      </c>
      <c r="AQ149" s="2" t="str">
        <f ca="1">IFERROR(__xludf.DUMMYFUNCTION("""COMPUTED_VALUE"""),"")</f>
        <v/>
      </c>
      <c r="AR149" s="2" t="str">
        <f ca="1">IFERROR(__xludf.DUMMYFUNCTION("""COMPUTED_VALUE"""),"")</f>
        <v/>
      </c>
      <c r="AS149" s="2" t="str">
        <f ca="1">IFERROR(__xludf.DUMMYFUNCTION("""COMPUTED_VALUE"""),"")</f>
        <v/>
      </c>
      <c r="AT149" s="2" t="str">
        <f ca="1">IFERROR(__xludf.DUMMYFUNCTION("""COMPUTED_VALUE"""),"")</f>
        <v/>
      </c>
      <c r="AU149" s="2" t="str">
        <f ca="1">IFERROR(__xludf.DUMMYFUNCTION("""COMPUTED_VALUE"""),"")</f>
        <v/>
      </c>
      <c r="AV149" s="2" t="str">
        <f ca="1">IFERROR(__xludf.DUMMYFUNCTION("""COMPUTED_VALUE"""),"")</f>
        <v/>
      </c>
      <c r="AW149" s="2" t="str">
        <f ca="1">IFERROR(__xludf.DUMMYFUNCTION("""COMPUTED_VALUE"""),"")</f>
        <v/>
      </c>
      <c r="AX149" s="2" t="str">
        <f ca="1">IFERROR(__xludf.DUMMYFUNCTION("""COMPUTED_VALUE"""),"")</f>
        <v/>
      </c>
      <c r="AY149" s="2" t="str">
        <f ca="1">IFERROR(__xludf.DUMMYFUNCTION("""COMPUTED_VALUE"""),"")</f>
        <v/>
      </c>
      <c r="AZ149" s="2" t="str">
        <f ca="1">IFERROR(__xludf.DUMMYFUNCTION("""COMPUTED_VALUE"""),"")</f>
        <v/>
      </c>
      <c r="BA149" s="2" t="str">
        <f ca="1">IFERROR(__xludf.DUMMYFUNCTION("""COMPUTED_VALUE"""),"")</f>
        <v/>
      </c>
      <c r="BB149" s="2" t="str">
        <f ca="1">IFERROR(__xludf.DUMMYFUNCTION("""COMPUTED_VALUE"""),"")</f>
        <v/>
      </c>
      <c r="BC149" s="2" t="str">
        <f ca="1">IFERROR(__xludf.DUMMYFUNCTION("""COMPUTED_VALUE"""),"")</f>
        <v/>
      </c>
      <c r="BD149" s="2" t="str">
        <f ca="1">IFERROR(__xludf.DUMMYFUNCTION("""COMPUTED_VALUE"""),"")</f>
        <v/>
      </c>
      <c r="BE149" s="2" t="str">
        <f ca="1">IFERROR(__xludf.DUMMYFUNCTION("""COMPUTED_VALUE"""),"")</f>
        <v/>
      </c>
      <c r="BF149" t="str">
        <f ca="1">IFERROR(__xludf.DUMMYFUNCTION("""COMPUTED_VALUE"""),"")</f>
        <v/>
      </c>
      <c r="BG149" t="str">
        <f ca="1">IFERROR(__xludf.DUMMYFUNCTION("""COMPUTED_VALUE"""),"")</f>
        <v/>
      </c>
      <c r="BH149" s="2">
        <f ca="1">IFERROR(__xludf.DUMMYFUNCTION("""COMPUTED_VALUE"""),-37.3365364)</f>
        <v>-37.3365364</v>
      </c>
      <c r="BI149" s="12">
        <f ca="1">IFERROR(__xludf.DUMMYFUNCTION("""COMPUTED_VALUE"""),175.1656036)</f>
        <v>175.1656036</v>
      </c>
      <c r="BJ149" s="9">
        <f ca="1">IFERROR(__xludf.DUMMYFUNCTION("""COMPUTED_VALUE"""),43456)</f>
        <v>43456</v>
      </c>
      <c r="BK149" s="4">
        <f ca="1">IFERROR(__xludf.DUMMYFUNCTION("""COMPUTED_VALUE"""),0.457777777777664)</f>
        <v>0.45777777777766399</v>
      </c>
    </row>
    <row r="150" spans="1:63" ht="12.5" x14ac:dyDescent="0.25">
      <c r="A150" s="7" t="str">
        <f ca="1">IFERROR(__xludf.DUMMYFUNCTION("""COMPUTED_VALUE"""),"")</f>
        <v/>
      </c>
      <c r="B150" s="8" t="str">
        <f ca="1">IFERROR(__xludf.DUMMYFUNCTION("""COMPUTED_VALUE"""),"Waikato")</f>
        <v>Waikato</v>
      </c>
      <c r="C150" s="2">
        <f ca="1">IFERROR(__xludf.DUMMYFUNCTION("""COMPUTED_VALUE"""),64)</f>
        <v>64</v>
      </c>
      <c r="D150" s="9" t="str">
        <f ca="1">IFERROR(__xludf.DUMMYFUNCTION("""COMPUTED_VALUE"""),"")</f>
        <v/>
      </c>
      <c r="E150" s="4" t="str">
        <f ca="1">IFERROR(__xludf.DUMMYFUNCTION("""COMPUTED_VALUE"""),"")</f>
        <v/>
      </c>
      <c r="F150" s="2" t="str">
        <f ca="1">IFERROR(__xludf.DUMMYFUNCTION("""COMPUTED_VALUE"""),"")</f>
        <v/>
      </c>
      <c r="G150" s="2" t="str">
        <f ca="1">IFERROR(__xludf.DUMMYFUNCTION("""COMPUTED_VALUE"""),"GPS: I converted data downloaded from ARGOS using Pinpoint software")</f>
        <v>GPS: I converted data downloaded from ARGOS using Pinpoint software</v>
      </c>
      <c r="H150" s="2" t="str">
        <f ca="1">IFERROR(__xludf.DUMMYFUNCTION("""COMPUTED_VALUE"""),"3D")</f>
        <v>3D</v>
      </c>
      <c r="I150" s="2" t="str">
        <f ca="1">IFERROR(__xludf.DUMMYFUNCTION("""COMPUTED_VALUE"""),"")</f>
        <v/>
      </c>
      <c r="J150" s="2" t="str">
        <f ca="1">IFERROR(__xludf.DUMMYFUNCTION("""COMPUTED_VALUE"""),"")</f>
        <v/>
      </c>
      <c r="K150" s="2" t="str">
        <f ca="1">IFERROR(__xludf.DUMMYFUNCTION("""COMPUTED_VALUE"""),"")</f>
        <v/>
      </c>
      <c r="L150" s="2" t="str">
        <f ca="1">IFERROR(__xludf.DUMMYFUNCTION("""COMPUTED_VALUE"""),"")</f>
        <v/>
      </c>
      <c r="M150" s="5" t="str">
        <f ca="1">IFERROR(__xludf.DUMMYFUNCTION("""COMPUTED_VALUE"""),"")</f>
        <v/>
      </c>
      <c r="N150" s="5" t="str">
        <f ca="1">IFERROR(__xludf.DUMMYFUNCTION("""COMPUTED_VALUE"""),"")</f>
        <v/>
      </c>
      <c r="O150" s="2" t="str">
        <f ca="1">IFERROR(__xludf.DUMMYFUNCTION("""COMPUTED_VALUE"""),"")</f>
        <v/>
      </c>
      <c r="P150" s="2" t="str">
        <f ca="1">IFERROR(__xludf.DUMMYFUNCTION("""COMPUTED_VALUE"""),"")</f>
        <v/>
      </c>
      <c r="Q150" s="2" t="str">
        <f ca="1">IFERROR(__xludf.DUMMYFUNCTION("""COMPUTED_VALUE"""),"")</f>
        <v/>
      </c>
      <c r="R150" s="2" t="str">
        <f ca="1">IFERROR(__xludf.DUMMYFUNCTION("""COMPUTED_VALUE"""),"")</f>
        <v/>
      </c>
      <c r="S150" s="2" t="str">
        <f ca="1">IFERROR(__xludf.DUMMYFUNCTION("""COMPUTED_VALUE"""),"")</f>
        <v/>
      </c>
      <c r="T150" s="2" t="str">
        <f ca="1">IFERROR(__xludf.DUMMYFUNCTION("""COMPUTED_VALUE"""),"")</f>
        <v/>
      </c>
      <c r="U150" s="2" t="str">
        <f ca="1">IFERROR(__xludf.DUMMYFUNCTION("""COMPUTED_VALUE"""),"")</f>
        <v/>
      </c>
      <c r="V150" s="2" t="str">
        <f ca="1">IFERROR(__xludf.DUMMYFUNCTION("""COMPUTED_VALUE"""),"")</f>
        <v/>
      </c>
      <c r="W150" s="2" t="str">
        <f ca="1">IFERROR(__xludf.DUMMYFUNCTION("""COMPUTED_VALUE"""),"")</f>
        <v/>
      </c>
      <c r="X150" s="2" t="str">
        <f ca="1">IFERROR(__xludf.DUMMYFUNCTION("""COMPUTED_VALUE"""),"")</f>
        <v/>
      </c>
      <c r="Y150" s="2" t="str">
        <f ca="1">IFERROR(__xludf.DUMMYFUNCTION("""COMPUTED_VALUE"""),"")</f>
        <v/>
      </c>
      <c r="Z150" s="2" t="str">
        <f ca="1">IFERROR(__xludf.DUMMYFUNCTION("""COMPUTED_VALUE"""),"")</f>
        <v/>
      </c>
      <c r="AA150" s="2" t="str">
        <f ca="1">IFERROR(__xludf.DUMMYFUNCTION("""COMPUTED_VALUE"""),"")</f>
        <v/>
      </c>
      <c r="AB150" s="2" t="str">
        <f ca="1">IFERROR(__xludf.DUMMYFUNCTION("""COMPUTED_VALUE"""),"")</f>
        <v/>
      </c>
      <c r="AC150" s="2" t="str">
        <f ca="1">IFERROR(__xludf.DUMMYFUNCTION("""COMPUTED_VALUE"""),"")</f>
        <v/>
      </c>
      <c r="AD150" s="2" t="str">
        <f ca="1">IFERROR(__xludf.DUMMYFUNCTION("""COMPUTED_VALUE"""),"")</f>
        <v/>
      </c>
      <c r="AE150" s="2" t="str">
        <f ca="1">IFERROR(__xludf.DUMMYFUNCTION("""COMPUTED_VALUE"""),"")</f>
        <v/>
      </c>
      <c r="AF150" s="2" t="str">
        <f ca="1">IFERROR(__xludf.DUMMYFUNCTION("""COMPUTED_VALUE"""),"")</f>
        <v/>
      </c>
      <c r="AG150" s="2" t="str">
        <f ca="1">IFERROR(__xludf.DUMMYFUNCTION("""COMPUTED_VALUE"""),"")</f>
        <v/>
      </c>
      <c r="AH150" s="2" t="str">
        <f ca="1">IFERROR(__xludf.DUMMYFUNCTION("""COMPUTED_VALUE"""),"")</f>
        <v/>
      </c>
      <c r="AI150" s="2" t="str">
        <f ca="1">IFERROR(__xludf.DUMMYFUNCTION("""COMPUTED_VALUE"""),"")</f>
        <v/>
      </c>
      <c r="AJ150" s="2" t="str">
        <f ca="1">IFERROR(__xludf.DUMMYFUNCTION("""COMPUTED_VALUE"""),"")</f>
        <v/>
      </c>
      <c r="AK150" s="2" t="str">
        <f ca="1">IFERROR(__xludf.DUMMYFUNCTION("""COMPUTED_VALUE"""),"")</f>
        <v/>
      </c>
      <c r="AL150" s="2" t="str">
        <f ca="1">IFERROR(__xludf.DUMMYFUNCTION("""COMPUTED_VALUE"""),"")</f>
        <v/>
      </c>
      <c r="AM150" s="2" t="str">
        <f ca="1">IFERROR(__xludf.DUMMYFUNCTION("""COMPUTED_VALUE"""),"")</f>
        <v/>
      </c>
      <c r="AN150" s="2" t="str">
        <f ca="1">IFERROR(__xludf.DUMMYFUNCTION("""COMPUTED_VALUE"""),"")</f>
        <v/>
      </c>
      <c r="AO150" s="2" t="str">
        <f ca="1">IFERROR(__xludf.DUMMYFUNCTION("""COMPUTED_VALUE"""),"")</f>
        <v/>
      </c>
      <c r="AP150" s="2" t="str">
        <f ca="1">IFERROR(__xludf.DUMMYFUNCTION("""COMPUTED_VALUE"""),"")</f>
        <v/>
      </c>
      <c r="AQ150" s="2" t="str">
        <f ca="1">IFERROR(__xludf.DUMMYFUNCTION("""COMPUTED_VALUE"""),"")</f>
        <v/>
      </c>
      <c r="AR150" s="2" t="str">
        <f ca="1">IFERROR(__xludf.DUMMYFUNCTION("""COMPUTED_VALUE"""),"")</f>
        <v/>
      </c>
      <c r="AS150" s="2" t="str">
        <f ca="1">IFERROR(__xludf.DUMMYFUNCTION("""COMPUTED_VALUE"""),"")</f>
        <v/>
      </c>
      <c r="AT150" s="2" t="str">
        <f ca="1">IFERROR(__xludf.DUMMYFUNCTION("""COMPUTED_VALUE"""),"")</f>
        <v/>
      </c>
      <c r="AU150" s="2" t="str">
        <f ca="1">IFERROR(__xludf.DUMMYFUNCTION("""COMPUTED_VALUE"""),"")</f>
        <v/>
      </c>
      <c r="AV150" s="2" t="str">
        <f ca="1">IFERROR(__xludf.DUMMYFUNCTION("""COMPUTED_VALUE"""),"")</f>
        <v/>
      </c>
      <c r="AW150" s="2" t="str">
        <f ca="1">IFERROR(__xludf.DUMMYFUNCTION("""COMPUTED_VALUE"""),"")</f>
        <v/>
      </c>
      <c r="AX150" s="2" t="str">
        <f ca="1">IFERROR(__xludf.DUMMYFUNCTION("""COMPUTED_VALUE"""),"")</f>
        <v/>
      </c>
      <c r="AY150" s="2" t="str">
        <f ca="1">IFERROR(__xludf.DUMMYFUNCTION("""COMPUTED_VALUE"""),"")</f>
        <v/>
      </c>
      <c r="AZ150" s="2" t="str">
        <f ca="1">IFERROR(__xludf.DUMMYFUNCTION("""COMPUTED_VALUE"""),"")</f>
        <v/>
      </c>
      <c r="BA150" s="2" t="str">
        <f ca="1">IFERROR(__xludf.DUMMYFUNCTION("""COMPUTED_VALUE"""),"")</f>
        <v/>
      </c>
      <c r="BB150" s="2" t="str">
        <f ca="1">IFERROR(__xludf.DUMMYFUNCTION("""COMPUTED_VALUE"""),"")</f>
        <v/>
      </c>
      <c r="BC150" s="2" t="str">
        <f ca="1">IFERROR(__xludf.DUMMYFUNCTION("""COMPUTED_VALUE"""),"")</f>
        <v/>
      </c>
      <c r="BD150" s="2" t="str">
        <f ca="1">IFERROR(__xludf.DUMMYFUNCTION("""COMPUTED_VALUE"""),"")</f>
        <v/>
      </c>
      <c r="BE150" s="2" t="str">
        <f ca="1">IFERROR(__xludf.DUMMYFUNCTION("""COMPUTED_VALUE"""),"")</f>
        <v/>
      </c>
      <c r="BF150" t="str">
        <f ca="1">IFERROR(__xludf.DUMMYFUNCTION("""COMPUTED_VALUE"""),"")</f>
        <v/>
      </c>
      <c r="BG150" t="str">
        <f ca="1">IFERROR(__xludf.DUMMYFUNCTION("""COMPUTED_VALUE"""),"")</f>
        <v/>
      </c>
      <c r="BH150" s="2">
        <f ca="1">IFERROR(__xludf.DUMMYFUNCTION("""COMPUTED_VALUE"""),-37.3464203)</f>
        <v>-37.346420299999998</v>
      </c>
      <c r="BI150" s="13">
        <f ca="1">IFERROR(__xludf.DUMMYFUNCTION("""COMPUTED_VALUE"""),175.1702728)</f>
        <v>175.17027279999999</v>
      </c>
      <c r="BJ150" s="9">
        <f ca="1">IFERROR(__xludf.DUMMYFUNCTION("""COMPUTED_VALUE"""),43456)</f>
        <v>43456</v>
      </c>
      <c r="BK150" s="4">
        <f ca="1">IFERROR(__xludf.DUMMYFUNCTION("""COMPUTED_VALUE"""),0.958518518516939)</f>
        <v>0.95851851851693903</v>
      </c>
    </row>
    <row r="151" spans="1:63" ht="12.5" x14ac:dyDescent="0.25">
      <c r="A151" s="7" t="str">
        <f ca="1">IFERROR(__xludf.DUMMYFUNCTION("""COMPUTED_VALUE"""),"")</f>
        <v/>
      </c>
      <c r="B151" s="8" t="str">
        <f ca="1">IFERROR(__xludf.DUMMYFUNCTION("""COMPUTED_VALUE"""),"Waikato")</f>
        <v>Waikato</v>
      </c>
      <c r="C151" s="2">
        <f ca="1">IFERROR(__xludf.DUMMYFUNCTION("""COMPUTED_VALUE"""),64)</f>
        <v>64</v>
      </c>
      <c r="D151" s="9" t="str">
        <f ca="1">IFERROR(__xludf.DUMMYFUNCTION("""COMPUTED_VALUE"""),"")</f>
        <v/>
      </c>
      <c r="E151" s="4" t="str">
        <f ca="1">IFERROR(__xludf.DUMMYFUNCTION("""COMPUTED_VALUE"""),"")</f>
        <v/>
      </c>
      <c r="F151" s="2" t="str">
        <f ca="1">IFERROR(__xludf.DUMMYFUNCTION("""COMPUTED_VALUE"""),"")</f>
        <v/>
      </c>
      <c r="G151" s="2" t="str">
        <f ca="1">IFERROR(__xludf.DUMMYFUNCTION("""COMPUTED_VALUE"""),"GPS: I converted data downloaded from ARGOS using Pinpoint software")</f>
        <v>GPS: I converted data downloaded from ARGOS using Pinpoint software</v>
      </c>
      <c r="H151" s="2" t="str">
        <f ca="1">IFERROR(__xludf.DUMMYFUNCTION("""COMPUTED_VALUE"""),"3D")</f>
        <v>3D</v>
      </c>
      <c r="I151" s="2" t="str">
        <f ca="1">IFERROR(__xludf.DUMMYFUNCTION("""COMPUTED_VALUE"""),"")</f>
        <v/>
      </c>
      <c r="J151" s="2" t="str">
        <f ca="1">IFERROR(__xludf.DUMMYFUNCTION("""COMPUTED_VALUE"""),"")</f>
        <v/>
      </c>
      <c r="K151" s="2" t="str">
        <f ca="1">IFERROR(__xludf.DUMMYFUNCTION("""COMPUTED_VALUE"""),"")</f>
        <v/>
      </c>
      <c r="L151" s="2" t="str">
        <f ca="1">IFERROR(__xludf.DUMMYFUNCTION("""COMPUTED_VALUE"""),"")</f>
        <v/>
      </c>
      <c r="M151" s="5" t="str">
        <f ca="1">IFERROR(__xludf.DUMMYFUNCTION("""COMPUTED_VALUE"""),"")</f>
        <v/>
      </c>
      <c r="N151" s="5" t="str">
        <f ca="1">IFERROR(__xludf.DUMMYFUNCTION("""COMPUTED_VALUE"""),"")</f>
        <v/>
      </c>
      <c r="O151" s="2" t="str">
        <f ca="1">IFERROR(__xludf.DUMMYFUNCTION("""COMPUTED_VALUE"""),"")</f>
        <v/>
      </c>
      <c r="P151" s="2" t="str">
        <f ca="1">IFERROR(__xludf.DUMMYFUNCTION("""COMPUTED_VALUE"""),"")</f>
        <v/>
      </c>
      <c r="Q151" s="2" t="str">
        <f ca="1">IFERROR(__xludf.DUMMYFUNCTION("""COMPUTED_VALUE"""),"")</f>
        <v/>
      </c>
      <c r="R151" s="2" t="str">
        <f ca="1">IFERROR(__xludf.DUMMYFUNCTION("""COMPUTED_VALUE"""),"")</f>
        <v/>
      </c>
      <c r="S151" s="2" t="str">
        <f ca="1">IFERROR(__xludf.DUMMYFUNCTION("""COMPUTED_VALUE"""),"")</f>
        <v/>
      </c>
      <c r="T151" s="2" t="str">
        <f ca="1">IFERROR(__xludf.DUMMYFUNCTION("""COMPUTED_VALUE"""),"")</f>
        <v/>
      </c>
      <c r="U151" s="2" t="str">
        <f ca="1">IFERROR(__xludf.DUMMYFUNCTION("""COMPUTED_VALUE"""),"")</f>
        <v/>
      </c>
      <c r="V151" s="2" t="str">
        <f ca="1">IFERROR(__xludf.DUMMYFUNCTION("""COMPUTED_VALUE"""),"")</f>
        <v/>
      </c>
      <c r="W151" s="2" t="str">
        <f ca="1">IFERROR(__xludf.DUMMYFUNCTION("""COMPUTED_VALUE"""),"")</f>
        <v/>
      </c>
      <c r="X151" s="2" t="str">
        <f ca="1">IFERROR(__xludf.DUMMYFUNCTION("""COMPUTED_VALUE"""),"")</f>
        <v/>
      </c>
      <c r="Y151" s="2" t="str">
        <f ca="1">IFERROR(__xludf.DUMMYFUNCTION("""COMPUTED_VALUE"""),"")</f>
        <v/>
      </c>
      <c r="Z151" s="2" t="str">
        <f ca="1">IFERROR(__xludf.DUMMYFUNCTION("""COMPUTED_VALUE"""),"")</f>
        <v/>
      </c>
      <c r="AA151" s="2" t="str">
        <f ca="1">IFERROR(__xludf.DUMMYFUNCTION("""COMPUTED_VALUE"""),"")</f>
        <v/>
      </c>
      <c r="AB151" s="2" t="str">
        <f ca="1">IFERROR(__xludf.DUMMYFUNCTION("""COMPUTED_VALUE"""),"")</f>
        <v/>
      </c>
      <c r="AC151" s="2" t="str">
        <f ca="1">IFERROR(__xludf.DUMMYFUNCTION("""COMPUTED_VALUE"""),"")</f>
        <v/>
      </c>
      <c r="AD151" s="2" t="str">
        <f ca="1">IFERROR(__xludf.DUMMYFUNCTION("""COMPUTED_VALUE"""),"")</f>
        <v/>
      </c>
      <c r="AE151" s="2" t="str">
        <f ca="1">IFERROR(__xludf.DUMMYFUNCTION("""COMPUTED_VALUE"""),"")</f>
        <v/>
      </c>
      <c r="AF151" s="2" t="str">
        <f ca="1">IFERROR(__xludf.DUMMYFUNCTION("""COMPUTED_VALUE"""),"")</f>
        <v/>
      </c>
      <c r="AG151" s="2" t="str">
        <f ca="1">IFERROR(__xludf.DUMMYFUNCTION("""COMPUTED_VALUE"""),"")</f>
        <v/>
      </c>
      <c r="AH151" s="2" t="str">
        <f ca="1">IFERROR(__xludf.DUMMYFUNCTION("""COMPUTED_VALUE"""),"")</f>
        <v/>
      </c>
      <c r="AI151" s="2" t="str">
        <f ca="1">IFERROR(__xludf.DUMMYFUNCTION("""COMPUTED_VALUE"""),"")</f>
        <v/>
      </c>
      <c r="AJ151" s="2" t="str">
        <f ca="1">IFERROR(__xludf.DUMMYFUNCTION("""COMPUTED_VALUE"""),"")</f>
        <v/>
      </c>
      <c r="AK151" s="2" t="str">
        <f ca="1">IFERROR(__xludf.DUMMYFUNCTION("""COMPUTED_VALUE"""),"")</f>
        <v/>
      </c>
      <c r="AL151" s="2" t="str">
        <f ca="1">IFERROR(__xludf.DUMMYFUNCTION("""COMPUTED_VALUE"""),"")</f>
        <v/>
      </c>
      <c r="AM151" s="2" t="str">
        <f ca="1">IFERROR(__xludf.DUMMYFUNCTION("""COMPUTED_VALUE"""),"")</f>
        <v/>
      </c>
      <c r="AN151" s="2" t="str">
        <f ca="1">IFERROR(__xludf.DUMMYFUNCTION("""COMPUTED_VALUE"""),"")</f>
        <v/>
      </c>
      <c r="AO151" s="2" t="str">
        <f ca="1">IFERROR(__xludf.DUMMYFUNCTION("""COMPUTED_VALUE"""),"")</f>
        <v/>
      </c>
      <c r="AP151" s="2" t="str">
        <f ca="1">IFERROR(__xludf.DUMMYFUNCTION("""COMPUTED_VALUE"""),"")</f>
        <v/>
      </c>
      <c r="AQ151" s="2" t="str">
        <f ca="1">IFERROR(__xludf.DUMMYFUNCTION("""COMPUTED_VALUE"""),"")</f>
        <v/>
      </c>
      <c r="AR151" s="2" t="str">
        <f ca="1">IFERROR(__xludf.DUMMYFUNCTION("""COMPUTED_VALUE"""),"")</f>
        <v/>
      </c>
      <c r="AS151" s="2" t="str">
        <f ca="1">IFERROR(__xludf.DUMMYFUNCTION("""COMPUTED_VALUE"""),"")</f>
        <v/>
      </c>
      <c r="AT151" s="2" t="str">
        <f ca="1">IFERROR(__xludf.DUMMYFUNCTION("""COMPUTED_VALUE"""),"")</f>
        <v/>
      </c>
      <c r="AU151" s="2" t="str">
        <f ca="1">IFERROR(__xludf.DUMMYFUNCTION("""COMPUTED_VALUE"""),"")</f>
        <v/>
      </c>
      <c r="AV151" s="2" t="str">
        <f ca="1">IFERROR(__xludf.DUMMYFUNCTION("""COMPUTED_VALUE"""),"")</f>
        <v/>
      </c>
      <c r="AW151" s="2" t="str">
        <f ca="1">IFERROR(__xludf.DUMMYFUNCTION("""COMPUTED_VALUE"""),"")</f>
        <v/>
      </c>
      <c r="AX151" s="2" t="str">
        <f ca="1">IFERROR(__xludf.DUMMYFUNCTION("""COMPUTED_VALUE"""),"")</f>
        <v/>
      </c>
      <c r="AY151" s="2" t="str">
        <f ca="1">IFERROR(__xludf.DUMMYFUNCTION("""COMPUTED_VALUE"""),"")</f>
        <v/>
      </c>
      <c r="AZ151" s="2" t="str">
        <f ca="1">IFERROR(__xludf.DUMMYFUNCTION("""COMPUTED_VALUE"""),"")</f>
        <v/>
      </c>
      <c r="BA151" s="2" t="str">
        <f ca="1">IFERROR(__xludf.DUMMYFUNCTION("""COMPUTED_VALUE"""),"")</f>
        <v/>
      </c>
      <c r="BB151" s="2" t="str">
        <f ca="1">IFERROR(__xludf.DUMMYFUNCTION("""COMPUTED_VALUE"""),"")</f>
        <v/>
      </c>
      <c r="BC151" s="2" t="str">
        <f ca="1">IFERROR(__xludf.DUMMYFUNCTION("""COMPUTED_VALUE"""),"")</f>
        <v/>
      </c>
      <c r="BD151" s="2" t="str">
        <f ca="1">IFERROR(__xludf.DUMMYFUNCTION("""COMPUTED_VALUE"""),"")</f>
        <v/>
      </c>
      <c r="BE151" s="2" t="str">
        <f ca="1">IFERROR(__xludf.DUMMYFUNCTION("""COMPUTED_VALUE"""),"")</f>
        <v/>
      </c>
      <c r="BF151" t="str">
        <f ca="1">IFERROR(__xludf.DUMMYFUNCTION("""COMPUTED_VALUE"""),"")</f>
        <v/>
      </c>
      <c r="BG151" t="str">
        <f ca="1">IFERROR(__xludf.DUMMYFUNCTION("""COMPUTED_VALUE"""),"")</f>
        <v/>
      </c>
      <c r="BH151" s="2">
        <f ca="1">IFERROR(__xludf.DUMMYFUNCTION("""COMPUTED_VALUE"""),-37.3456764)</f>
        <v>-37.345676400000002</v>
      </c>
      <c r="BI151" s="12">
        <f ca="1">IFERROR(__xludf.DUMMYFUNCTION("""COMPUTED_VALUE"""),175.1727295)</f>
        <v>175.1727295</v>
      </c>
      <c r="BJ151" s="9">
        <f ca="1">IFERROR(__xludf.DUMMYFUNCTION("""COMPUTED_VALUE"""),43458)</f>
        <v>43458</v>
      </c>
      <c r="BK151" s="4">
        <f ca="1">IFERROR(__xludf.DUMMYFUNCTION("""COMPUTED_VALUE"""),0.457777777777664)</f>
        <v>0.45777777777766399</v>
      </c>
    </row>
    <row r="152" spans="1:63" ht="12.5" x14ac:dyDescent="0.25">
      <c r="A152" s="7" t="str">
        <f ca="1">IFERROR(__xludf.DUMMYFUNCTION("""COMPUTED_VALUE"""),"")</f>
        <v/>
      </c>
      <c r="B152" s="8" t="str">
        <f ca="1">IFERROR(__xludf.DUMMYFUNCTION("""COMPUTED_VALUE"""),"Waikato")</f>
        <v>Waikato</v>
      </c>
      <c r="C152" s="2">
        <f ca="1">IFERROR(__xludf.DUMMYFUNCTION("""COMPUTED_VALUE"""),64)</f>
        <v>64</v>
      </c>
      <c r="D152" s="9" t="str">
        <f ca="1">IFERROR(__xludf.DUMMYFUNCTION("""COMPUTED_VALUE"""),"")</f>
        <v/>
      </c>
      <c r="E152" s="4" t="str">
        <f ca="1">IFERROR(__xludf.DUMMYFUNCTION("""COMPUTED_VALUE"""),"")</f>
        <v/>
      </c>
      <c r="F152" s="2" t="str">
        <f ca="1">IFERROR(__xludf.DUMMYFUNCTION("""COMPUTED_VALUE"""),"")</f>
        <v/>
      </c>
      <c r="G152" s="2" t="str">
        <f ca="1">IFERROR(__xludf.DUMMYFUNCTION("""COMPUTED_VALUE"""),"GPS: I converted data downloaded from ARGOS using Pinpoint software")</f>
        <v>GPS: I converted data downloaded from ARGOS using Pinpoint software</v>
      </c>
      <c r="H152" s="2" t="str">
        <f ca="1">IFERROR(__xludf.DUMMYFUNCTION("""COMPUTED_VALUE"""),"3D")</f>
        <v>3D</v>
      </c>
      <c r="I152" s="2" t="str">
        <f ca="1">IFERROR(__xludf.DUMMYFUNCTION("""COMPUTED_VALUE"""),"")</f>
        <v/>
      </c>
      <c r="J152" s="2" t="str">
        <f ca="1">IFERROR(__xludf.DUMMYFUNCTION("""COMPUTED_VALUE"""),"")</f>
        <v/>
      </c>
      <c r="K152" s="2" t="str">
        <f ca="1">IFERROR(__xludf.DUMMYFUNCTION("""COMPUTED_VALUE"""),"")</f>
        <v/>
      </c>
      <c r="L152" s="2" t="str">
        <f ca="1">IFERROR(__xludf.DUMMYFUNCTION("""COMPUTED_VALUE"""),"")</f>
        <v/>
      </c>
      <c r="M152" s="5" t="str">
        <f ca="1">IFERROR(__xludf.DUMMYFUNCTION("""COMPUTED_VALUE"""),"")</f>
        <v/>
      </c>
      <c r="N152" s="5" t="str">
        <f ca="1">IFERROR(__xludf.DUMMYFUNCTION("""COMPUTED_VALUE"""),"")</f>
        <v/>
      </c>
      <c r="O152" s="2" t="str">
        <f ca="1">IFERROR(__xludf.DUMMYFUNCTION("""COMPUTED_VALUE"""),"")</f>
        <v/>
      </c>
      <c r="P152" s="2" t="str">
        <f ca="1">IFERROR(__xludf.DUMMYFUNCTION("""COMPUTED_VALUE"""),"")</f>
        <v/>
      </c>
      <c r="Q152" s="2" t="str">
        <f ca="1">IFERROR(__xludf.DUMMYFUNCTION("""COMPUTED_VALUE"""),"")</f>
        <v/>
      </c>
      <c r="R152" s="2" t="str">
        <f ca="1">IFERROR(__xludf.DUMMYFUNCTION("""COMPUTED_VALUE"""),"")</f>
        <v/>
      </c>
      <c r="S152" s="2" t="str">
        <f ca="1">IFERROR(__xludf.DUMMYFUNCTION("""COMPUTED_VALUE"""),"")</f>
        <v/>
      </c>
      <c r="T152" s="2" t="str">
        <f ca="1">IFERROR(__xludf.DUMMYFUNCTION("""COMPUTED_VALUE"""),"")</f>
        <v/>
      </c>
      <c r="U152" s="2" t="str">
        <f ca="1">IFERROR(__xludf.DUMMYFUNCTION("""COMPUTED_VALUE"""),"")</f>
        <v/>
      </c>
      <c r="V152" s="2" t="str">
        <f ca="1">IFERROR(__xludf.DUMMYFUNCTION("""COMPUTED_VALUE"""),"")</f>
        <v/>
      </c>
      <c r="W152" s="2" t="str">
        <f ca="1">IFERROR(__xludf.DUMMYFUNCTION("""COMPUTED_VALUE"""),"")</f>
        <v/>
      </c>
      <c r="X152" s="2" t="str">
        <f ca="1">IFERROR(__xludf.DUMMYFUNCTION("""COMPUTED_VALUE"""),"")</f>
        <v/>
      </c>
      <c r="Y152" s="2" t="str">
        <f ca="1">IFERROR(__xludf.DUMMYFUNCTION("""COMPUTED_VALUE"""),"")</f>
        <v/>
      </c>
      <c r="Z152" s="2" t="str">
        <f ca="1">IFERROR(__xludf.DUMMYFUNCTION("""COMPUTED_VALUE"""),"")</f>
        <v/>
      </c>
      <c r="AA152" s="2" t="str">
        <f ca="1">IFERROR(__xludf.DUMMYFUNCTION("""COMPUTED_VALUE"""),"")</f>
        <v/>
      </c>
      <c r="AB152" s="2" t="str">
        <f ca="1">IFERROR(__xludf.DUMMYFUNCTION("""COMPUTED_VALUE"""),"")</f>
        <v/>
      </c>
      <c r="AC152" s="2" t="str">
        <f ca="1">IFERROR(__xludf.DUMMYFUNCTION("""COMPUTED_VALUE"""),"")</f>
        <v/>
      </c>
      <c r="AD152" s="2" t="str">
        <f ca="1">IFERROR(__xludf.DUMMYFUNCTION("""COMPUTED_VALUE"""),"")</f>
        <v/>
      </c>
      <c r="AE152" s="2" t="str">
        <f ca="1">IFERROR(__xludf.DUMMYFUNCTION("""COMPUTED_VALUE"""),"")</f>
        <v/>
      </c>
      <c r="AF152" s="2" t="str">
        <f ca="1">IFERROR(__xludf.DUMMYFUNCTION("""COMPUTED_VALUE"""),"")</f>
        <v/>
      </c>
      <c r="AG152" s="2" t="str">
        <f ca="1">IFERROR(__xludf.DUMMYFUNCTION("""COMPUTED_VALUE"""),"")</f>
        <v/>
      </c>
      <c r="AH152" s="2" t="str">
        <f ca="1">IFERROR(__xludf.DUMMYFUNCTION("""COMPUTED_VALUE"""),"")</f>
        <v/>
      </c>
      <c r="AI152" s="2" t="str">
        <f ca="1">IFERROR(__xludf.DUMMYFUNCTION("""COMPUTED_VALUE"""),"")</f>
        <v/>
      </c>
      <c r="AJ152" s="2" t="str">
        <f ca="1">IFERROR(__xludf.DUMMYFUNCTION("""COMPUTED_VALUE"""),"")</f>
        <v/>
      </c>
      <c r="AK152" s="2" t="str">
        <f ca="1">IFERROR(__xludf.DUMMYFUNCTION("""COMPUTED_VALUE"""),"")</f>
        <v/>
      </c>
      <c r="AL152" s="2" t="str">
        <f ca="1">IFERROR(__xludf.DUMMYFUNCTION("""COMPUTED_VALUE"""),"")</f>
        <v/>
      </c>
      <c r="AM152" s="2" t="str">
        <f ca="1">IFERROR(__xludf.DUMMYFUNCTION("""COMPUTED_VALUE"""),"")</f>
        <v/>
      </c>
      <c r="AN152" s="2" t="str">
        <f ca="1">IFERROR(__xludf.DUMMYFUNCTION("""COMPUTED_VALUE"""),"")</f>
        <v/>
      </c>
      <c r="AO152" s="2" t="str">
        <f ca="1">IFERROR(__xludf.DUMMYFUNCTION("""COMPUTED_VALUE"""),"")</f>
        <v/>
      </c>
      <c r="AP152" s="2" t="str">
        <f ca="1">IFERROR(__xludf.DUMMYFUNCTION("""COMPUTED_VALUE"""),"")</f>
        <v/>
      </c>
      <c r="AQ152" s="2" t="str">
        <f ca="1">IFERROR(__xludf.DUMMYFUNCTION("""COMPUTED_VALUE"""),"")</f>
        <v/>
      </c>
      <c r="AR152" s="2" t="str">
        <f ca="1">IFERROR(__xludf.DUMMYFUNCTION("""COMPUTED_VALUE"""),"")</f>
        <v/>
      </c>
      <c r="AS152" s="2" t="str">
        <f ca="1">IFERROR(__xludf.DUMMYFUNCTION("""COMPUTED_VALUE"""),"")</f>
        <v/>
      </c>
      <c r="AT152" s="2" t="str">
        <f ca="1">IFERROR(__xludf.DUMMYFUNCTION("""COMPUTED_VALUE"""),"")</f>
        <v/>
      </c>
      <c r="AU152" s="2" t="str">
        <f ca="1">IFERROR(__xludf.DUMMYFUNCTION("""COMPUTED_VALUE"""),"")</f>
        <v/>
      </c>
      <c r="AV152" s="2" t="str">
        <f ca="1">IFERROR(__xludf.DUMMYFUNCTION("""COMPUTED_VALUE"""),"")</f>
        <v/>
      </c>
      <c r="AW152" s="2" t="str">
        <f ca="1">IFERROR(__xludf.DUMMYFUNCTION("""COMPUTED_VALUE"""),"")</f>
        <v/>
      </c>
      <c r="AX152" s="2" t="str">
        <f ca="1">IFERROR(__xludf.DUMMYFUNCTION("""COMPUTED_VALUE"""),"")</f>
        <v/>
      </c>
      <c r="AY152" s="2" t="str">
        <f ca="1">IFERROR(__xludf.DUMMYFUNCTION("""COMPUTED_VALUE"""),"")</f>
        <v/>
      </c>
      <c r="AZ152" s="2" t="str">
        <f ca="1">IFERROR(__xludf.DUMMYFUNCTION("""COMPUTED_VALUE"""),"")</f>
        <v/>
      </c>
      <c r="BA152" s="2" t="str">
        <f ca="1">IFERROR(__xludf.DUMMYFUNCTION("""COMPUTED_VALUE"""),"")</f>
        <v/>
      </c>
      <c r="BB152" s="2" t="str">
        <f ca="1">IFERROR(__xludf.DUMMYFUNCTION("""COMPUTED_VALUE"""),"")</f>
        <v/>
      </c>
      <c r="BC152" s="2" t="str">
        <f ca="1">IFERROR(__xludf.DUMMYFUNCTION("""COMPUTED_VALUE"""),"")</f>
        <v/>
      </c>
      <c r="BD152" s="2" t="str">
        <f ca="1">IFERROR(__xludf.DUMMYFUNCTION("""COMPUTED_VALUE"""),"")</f>
        <v/>
      </c>
      <c r="BE152" s="2" t="str">
        <f ca="1">IFERROR(__xludf.DUMMYFUNCTION("""COMPUTED_VALUE"""),"")</f>
        <v/>
      </c>
      <c r="BF152" t="str">
        <f ca="1">IFERROR(__xludf.DUMMYFUNCTION("""COMPUTED_VALUE"""),"")</f>
        <v/>
      </c>
      <c r="BG152" t="str">
        <f ca="1">IFERROR(__xludf.DUMMYFUNCTION("""COMPUTED_VALUE"""),"")</f>
        <v/>
      </c>
      <c r="BH152" s="2">
        <f ca="1">IFERROR(__xludf.DUMMYFUNCTION("""COMPUTED_VALUE"""),-37.345192)</f>
        <v>-37.345191999999997</v>
      </c>
      <c r="BI152" s="13">
        <f ca="1">IFERROR(__xludf.DUMMYFUNCTION("""COMPUTED_VALUE"""),175.1585083)</f>
        <v>175.15850829999999</v>
      </c>
      <c r="BJ152" s="9">
        <f ca="1">IFERROR(__xludf.DUMMYFUNCTION("""COMPUTED_VALUE"""),43458)</f>
        <v>43458</v>
      </c>
      <c r="BK152" s="4">
        <f ca="1">IFERROR(__xludf.DUMMYFUNCTION("""COMPUTED_VALUE"""),0.958518518516939)</f>
        <v>0.95851851851693903</v>
      </c>
    </row>
    <row r="153" spans="1:63" ht="12.5" x14ac:dyDescent="0.25">
      <c r="A153" s="7" t="str">
        <f ca="1">IFERROR(__xludf.DUMMYFUNCTION("""COMPUTED_VALUE"""),"")</f>
        <v/>
      </c>
      <c r="B153" s="8" t="str">
        <f ca="1">IFERROR(__xludf.DUMMYFUNCTION("""COMPUTED_VALUE"""),"Waikato")</f>
        <v>Waikato</v>
      </c>
      <c r="C153" s="2">
        <f ca="1">IFERROR(__xludf.DUMMYFUNCTION("""COMPUTED_VALUE"""),64)</f>
        <v>64</v>
      </c>
      <c r="D153" s="9" t="str">
        <f ca="1">IFERROR(__xludf.DUMMYFUNCTION("""COMPUTED_VALUE"""),"")</f>
        <v/>
      </c>
      <c r="E153" s="4" t="str">
        <f ca="1">IFERROR(__xludf.DUMMYFUNCTION("""COMPUTED_VALUE"""),"")</f>
        <v/>
      </c>
      <c r="F153" s="2" t="str">
        <f ca="1">IFERROR(__xludf.DUMMYFUNCTION("""COMPUTED_VALUE"""),"")</f>
        <v/>
      </c>
      <c r="G153" s="2" t="str">
        <f ca="1">IFERROR(__xludf.DUMMYFUNCTION("""COMPUTED_VALUE"""),"GPS: I converted data downloaded from ARGOS using Pinpoint software")</f>
        <v>GPS: I converted data downloaded from ARGOS using Pinpoint software</v>
      </c>
      <c r="H153" s="2" t="str">
        <f ca="1">IFERROR(__xludf.DUMMYFUNCTION("""COMPUTED_VALUE"""),"3D")</f>
        <v>3D</v>
      </c>
      <c r="I153" s="2" t="str">
        <f ca="1">IFERROR(__xludf.DUMMYFUNCTION("""COMPUTED_VALUE"""),"")</f>
        <v/>
      </c>
      <c r="J153" s="2" t="str">
        <f ca="1">IFERROR(__xludf.DUMMYFUNCTION("""COMPUTED_VALUE"""),"")</f>
        <v/>
      </c>
      <c r="K153" s="2" t="str">
        <f ca="1">IFERROR(__xludf.DUMMYFUNCTION("""COMPUTED_VALUE"""),"")</f>
        <v/>
      </c>
      <c r="L153" s="2" t="str">
        <f ca="1">IFERROR(__xludf.DUMMYFUNCTION("""COMPUTED_VALUE"""),"")</f>
        <v/>
      </c>
      <c r="M153" s="5" t="str">
        <f ca="1">IFERROR(__xludf.DUMMYFUNCTION("""COMPUTED_VALUE"""),"")</f>
        <v/>
      </c>
      <c r="N153" s="5" t="str">
        <f ca="1">IFERROR(__xludf.DUMMYFUNCTION("""COMPUTED_VALUE"""),"")</f>
        <v/>
      </c>
      <c r="O153" s="2" t="str">
        <f ca="1">IFERROR(__xludf.DUMMYFUNCTION("""COMPUTED_VALUE"""),"")</f>
        <v/>
      </c>
      <c r="P153" s="2" t="str">
        <f ca="1">IFERROR(__xludf.DUMMYFUNCTION("""COMPUTED_VALUE"""),"")</f>
        <v/>
      </c>
      <c r="Q153" s="2" t="str">
        <f ca="1">IFERROR(__xludf.DUMMYFUNCTION("""COMPUTED_VALUE"""),"")</f>
        <v/>
      </c>
      <c r="R153" s="2" t="str">
        <f ca="1">IFERROR(__xludf.DUMMYFUNCTION("""COMPUTED_VALUE"""),"")</f>
        <v/>
      </c>
      <c r="S153" s="2" t="str">
        <f ca="1">IFERROR(__xludf.DUMMYFUNCTION("""COMPUTED_VALUE"""),"")</f>
        <v/>
      </c>
      <c r="T153" s="2" t="str">
        <f ca="1">IFERROR(__xludf.DUMMYFUNCTION("""COMPUTED_VALUE"""),"")</f>
        <v/>
      </c>
      <c r="U153" s="2" t="str">
        <f ca="1">IFERROR(__xludf.DUMMYFUNCTION("""COMPUTED_VALUE"""),"")</f>
        <v/>
      </c>
      <c r="V153" s="2" t="str">
        <f ca="1">IFERROR(__xludf.DUMMYFUNCTION("""COMPUTED_VALUE"""),"")</f>
        <v/>
      </c>
      <c r="W153" s="2" t="str">
        <f ca="1">IFERROR(__xludf.DUMMYFUNCTION("""COMPUTED_VALUE"""),"")</f>
        <v/>
      </c>
      <c r="X153" s="2" t="str">
        <f ca="1">IFERROR(__xludf.DUMMYFUNCTION("""COMPUTED_VALUE"""),"")</f>
        <v/>
      </c>
      <c r="Y153" s="2" t="str">
        <f ca="1">IFERROR(__xludf.DUMMYFUNCTION("""COMPUTED_VALUE"""),"")</f>
        <v/>
      </c>
      <c r="Z153" s="2" t="str">
        <f ca="1">IFERROR(__xludf.DUMMYFUNCTION("""COMPUTED_VALUE"""),"")</f>
        <v/>
      </c>
      <c r="AA153" s="2" t="str">
        <f ca="1">IFERROR(__xludf.DUMMYFUNCTION("""COMPUTED_VALUE"""),"")</f>
        <v/>
      </c>
      <c r="AB153" s="2" t="str">
        <f ca="1">IFERROR(__xludf.DUMMYFUNCTION("""COMPUTED_VALUE"""),"")</f>
        <v/>
      </c>
      <c r="AC153" s="2" t="str">
        <f ca="1">IFERROR(__xludf.DUMMYFUNCTION("""COMPUTED_VALUE"""),"")</f>
        <v/>
      </c>
      <c r="AD153" s="2" t="str">
        <f ca="1">IFERROR(__xludf.DUMMYFUNCTION("""COMPUTED_VALUE"""),"")</f>
        <v/>
      </c>
      <c r="AE153" s="2" t="str">
        <f ca="1">IFERROR(__xludf.DUMMYFUNCTION("""COMPUTED_VALUE"""),"")</f>
        <v/>
      </c>
      <c r="AF153" s="2" t="str">
        <f ca="1">IFERROR(__xludf.DUMMYFUNCTION("""COMPUTED_VALUE"""),"")</f>
        <v/>
      </c>
      <c r="AG153" s="2" t="str">
        <f ca="1">IFERROR(__xludf.DUMMYFUNCTION("""COMPUTED_VALUE"""),"")</f>
        <v/>
      </c>
      <c r="AH153" s="2" t="str">
        <f ca="1">IFERROR(__xludf.DUMMYFUNCTION("""COMPUTED_VALUE"""),"")</f>
        <v/>
      </c>
      <c r="AI153" s="2" t="str">
        <f ca="1">IFERROR(__xludf.DUMMYFUNCTION("""COMPUTED_VALUE"""),"")</f>
        <v/>
      </c>
      <c r="AJ153" s="2" t="str">
        <f ca="1">IFERROR(__xludf.DUMMYFUNCTION("""COMPUTED_VALUE"""),"")</f>
        <v/>
      </c>
      <c r="AK153" s="2" t="str">
        <f ca="1">IFERROR(__xludf.DUMMYFUNCTION("""COMPUTED_VALUE"""),"")</f>
        <v/>
      </c>
      <c r="AL153" s="2" t="str">
        <f ca="1">IFERROR(__xludf.DUMMYFUNCTION("""COMPUTED_VALUE"""),"")</f>
        <v/>
      </c>
      <c r="AM153" s="2" t="str">
        <f ca="1">IFERROR(__xludf.DUMMYFUNCTION("""COMPUTED_VALUE"""),"")</f>
        <v/>
      </c>
      <c r="AN153" s="2" t="str">
        <f ca="1">IFERROR(__xludf.DUMMYFUNCTION("""COMPUTED_VALUE"""),"")</f>
        <v/>
      </c>
      <c r="AO153" s="2" t="str">
        <f ca="1">IFERROR(__xludf.DUMMYFUNCTION("""COMPUTED_VALUE"""),"")</f>
        <v/>
      </c>
      <c r="AP153" s="2" t="str">
        <f ca="1">IFERROR(__xludf.DUMMYFUNCTION("""COMPUTED_VALUE"""),"")</f>
        <v/>
      </c>
      <c r="AQ153" s="2" t="str">
        <f ca="1">IFERROR(__xludf.DUMMYFUNCTION("""COMPUTED_VALUE"""),"")</f>
        <v/>
      </c>
      <c r="AR153" s="2" t="str">
        <f ca="1">IFERROR(__xludf.DUMMYFUNCTION("""COMPUTED_VALUE"""),"")</f>
        <v/>
      </c>
      <c r="AS153" s="2" t="str">
        <f ca="1">IFERROR(__xludf.DUMMYFUNCTION("""COMPUTED_VALUE"""),"")</f>
        <v/>
      </c>
      <c r="AT153" s="2" t="str">
        <f ca="1">IFERROR(__xludf.DUMMYFUNCTION("""COMPUTED_VALUE"""),"")</f>
        <v/>
      </c>
      <c r="AU153" s="2" t="str">
        <f ca="1">IFERROR(__xludf.DUMMYFUNCTION("""COMPUTED_VALUE"""),"")</f>
        <v/>
      </c>
      <c r="AV153" s="2" t="str">
        <f ca="1">IFERROR(__xludf.DUMMYFUNCTION("""COMPUTED_VALUE"""),"")</f>
        <v/>
      </c>
      <c r="AW153" s="2" t="str">
        <f ca="1">IFERROR(__xludf.DUMMYFUNCTION("""COMPUTED_VALUE"""),"")</f>
        <v/>
      </c>
      <c r="AX153" s="2" t="str">
        <f ca="1">IFERROR(__xludf.DUMMYFUNCTION("""COMPUTED_VALUE"""),"")</f>
        <v/>
      </c>
      <c r="AY153" s="2" t="str">
        <f ca="1">IFERROR(__xludf.DUMMYFUNCTION("""COMPUTED_VALUE"""),"")</f>
        <v/>
      </c>
      <c r="AZ153" s="2" t="str">
        <f ca="1">IFERROR(__xludf.DUMMYFUNCTION("""COMPUTED_VALUE"""),"")</f>
        <v/>
      </c>
      <c r="BA153" s="2" t="str">
        <f ca="1">IFERROR(__xludf.DUMMYFUNCTION("""COMPUTED_VALUE"""),"")</f>
        <v/>
      </c>
      <c r="BB153" s="2" t="str">
        <f ca="1">IFERROR(__xludf.DUMMYFUNCTION("""COMPUTED_VALUE"""),"")</f>
        <v/>
      </c>
      <c r="BC153" s="2" t="str">
        <f ca="1">IFERROR(__xludf.DUMMYFUNCTION("""COMPUTED_VALUE"""),"")</f>
        <v/>
      </c>
      <c r="BD153" s="2" t="str">
        <f ca="1">IFERROR(__xludf.DUMMYFUNCTION("""COMPUTED_VALUE"""),"")</f>
        <v/>
      </c>
      <c r="BE153" s="2" t="str">
        <f ca="1">IFERROR(__xludf.DUMMYFUNCTION("""COMPUTED_VALUE"""),"")</f>
        <v/>
      </c>
      <c r="BF153" t="str">
        <f ca="1">IFERROR(__xludf.DUMMYFUNCTION("""COMPUTED_VALUE"""),"")</f>
        <v/>
      </c>
      <c r="BG153" t="str">
        <f ca="1">IFERROR(__xludf.DUMMYFUNCTION("""COMPUTED_VALUE"""),"")</f>
        <v/>
      </c>
      <c r="BH153" s="2">
        <f ca="1">IFERROR(__xludf.DUMMYFUNCTION("""COMPUTED_VALUE"""),-37.345089)</f>
        <v>-37.345089000000002</v>
      </c>
      <c r="BI153" s="12">
        <f ca="1">IFERROR(__xludf.DUMMYFUNCTION("""COMPUTED_VALUE"""),175.1588287)</f>
        <v>175.15882869999999</v>
      </c>
      <c r="BJ153" s="9">
        <f ca="1">IFERROR(__xludf.DUMMYFUNCTION("""COMPUTED_VALUE"""),43460)</f>
        <v>43460</v>
      </c>
      <c r="BK153" s="4">
        <f ca="1">IFERROR(__xludf.DUMMYFUNCTION("""COMPUTED_VALUE"""),0.457777777777664)</f>
        <v>0.45777777777766399</v>
      </c>
    </row>
    <row r="154" spans="1:63" ht="12.5" x14ac:dyDescent="0.25">
      <c r="A154" s="7" t="str">
        <f ca="1">IFERROR(__xludf.DUMMYFUNCTION("""COMPUTED_VALUE"""),"")</f>
        <v/>
      </c>
      <c r="B154" s="8" t="str">
        <f ca="1">IFERROR(__xludf.DUMMYFUNCTION("""COMPUTED_VALUE"""),"Waikato")</f>
        <v>Waikato</v>
      </c>
      <c r="C154" s="2">
        <f ca="1">IFERROR(__xludf.DUMMYFUNCTION("""COMPUTED_VALUE"""),64)</f>
        <v>64</v>
      </c>
      <c r="D154" s="9" t="str">
        <f ca="1">IFERROR(__xludf.DUMMYFUNCTION("""COMPUTED_VALUE"""),"")</f>
        <v/>
      </c>
      <c r="E154" s="4" t="str">
        <f ca="1">IFERROR(__xludf.DUMMYFUNCTION("""COMPUTED_VALUE"""),"")</f>
        <v/>
      </c>
      <c r="F154" s="2" t="str">
        <f ca="1">IFERROR(__xludf.DUMMYFUNCTION("""COMPUTED_VALUE"""),"")</f>
        <v/>
      </c>
      <c r="G154" s="2" t="str">
        <f ca="1">IFERROR(__xludf.DUMMYFUNCTION("""COMPUTED_VALUE"""),"GPS: I converted data downloaded from ARGOS using Pinpoint software")</f>
        <v>GPS: I converted data downloaded from ARGOS using Pinpoint software</v>
      </c>
      <c r="H154" s="2" t="str">
        <f ca="1">IFERROR(__xludf.DUMMYFUNCTION("""COMPUTED_VALUE"""),"3D")</f>
        <v>3D</v>
      </c>
      <c r="I154" s="2" t="str">
        <f ca="1">IFERROR(__xludf.DUMMYFUNCTION("""COMPUTED_VALUE"""),"")</f>
        <v/>
      </c>
      <c r="J154" s="2" t="str">
        <f ca="1">IFERROR(__xludf.DUMMYFUNCTION("""COMPUTED_VALUE"""),"")</f>
        <v/>
      </c>
      <c r="K154" s="2" t="str">
        <f ca="1">IFERROR(__xludf.DUMMYFUNCTION("""COMPUTED_VALUE"""),"")</f>
        <v/>
      </c>
      <c r="L154" s="2" t="str">
        <f ca="1">IFERROR(__xludf.DUMMYFUNCTION("""COMPUTED_VALUE"""),"")</f>
        <v/>
      </c>
      <c r="M154" s="5" t="str">
        <f ca="1">IFERROR(__xludf.DUMMYFUNCTION("""COMPUTED_VALUE"""),"")</f>
        <v/>
      </c>
      <c r="N154" s="5" t="str">
        <f ca="1">IFERROR(__xludf.DUMMYFUNCTION("""COMPUTED_VALUE"""),"")</f>
        <v/>
      </c>
      <c r="O154" s="2" t="str">
        <f ca="1">IFERROR(__xludf.DUMMYFUNCTION("""COMPUTED_VALUE"""),"")</f>
        <v/>
      </c>
      <c r="P154" s="2" t="str">
        <f ca="1">IFERROR(__xludf.DUMMYFUNCTION("""COMPUTED_VALUE"""),"")</f>
        <v/>
      </c>
      <c r="Q154" s="2" t="str">
        <f ca="1">IFERROR(__xludf.DUMMYFUNCTION("""COMPUTED_VALUE"""),"")</f>
        <v/>
      </c>
      <c r="R154" s="2" t="str">
        <f ca="1">IFERROR(__xludf.DUMMYFUNCTION("""COMPUTED_VALUE"""),"")</f>
        <v/>
      </c>
      <c r="S154" s="2" t="str">
        <f ca="1">IFERROR(__xludf.DUMMYFUNCTION("""COMPUTED_VALUE"""),"")</f>
        <v/>
      </c>
      <c r="T154" s="2" t="str">
        <f ca="1">IFERROR(__xludf.DUMMYFUNCTION("""COMPUTED_VALUE"""),"")</f>
        <v/>
      </c>
      <c r="U154" s="2" t="str">
        <f ca="1">IFERROR(__xludf.DUMMYFUNCTION("""COMPUTED_VALUE"""),"")</f>
        <v/>
      </c>
      <c r="V154" s="2" t="str">
        <f ca="1">IFERROR(__xludf.DUMMYFUNCTION("""COMPUTED_VALUE"""),"")</f>
        <v/>
      </c>
      <c r="W154" s="2" t="str">
        <f ca="1">IFERROR(__xludf.DUMMYFUNCTION("""COMPUTED_VALUE"""),"")</f>
        <v/>
      </c>
      <c r="X154" s="2" t="str">
        <f ca="1">IFERROR(__xludf.DUMMYFUNCTION("""COMPUTED_VALUE"""),"")</f>
        <v/>
      </c>
      <c r="Y154" s="2" t="str">
        <f ca="1">IFERROR(__xludf.DUMMYFUNCTION("""COMPUTED_VALUE"""),"")</f>
        <v/>
      </c>
      <c r="Z154" s="2" t="str">
        <f ca="1">IFERROR(__xludf.DUMMYFUNCTION("""COMPUTED_VALUE"""),"")</f>
        <v/>
      </c>
      <c r="AA154" s="2" t="str">
        <f ca="1">IFERROR(__xludf.DUMMYFUNCTION("""COMPUTED_VALUE"""),"")</f>
        <v/>
      </c>
      <c r="AB154" s="2" t="str">
        <f ca="1">IFERROR(__xludf.DUMMYFUNCTION("""COMPUTED_VALUE"""),"")</f>
        <v/>
      </c>
      <c r="AC154" s="2" t="str">
        <f ca="1">IFERROR(__xludf.DUMMYFUNCTION("""COMPUTED_VALUE"""),"")</f>
        <v/>
      </c>
      <c r="AD154" s="2" t="str">
        <f ca="1">IFERROR(__xludf.DUMMYFUNCTION("""COMPUTED_VALUE"""),"")</f>
        <v/>
      </c>
      <c r="AE154" s="2" t="str">
        <f ca="1">IFERROR(__xludf.DUMMYFUNCTION("""COMPUTED_VALUE"""),"")</f>
        <v/>
      </c>
      <c r="AF154" s="2" t="str">
        <f ca="1">IFERROR(__xludf.DUMMYFUNCTION("""COMPUTED_VALUE"""),"")</f>
        <v/>
      </c>
      <c r="AG154" s="2" t="str">
        <f ca="1">IFERROR(__xludf.DUMMYFUNCTION("""COMPUTED_VALUE"""),"")</f>
        <v/>
      </c>
      <c r="AH154" s="2" t="str">
        <f ca="1">IFERROR(__xludf.DUMMYFUNCTION("""COMPUTED_VALUE"""),"")</f>
        <v/>
      </c>
      <c r="AI154" s="2" t="str">
        <f ca="1">IFERROR(__xludf.DUMMYFUNCTION("""COMPUTED_VALUE"""),"")</f>
        <v/>
      </c>
      <c r="AJ154" s="2" t="str">
        <f ca="1">IFERROR(__xludf.DUMMYFUNCTION("""COMPUTED_VALUE"""),"")</f>
        <v/>
      </c>
      <c r="AK154" s="2" t="str">
        <f ca="1">IFERROR(__xludf.DUMMYFUNCTION("""COMPUTED_VALUE"""),"")</f>
        <v/>
      </c>
      <c r="AL154" s="2" t="str">
        <f ca="1">IFERROR(__xludf.DUMMYFUNCTION("""COMPUTED_VALUE"""),"")</f>
        <v/>
      </c>
      <c r="AM154" s="2" t="str">
        <f ca="1">IFERROR(__xludf.DUMMYFUNCTION("""COMPUTED_VALUE"""),"")</f>
        <v/>
      </c>
      <c r="AN154" s="2" t="str">
        <f ca="1">IFERROR(__xludf.DUMMYFUNCTION("""COMPUTED_VALUE"""),"")</f>
        <v/>
      </c>
      <c r="AO154" s="2" t="str">
        <f ca="1">IFERROR(__xludf.DUMMYFUNCTION("""COMPUTED_VALUE"""),"")</f>
        <v/>
      </c>
      <c r="AP154" s="2" t="str">
        <f ca="1">IFERROR(__xludf.DUMMYFUNCTION("""COMPUTED_VALUE"""),"")</f>
        <v/>
      </c>
      <c r="AQ154" s="2" t="str">
        <f ca="1">IFERROR(__xludf.DUMMYFUNCTION("""COMPUTED_VALUE"""),"")</f>
        <v/>
      </c>
      <c r="AR154" s="2" t="str">
        <f ca="1">IFERROR(__xludf.DUMMYFUNCTION("""COMPUTED_VALUE"""),"")</f>
        <v/>
      </c>
      <c r="AS154" s="2" t="str">
        <f ca="1">IFERROR(__xludf.DUMMYFUNCTION("""COMPUTED_VALUE"""),"")</f>
        <v/>
      </c>
      <c r="AT154" s="2" t="str">
        <f ca="1">IFERROR(__xludf.DUMMYFUNCTION("""COMPUTED_VALUE"""),"")</f>
        <v/>
      </c>
      <c r="AU154" s="2" t="str">
        <f ca="1">IFERROR(__xludf.DUMMYFUNCTION("""COMPUTED_VALUE"""),"")</f>
        <v/>
      </c>
      <c r="AV154" s="2" t="str">
        <f ca="1">IFERROR(__xludf.DUMMYFUNCTION("""COMPUTED_VALUE"""),"")</f>
        <v/>
      </c>
      <c r="AW154" s="2" t="str">
        <f ca="1">IFERROR(__xludf.DUMMYFUNCTION("""COMPUTED_VALUE"""),"")</f>
        <v/>
      </c>
      <c r="AX154" s="2" t="str">
        <f ca="1">IFERROR(__xludf.DUMMYFUNCTION("""COMPUTED_VALUE"""),"")</f>
        <v/>
      </c>
      <c r="AY154" s="2" t="str">
        <f ca="1">IFERROR(__xludf.DUMMYFUNCTION("""COMPUTED_VALUE"""),"")</f>
        <v/>
      </c>
      <c r="AZ154" s="2" t="str">
        <f ca="1">IFERROR(__xludf.DUMMYFUNCTION("""COMPUTED_VALUE"""),"")</f>
        <v/>
      </c>
      <c r="BA154" s="2" t="str">
        <f ca="1">IFERROR(__xludf.DUMMYFUNCTION("""COMPUTED_VALUE"""),"")</f>
        <v/>
      </c>
      <c r="BB154" s="2" t="str">
        <f ca="1">IFERROR(__xludf.DUMMYFUNCTION("""COMPUTED_VALUE"""),"")</f>
        <v/>
      </c>
      <c r="BC154" s="2" t="str">
        <f ca="1">IFERROR(__xludf.DUMMYFUNCTION("""COMPUTED_VALUE"""),"")</f>
        <v/>
      </c>
      <c r="BD154" s="2" t="str">
        <f ca="1">IFERROR(__xludf.DUMMYFUNCTION("""COMPUTED_VALUE"""),"")</f>
        <v/>
      </c>
      <c r="BE154" s="2" t="str">
        <f ca="1">IFERROR(__xludf.DUMMYFUNCTION("""COMPUTED_VALUE"""),"")</f>
        <v/>
      </c>
      <c r="BF154" t="str">
        <f ca="1">IFERROR(__xludf.DUMMYFUNCTION("""COMPUTED_VALUE"""),"")</f>
        <v/>
      </c>
      <c r="BG154" t="str">
        <f ca="1">IFERROR(__xludf.DUMMYFUNCTION("""COMPUTED_VALUE"""),"")</f>
        <v/>
      </c>
      <c r="BH154" s="2">
        <f ca="1">IFERROR(__xludf.DUMMYFUNCTION("""COMPUTED_VALUE"""),-37.3451385)</f>
        <v>-37.345138499999997</v>
      </c>
      <c r="BI154" s="13">
        <f ca="1">IFERROR(__xludf.DUMMYFUNCTION("""COMPUTED_VALUE"""),175.1496277)</f>
        <v>175.1496277</v>
      </c>
      <c r="BJ154" s="9">
        <f ca="1">IFERROR(__xludf.DUMMYFUNCTION("""COMPUTED_VALUE"""),43460)</f>
        <v>43460</v>
      </c>
      <c r="BK154" s="4">
        <f ca="1">IFERROR(__xludf.DUMMYFUNCTION("""COMPUTED_VALUE"""),0.958518518516939)</f>
        <v>0.95851851851693903</v>
      </c>
    </row>
    <row r="155" spans="1:63" ht="12.5" x14ac:dyDescent="0.25">
      <c r="A155" s="7" t="str">
        <f ca="1">IFERROR(__xludf.DUMMYFUNCTION("""COMPUTED_VALUE"""),"")</f>
        <v/>
      </c>
      <c r="B155" s="8" t="str">
        <f ca="1">IFERROR(__xludf.DUMMYFUNCTION("""COMPUTED_VALUE"""),"Waikato")</f>
        <v>Waikato</v>
      </c>
      <c r="C155" s="2">
        <f ca="1">IFERROR(__xludf.DUMMYFUNCTION("""COMPUTED_VALUE"""),64)</f>
        <v>64</v>
      </c>
      <c r="D155" s="9" t="str">
        <f ca="1">IFERROR(__xludf.DUMMYFUNCTION("""COMPUTED_VALUE"""),"")</f>
        <v/>
      </c>
      <c r="E155" s="4" t="str">
        <f ca="1">IFERROR(__xludf.DUMMYFUNCTION("""COMPUTED_VALUE"""),"")</f>
        <v/>
      </c>
      <c r="F155" s="2" t="str">
        <f ca="1">IFERROR(__xludf.DUMMYFUNCTION("""COMPUTED_VALUE"""),"")</f>
        <v/>
      </c>
      <c r="G155" s="2" t="str">
        <f ca="1">IFERROR(__xludf.DUMMYFUNCTION("""COMPUTED_VALUE"""),"GPS: I converted data downloaded from ARGOS using Pinpoint software")</f>
        <v>GPS: I converted data downloaded from ARGOS using Pinpoint software</v>
      </c>
      <c r="H155" s="2" t="str">
        <f ca="1">IFERROR(__xludf.DUMMYFUNCTION("""COMPUTED_VALUE"""),"3D")</f>
        <v>3D</v>
      </c>
      <c r="I155" s="2" t="str">
        <f ca="1">IFERROR(__xludf.DUMMYFUNCTION("""COMPUTED_VALUE"""),"")</f>
        <v/>
      </c>
      <c r="J155" s="2" t="str">
        <f ca="1">IFERROR(__xludf.DUMMYFUNCTION("""COMPUTED_VALUE"""),"")</f>
        <v/>
      </c>
      <c r="K155" s="2" t="str">
        <f ca="1">IFERROR(__xludf.DUMMYFUNCTION("""COMPUTED_VALUE"""),"")</f>
        <v/>
      </c>
      <c r="L155" s="2" t="str">
        <f ca="1">IFERROR(__xludf.DUMMYFUNCTION("""COMPUTED_VALUE"""),"")</f>
        <v/>
      </c>
      <c r="M155" s="5" t="str">
        <f ca="1">IFERROR(__xludf.DUMMYFUNCTION("""COMPUTED_VALUE"""),"")</f>
        <v/>
      </c>
      <c r="N155" s="5" t="str">
        <f ca="1">IFERROR(__xludf.DUMMYFUNCTION("""COMPUTED_VALUE"""),"")</f>
        <v/>
      </c>
      <c r="O155" s="2" t="str">
        <f ca="1">IFERROR(__xludf.DUMMYFUNCTION("""COMPUTED_VALUE"""),"")</f>
        <v/>
      </c>
      <c r="P155" s="2" t="str">
        <f ca="1">IFERROR(__xludf.DUMMYFUNCTION("""COMPUTED_VALUE"""),"")</f>
        <v/>
      </c>
      <c r="Q155" s="2" t="str">
        <f ca="1">IFERROR(__xludf.DUMMYFUNCTION("""COMPUTED_VALUE"""),"")</f>
        <v/>
      </c>
      <c r="R155" s="2" t="str">
        <f ca="1">IFERROR(__xludf.DUMMYFUNCTION("""COMPUTED_VALUE"""),"")</f>
        <v/>
      </c>
      <c r="S155" s="2" t="str">
        <f ca="1">IFERROR(__xludf.DUMMYFUNCTION("""COMPUTED_VALUE"""),"")</f>
        <v/>
      </c>
      <c r="T155" s="2" t="str">
        <f ca="1">IFERROR(__xludf.DUMMYFUNCTION("""COMPUTED_VALUE"""),"")</f>
        <v/>
      </c>
      <c r="U155" s="2" t="str">
        <f ca="1">IFERROR(__xludf.DUMMYFUNCTION("""COMPUTED_VALUE"""),"")</f>
        <v/>
      </c>
      <c r="V155" s="2" t="str">
        <f ca="1">IFERROR(__xludf.DUMMYFUNCTION("""COMPUTED_VALUE"""),"")</f>
        <v/>
      </c>
      <c r="W155" s="2" t="str">
        <f ca="1">IFERROR(__xludf.DUMMYFUNCTION("""COMPUTED_VALUE"""),"")</f>
        <v/>
      </c>
      <c r="X155" s="2" t="str">
        <f ca="1">IFERROR(__xludf.DUMMYFUNCTION("""COMPUTED_VALUE"""),"")</f>
        <v/>
      </c>
      <c r="Y155" s="2" t="str">
        <f ca="1">IFERROR(__xludf.DUMMYFUNCTION("""COMPUTED_VALUE"""),"")</f>
        <v/>
      </c>
      <c r="Z155" s="2" t="str">
        <f ca="1">IFERROR(__xludf.DUMMYFUNCTION("""COMPUTED_VALUE"""),"")</f>
        <v/>
      </c>
      <c r="AA155" s="2" t="str">
        <f ca="1">IFERROR(__xludf.DUMMYFUNCTION("""COMPUTED_VALUE"""),"")</f>
        <v/>
      </c>
      <c r="AB155" s="2" t="str">
        <f ca="1">IFERROR(__xludf.DUMMYFUNCTION("""COMPUTED_VALUE"""),"")</f>
        <v/>
      </c>
      <c r="AC155" s="2" t="str">
        <f ca="1">IFERROR(__xludf.DUMMYFUNCTION("""COMPUTED_VALUE"""),"")</f>
        <v/>
      </c>
      <c r="AD155" s="2" t="str">
        <f ca="1">IFERROR(__xludf.DUMMYFUNCTION("""COMPUTED_VALUE"""),"")</f>
        <v/>
      </c>
      <c r="AE155" s="2" t="str">
        <f ca="1">IFERROR(__xludf.DUMMYFUNCTION("""COMPUTED_VALUE"""),"")</f>
        <v/>
      </c>
      <c r="AF155" s="2" t="str">
        <f ca="1">IFERROR(__xludf.DUMMYFUNCTION("""COMPUTED_VALUE"""),"")</f>
        <v/>
      </c>
      <c r="AG155" s="2" t="str">
        <f ca="1">IFERROR(__xludf.DUMMYFUNCTION("""COMPUTED_VALUE"""),"")</f>
        <v/>
      </c>
      <c r="AH155" s="2" t="str">
        <f ca="1">IFERROR(__xludf.DUMMYFUNCTION("""COMPUTED_VALUE"""),"")</f>
        <v/>
      </c>
      <c r="AI155" s="2" t="str">
        <f ca="1">IFERROR(__xludf.DUMMYFUNCTION("""COMPUTED_VALUE"""),"")</f>
        <v/>
      </c>
      <c r="AJ155" s="2" t="str">
        <f ca="1">IFERROR(__xludf.DUMMYFUNCTION("""COMPUTED_VALUE"""),"")</f>
        <v/>
      </c>
      <c r="AK155" s="2" t="str">
        <f ca="1">IFERROR(__xludf.DUMMYFUNCTION("""COMPUTED_VALUE"""),"")</f>
        <v/>
      </c>
      <c r="AL155" s="2" t="str">
        <f ca="1">IFERROR(__xludf.DUMMYFUNCTION("""COMPUTED_VALUE"""),"")</f>
        <v/>
      </c>
      <c r="AM155" s="2" t="str">
        <f ca="1">IFERROR(__xludf.DUMMYFUNCTION("""COMPUTED_VALUE"""),"")</f>
        <v/>
      </c>
      <c r="AN155" s="2" t="str">
        <f ca="1">IFERROR(__xludf.DUMMYFUNCTION("""COMPUTED_VALUE"""),"")</f>
        <v/>
      </c>
      <c r="AO155" s="2" t="str">
        <f ca="1">IFERROR(__xludf.DUMMYFUNCTION("""COMPUTED_VALUE"""),"")</f>
        <v/>
      </c>
      <c r="AP155" s="2" t="str">
        <f ca="1">IFERROR(__xludf.DUMMYFUNCTION("""COMPUTED_VALUE"""),"")</f>
        <v/>
      </c>
      <c r="AQ155" s="2" t="str">
        <f ca="1">IFERROR(__xludf.DUMMYFUNCTION("""COMPUTED_VALUE"""),"")</f>
        <v/>
      </c>
      <c r="AR155" s="2" t="str">
        <f ca="1">IFERROR(__xludf.DUMMYFUNCTION("""COMPUTED_VALUE"""),"")</f>
        <v/>
      </c>
      <c r="AS155" s="2" t="str">
        <f ca="1">IFERROR(__xludf.DUMMYFUNCTION("""COMPUTED_VALUE"""),"")</f>
        <v/>
      </c>
      <c r="AT155" s="2" t="str">
        <f ca="1">IFERROR(__xludf.DUMMYFUNCTION("""COMPUTED_VALUE"""),"")</f>
        <v/>
      </c>
      <c r="AU155" s="2" t="str">
        <f ca="1">IFERROR(__xludf.DUMMYFUNCTION("""COMPUTED_VALUE"""),"")</f>
        <v/>
      </c>
      <c r="AV155" s="2" t="str">
        <f ca="1">IFERROR(__xludf.DUMMYFUNCTION("""COMPUTED_VALUE"""),"")</f>
        <v/>
      </c>
      <c r="AW155" s="2" t="str">
        <f ca="1">IFERROR(__xludf.DUMMYFUNCTION("""COMPUTED_VALUE"""),"")</f>
        <v/>
      </c>
      <c r="AX155" s="2" t="str">
        <f ca="1">IFERROR(__xludf.DUMMYFUNCTION("""COMPUTED_VALUE"""),"")</f>
        <v/>
      </c>
      <c r="AY155" s="2" t="str">
        <f ca="1">IFERROR(__xludf.DUMMYFUNCTION("""COMPUTED_VALUE"""),"")</f>
        <v/>
      </c>
      <c r="AZ155" s="2" t="str">
        <f ca="1">IFERROR(__xludf.DUMMYFUNCTION("""COMPUTED_VALUE"""),"")</f>
        <v/>
      </c>
      <c r="BA155" s="2" t="str">
        <f ca="1">IFERROR(__xludf.DUMMYFUNCTION("""COMPUTED_VALUE"""),"")</f>
        <v/>
      </c>
      <c r="BB155" s="2" t="str">
        <f ca="1">IFERROR(__xludf.DUMMYFUNCTION("""COMPUTED_VALUE"""),"")</f>
        <v/>
      </c>
      <c r="BC155" s="2" t="str">
        <f ca="1">IFERROR(__xludf.DUMMYFUNCTION("""COMPUTED_VALUE"""),"")</f>
        <v/>
      </c>
      <c r="BD155" s="2" t="str">
        <f ca="1">IFERROR(__xludf.DUMMYFUNCTION("""COMPUTED_VALUE"""),"")</f>
        <v/>
      </c>
      <c r="BE155" s="2" t="str">
        <f ca="1">IFERROR(__xludf.DUMMYFUNCTION("""COMPUTED_VALUE"""),"")</f>
        <v/>
      </c>
      <c r="BF155" t="str">
        <f ca="1">IFERROR(__xludf.DUMMYFUNCTION("""COMPUTED_VALUE"""),"")</f>
        <v/>
      </c>
      <c r="BG155" t="str">
        <f ca="1">IFERROR(__xludf.DUMMYFUNCTION("""COMPUTED_VALUE"""),"")</f>
        <v/>
      </c>
      <c r="BH155" s="2">
        <f ca="1">IFERROR(__xludf.DUMMYFUNCTION("""COMPUTED_VALUE"""),-37.4770546)</f>
        <v>-37.477054600000002</v>
      </c>
      <c r="BI155" s="12">
        <f ca="1">IFERROR(__xludf.DUMMYFUNCTION("""COMPUTED_VALUE"""),175.19133)</f>
        <v>175.19132999999999</v>
      </c>
      <c r="BJ155" s="9">
        <f ca="1">IFERROR(__xludf.DUMMYFUNCTION("""COMPUTED_VALUE"""),43462)</f>
        <v>43462</v>
      </c>
      <c r="BK155" s="4">
        <f ca="1">IFERROR(__xludf.DUMMYFUNCTION("""COMPUTED_VALUE"""),0.457777777777664)</f>
        <v>0.45777777777766399</v>
      </c>
    </row>
    <row r="156" spans="1:63" ht="12.5" x14ac:dyDescent="0.25">
      <c r="A156" s="7" t="str">
        <f ca="1">IFERROR(__xludf.DUMMYFUNCTION("""COMPUTED_VALUE"""),"")</f>
        <v/>
      </c>
      <c r="B156" s="8" t="str">
        <f ca="1">IFERROR(__xludf.DUMMYFUNCTION("""COMPUTED_VALUE"""),"Waikato")</f>
        <v>Waikato</v>
      </c>
      <c r="C156" s="2">
        <f ca="1">IFERROR(__xludf.DUMMYFUNCTION("""COMPUTED_VALUE"""),64)</f>
        <v>64</v>
      </c>
      <c r="D156" s="9" t="str">
        <f ca="1">IFERROR(__xludf.DUMMYFUNCTION("""COMPUTED_VALUE"""),"")</f>
        <v/>
      </c>
      <c r="E156" s="4" t="str">
        <f ca="1">IFERROR(__xludf.DUMMYFUNCTION("""COMPUTED_VALUE"""),"")</f>
        <v/>
      </c>
      <c r="F156" s="2" t="str">
        <f ca="1">IFERROR(__xludf.DUMMYFUNCTION("""COMPUTED_VALUE"""),"")</f>
        <v/>
      </c>
      <c r="G156" s="2" t="str">
        <f ca="1">IFERROR(__xludf.DUMMYFUNCTION("""COMPUTED_VALUE"""),"GPS: I converted data downloaded from ARGOS using Pinpoint software")</f>
        <v>GPS: I converted data downloaded from ARGOS using Pinpoint software</v>
      </c>
      <c r="H156" s="2" t="str">
        <f ca="1">IFERROR(__xludf.DUMMYFUNCTION("""COMPUTED_VALUE"""),"3D")</f>
        <v>3D</v>
      </c>
      <c r="I156" s="2" t="str">
        <f ca="1">IFERROR(__xludf.DUMMYFUNCTION("""COMPUTED_VALUE"""),"")</f>
        <v/>
      </c>
      <c r="J156" s="2" t="str">
        <f ca="1">IFERROR(__xludf.DUMMYFUNCTION("""COMPUTED_VALUE"""),"")</f>
        <v/>
      </c>
      <c r="K156" s="2" t="str">
        <f ca="1">IFERROR(__xludf.DUMMYFUNCTION("""COMPUTED_VALUE"""),"")</f>
        <v/>
      </c>
      <c r="L156" s="2" t="str">
        <f ca="1">IFERROR(__xludf.DUMMYFUNCTION("""COMPUTED_VALUE"""),"")</f>
        <v/>
      </c>
      <c r="M156" s="5" t="str">
        <f ca="1">IFERROR(__xludf.DUMMYFUNCTION("""COMPUTED_VALUE"""),"")</f>
        <v/>
      </c>
      <c r="N156" s="5" t="str">
        <f ca="1">IFERROR(__xludf.DUMMYFUNCTION("""COMPUTED_VALUE"""),"")</f>
        <v/>
      </c>
      <c r="O156" s="2" t="str">
        <f ca="1">IFERROR(__xludf.DUMMYFUNCTION("""COMPUTED_VALUE"""),"")</f>
        <v/>
      </c>
      <c r="P156" s="2" t="str">
        <f ca="1">IFERROR(__xludf.DUMMYFUNCTION("""COMPUTED_VALUE"""),"")</f>
        <v/>
      </c>
      <c r="Q156" s="2" t="str">
        <f ca="1">IFERROR(__xludf.DUMMYFUNCTION("""COMPUTED_VALUE"""),"")</f>
        <v/>
      </c>
      <c r="R156" s="2" t="str">
        <f ca="1">IFERROR(__xludf.DUMMYFUNCTION("""COMPUTED_VALUE"""),"")</f>
        <v/>
      </c>
      <c r="S156" s="2" t="str">
        <f ca="1">IFERROR(__xludf.DUMMYFUNCTION("""COMPUTED_VALUE"""),"")</f>
        <v/>
      </c>
      <c r="T156" s="2" t="str">
        <f ca="1">IFERROR(__xludf.DUMMYFUNCTION("""COMPUTED_VALUE"""),"")</f>
        <v/>
      </c>
      <c r="U156" s="2" t="str">
        <f ca="1">IFERROR(__xludf.DUMMYFUNCTION("""COMPUTED_VALUE"""),"")</f>
        <v/>
      </c>
      <c r="V156" s="2" t="str">
        <f ca="1">IFERROR(__xludf.DUMMYFUNCTION("""COMPUTED_VALUE"""),"")</f>
        <v/>
      </c>
      <c r="W156" s="2" t="str">
        <f ca="1">IFERROR(__xludf.DUMMYFUNCTION("""COMPUTED_VALUE"""),"")</f>
        <v/>
      </c>
      <c r="X156" s="2" t="str">
        <f ca="1">IFERROR(__xludf.DUMMYFUNCTION("""COMPUTED_VALUE"""),"")</f>
        <v/>
      </c>
      <c r="Y156" s="2" t="str">
        <f ca="1">IFERROR(__xludf.DUMMYFUNCTION("""COMPUTED_VALUE"""),"")</f>
        <v/>
      </c>
      <c r="Z156" s="2" t="str">
        <f ca="1">IFERROR(__xludf.DUMMYFUNCTION("""COMPUTED_VALUE"""),"")</f>
        <v/>
      </c>
      <c r="AA156" s="2" t="str">
        <f ca="1">IFERROR(__xludf.DUMMYFUNCTION("""COMPUTED_VALUE"""),"")</f>
        <v/>
      </c>
      <c r="AB156" s="2" t="str">
        <f ca="1">IFERROR(__xludf.DUMMYFUNCTION("""COMPUTED_VALUE"""),"")</f>
        <v/>
      </c>
      <c r="AC156" s="2" t="str">
        <f ca="1">IFERROR(__xludf.DUMMYFUNCTION("""COMPUTED_VALUE"""),"")</f>
        <v/>
      </c>
      <c r="AD156" s="2" t="str">
        <f ca="1">IFERROR(__xludf.DUMMYFUNCTION("""COMPUTED_VALUE"""),"")</f>
        <v/>
      </c>
      <c r="AE156" s="2" t="str">
        <f ca="1">IFERROR(__xludf.DUMMYFUNCTION("""COMPUTED_VALUE"""),"")</f>
        <v/>
      </c>
      <c r="AF156" s="2" t="str">
        <f ca="1">IFERROR(__xludf.DUMMYFUNCTION("""COMPUTED_VALUE"""),"")</f>
        <v/>
      </c>
      <c r="AG156" s="2" t="str">
        <f ca="1">IFERROR(__xludf.DUMMYFUNCTION("""COMPUTED_VALUE"""),"")</f>
        <v/>
      </c>
      <c r="AH156" s="2" t="str">
        <f ca="1">IFERROR(__xludf.DUMMYFUNCTION("""COMPUTED_VALUE"""),"")</f>
        <v/>
      </c>
      <c r="AI156" s="2" t="str">
        <f ca="1">IFERROR(__xludf.DUMMYFUNCTION("""COMPUTED_VALUE"""),"")</f>
        <v/>
      </c>
      <c r="AJ156" s="2" t="str">
        <f ca="1">IFERROR(__xludf.DUMMYFUNCTION("""COMPUTED_VALUE"""),"")</f>
        <v/>
      </c>
      <c r="AK156" s="2" t="str">
        <f ca="1">IFERROR(__xludf.DUMMYFUNCTION("""COMPUTED_VALUE"""),"")</f>
        <v/>
      </c>
      <c r="AL156" s="2" t="str">
        <f ca="1">IFERROR(__xludf.DUMMYFUNCTION("""COMPUTED_VALUE"""),"")</f>
        <v/>
      </c>
      <c r="AM156" s="2" t="str">
        <f ca="1">IFERROR(__xludf.DUMMYFUNCTION("""COMPUTED_VALUE"""),"")</f>
        <v/>
      </c>
      <c r="AN156" s="2" t="str">
        <f ca="1">IFERROR(__xludf.DUMMYFUNCTION("""COMPUTED_VALUE"""),"")</f>
        <v/>
      </c>
      <c r="AO156" s="2" t="str">
        <f ca="1">IFERROR(__xludf.DUMMYFUNCTION("""COMPUTED_VALUE"""),"")</f>
        <v/>
      </c>
      <c r="AP156" s="2" t="str">
        <f ca="1">IFERROR(__xludf.DUMMYFUNCTION("""COMPUTED_VALUE"""),"")</f>
        <v/>
      </c>
      <c r="AQ156" s="2" t="str">
        <f ca="1">IFERROR(__xludf.DUMMYFUNCTION("""COMPUTED_VALUE"""),"")</f>
        <v/>
      </c>
      <c r="AR156" s="2" t="str">
        <f ca="1">IFERROR(__xludf.DUMMYFUNCTION("""COMPUTED_VALUE"""),"")</f>
        <v/>
      </c>
      <c r="AS156" s="2" t="str">
        <f ca="1">IFERROR(__xludf.DUMMYFUNCTION("""COMPUTED_VALUE"""),"")</f>
        <v/>
      </c>
      <c r="AT156" s="2" t="str">
        <f ca="1">IFERROR(__xludf.DUMMYFUNCTION("""COMPUTED_VALUE"""),"")</f>
        <v/>
      </c>
      <c r="AU156" s="2" t="str">
        <f ca="1">IFERROR(__xludf.DUMMYFUNCTION("""COMPUTED_VALUE"""),"")</f>
        <v/>
      </c>
      <c r="AV156" s="2" t="str">
        <f ca="1">IFERROR(__xludf.DUMMYFUNCTION("""COMPUTED_VALUE"""),"")</f>
        <v/>
      </c>
      <c r="AW156" s="2" t="str">
        <f ca="1">IFERROR(__xludf.DUMMYFUNCTION("""COMPUTED_VALUE"""),"")</f>
        <v/>
      </c>
      <c r="AX156" s="2" t="str">
        <f ca="1">IFERROR(__xludf.DUMMYFUNCTION("""COMPUTED_VALUE"""),"")</f>
        <v/>
      </c>
      <c r="AY156" s="2" t="str">
        <f ca="1">IFERROR(__xludf.DUMMYFUNCTION("""COMPUTED_VALUE"""),"")</f>
        <v/>
      </c>
      <c r="AZ156" s="2" t="str">
        <f ca="1">IFERROR(__xludf.DUMMYFUNCTION("""COMPUTED_VALUE"""),"")</f>
        <v/>
      </c>
      <c r="BA156" s="2" t="str">
        <f ca="1">IFERROR(__xludf.DUMMYFUNCTION("""COMPUTED_VALUE"""),"")</f>
        <v/>
      </c>
      <c r="BB156" s="2" t="str">
        <f ca="1">IFERROR(__xludf.DUMMYFUNCTION("""COMPUTED_VALUE"""),"")</f>
        <v/>
      </c>
      <c r="BC156" s="2" t="str">
        <f ca="1">IFERROR(__xludf.DUMMYFUNCTION("""COMPUTED_VALUE"""),"")</f>
        <v/>
      </c>
      <c r="BD156" s="2" t="str">
        <f ca="1">IFERROR(__xludf.DUMMYFUNCTION("""COMPUTED_VALUE"""),"")</f>
        <v/>
      </c>
      <c r="BE156" s="2" t="str">
        <f ca="1">IFERROR(__xludf.DUMMYFUNCTION("""COMPUTED_VALUE"""),"")</f>
        <v/>
      </c>
      <c r="BF156" t="str">
        <f ca="1">IFERROR(__xludf.DUMMYFUNCTION("""COMPUTED_VALUE"""),"")</f>
        <v/>
      </c>
      <c r="BG156" t="str">
        <f ca="1">IFERROR(__xludf.DUMMYFUNCTION("""COMPUTED_VALUE"""),"")</f>
        <v/>
      </c>
      <c r="BH156" s="2">
        <f ca="1">IFERROR(__xludf.DUMMYFUNCTION("""COMPUTED_VALUE"""),-37.2892036)</f>
        <v>-37.2892036</v>
      </c>
      <c r="BI156" s="13">
        <f ca="1">IFERROR(__xludf.DUMMYFUNCTION("""COMPUTED_VALUE"""),175.1286163)</f>
        <v>175.1286163</v>
      </c>
      <c r="BJ156" s="9">
        <f ca="1">IFERROR(__xludf.DUMMYFUNCTION("""COMPUTED_VALUE"""),43462)</f>
        <v>43462</v>
      </c>
      <c r="BK156" s="4">
        <f ca="1">IFERROR(__xludf.DUMMYFUNCTION("""COMPUTED_VALUE"""),0.875555555554456)</f>
        <v>0.87555555555445597</v>
      </c>
    </row>
    <row r="157" spans="1:63" ht="12.5" x14ac:dyDescent="0.25">
      <c r="A157" s="7" t="str">
        <f ca="1">IFERROR(__xludf.DUMMYFUNCTION("""COMPUTED_VALUE"""),"")</f>
        <v/>
      </c>
      <c r="B157" s="8" t="str">
        <f ca="1">IFERROR(__xludf.DUMMYFUNCTION("""COMPUTED_VALUE"""),"Waikato")</f>
        <v>Waikato</v>
      </c>
      <c r="C157" s="2">
        <f ca="1">IFERROR(__xludf.DUMMYFUNCTION("""COMPUTED_VALUE"""),64)</f>
        <v>64</v>
      </c>
      <c r="D157" s="9" t="str">
        <f ca="1">IFERROR(__xludf.DUMMYFUNCTION("""COMPUTED_VALUE"""),"")</f>
        <v/>
      </c>
      <c r="E157" s="4" t="str">
        <f ca="1">IFERROR(__xludf.DUMMYFUNCTION("""COMPUTED_VALUE"""),"")</f>
        <v/>
      </c>
      <c r="F157" s="2" t="str">
        <f ca="1">IFERROR(__xludf.DUMMYFUNCTION("""COMPUTED_VALUE"""),"")</f>
        <v/>
      </c>
      <c r="G157" s="2" t="str">
        <f ca="1">IFERROR(__xludf.DUMMYFUNCTION("""COMPUTED_VALUE"""),"GPS: I converted data downloaded from ARGOS using Pinpoint software")</f>
        <v>GPS: I converted data downloaded from ARGOS using Pinpoint software</v>
      </c>
      <c r="H157" s="2" t="str">
        <f ca="1">IFERROR(__xludf.DUMMYFUNCTION("""COMPUTED_VALUE"""),"3D")</f>
        <v>3D</v>
      </c>
      <c r="I157" s="2" t="str">
        <f ca="1">IFERROR(__xludf.DUMMYFUNCTION("""COMPUTED_VALUE"""),"")</f>
        <v/>
      </c>
      <c r="J157" s="2" t="str">
        <f ca="1">IFERROR(__xludf.DUMMYFUNCTION("""COMPUTED_VALUE"""),"")</f>
        <v/>
      </c>
      <c r="K157" s="2" t="str">
        <f ca="1">IFERROR(__xludf.DUMMYFUNCTION("""COMPUTED_VALUE"""),"")</f>
        <v/>
      </c>
      <c r="L157" s="2" t="str">
        <f ca="1">IFERROR(__xludf.DUMMYFUNCTION("""COMPUTED_VALUE"""),"")</f>
        <v/>
      </c>
      <c r="M157" s="5" t="str">
        <f ca="1">IFERROR(__xludf.DUMMYFUNCTION("""COMPUTED_VALUE"""),"")</f>
        <v/>
      </c>
      <c r="N157" s="5" t="str">
        <f ca="1">IFERROR(__xludf.DUMMYFUNCTION("""COMPUTED_VALUE"""),"")</f>
        <v/>
      </c>
      <c r="O157" s="2" t="str">
        <f ca="1">IFERROR(__xludf.DUMMYFUNCTION("""COMPUTED_VALUE"""),"")</f>
        <v/>
      </c>
      <c r="P157" s="2" t="str">
        <f ca="1">IFERROR(__xludf.DUMMYFUNCTION("""COMPUTED_VALUE"""),"")</f>
        <v/>
      </c>
      <c r="Q157" s="2" t="str">
        <f ca="1">IFERROR(__xludf.DUMMYFUNCTION("""COMPUTED_VALUE"""),"")</f>
        <v/>
      </c>
      <c r="R157" s="2" t="str">
        <f ca="1">IFERROR(__xludf.DUMMYFUNCTION("""COMPUTED_VALUE"""),"")</f>
        <v/>
      </c>
      <c r="S157" s="2" t="str">
        <f ca="1">IFERROR(__xludf.DUMMYFUNCTION("""COMPUTED_VALUE"""),"")</f>
        <v/>
      </c>
      <c r="T157" s="2" t="str">
        <f ca="1">IFERROR(__xludf.DUMMYFUNCTION("""COMPUTED_VALUE"""),"")</f>
        <v/>
      </c>
      <c r="U157" s="2" t="str">
        <f ca="1">IFERROR(__xludf.DUMMYFUNCTION("""COMPUTED_VALUE"""),"")</f>
        <v/>
      </c>
      <c r="V157" s="2" t="str">
        <f ca="1">IFERROR(__xludf.DUMMYFUNCTION("""COMPUTED_VALUE"""),"")</f>
        <v/>
      </c>
      <c r="W157" s="2" t="str">
        <f ca="1">IFERROR(__xludf.DUMMYFUNCTION("""COMPUTED_VALUE"""),"")</f>
        <v/>
      </c>
      <c r="X157" s="2" t="str">
        <f ca="1">IFERROR(__xludf.DUMMYFUNCTION("""COMPUTED_VALUE"""),"")</f>
        <v/>
      </c>
      <c r="Y157" s="2" t="str">
        <f ca="1">IFERROR(__xludf.DUMMYFUNCTION("""COMPUTED_VALUE"""),"")</f>
        <v/>
      </c>
      <c r="Z157" s="2" t="str">
        <f ca="1">IFERROR(__xludf.DUMMYFUNCTION("""COMPUTED_VALUE"""),"")</f>
        <v/>
      </c>
      <c r="AA157" s="2" t="str">
        <f ca="1">IFERROR(__xludf.DUMMYFUNCTION("""COMPUTED_VALUE"""),"")</f>
        <v/>
      </c>
      <c r="AB157" s="2" t="str">
        <f ca="1">IFERROR(__xludf.DUMMYFUNCTION("""COMPUTED_VALUE"""),"")</f>
        <v/>
      </c>
      <c r="AC157" s="2" t="str">
        <f ca="1">IFERROR(__xludf.DUMMYFUNCTION("""COMPUTED_VALUE"""),"")</f>
        <v/>
      </c>
      <c r="AD157" s="2" t="str">
        <f ca="1">IFERROR(__xludf.DUMMYFUNCTION("""COMPUTED_VALUE"""),"")</f>
        <v/>
      </c>
      <c r="AE157" s="2" t="str">
        <f ca="1">IFERROR(__xludf.DUMMYFUNCTION("""COMPUTED_VALUE"""),"")</f>
        <v/>
      </c>
      <c r="AF157" s="2" t="str">
        <f ca="1">IFERROR(__xludf.DUMMYFUNCTION("""COMPUTED_VALUE"""),"")</f>
        <v/>
      </c>
      <c r="AG157" s="2" t="str">
        <f ca="1">IFERROR(__xludf.DUMMYFUNCTION("""COMPUTED_VALUE"""),"")</f>
        <v/>
      </c>
      <c r="AH157" s="2" t="str">
        <f ca="1">IFERROR(__xludf.DUMMYFUNCTION("""COMPUTED_VALUE"""),"")</f>
        <v/>
      </c>
      <c r="AI157" s="2" t="str">
        <f ca="1">IFERROR(__xludf.DUMMYFUNCTION("""COMPUTED_VALUE"""),"")</f>
        <v/>
      </c>
      <c r="AJ157" s="2" t="str">
        <f ca="1">IFERROR(__xludf.DUMMYFUNCTION("""COMPUTED_VALUE"""),"")</f>
        <v/>
      </c>
      <c r="AK157" s="2" t="str">
        <f ca="1">IFERROR(__xludf.DUMMYFUNCTION("""COMPUTED_VALUE"""),"")</f>
        <v/>
      </c>
      <c r="AL157" s="2" t="str">
        <f ca="1">IFERROR(__xludf.DUMMYFUNCTION("""COMPUTED_VALUE"""),"")</f>
        <v/>
      </c>
      <c r="AM157" s="2" t="str">
        <f ca="1">IFERROR(__xludf.DUMMYFUNCTION("""COMPUTED_VALUE"""),"")</f>
        <v/>
      </c>
      <c r="AN157" s="2" t="str">
        <f ca="1">IFERROR(__xludf.DUMMYFUNCTION("""COMPUTED_VALUE"""),"")</f>
        <v/>
      </c>
      <c r="AO157" s="2" t="str">
        <f ca="1">IFERROR(__xludf.DUMMYFUNCTION("""COMPUTED_VALUE"""),"")</f>
        <v/>
      </c>
      <c r="AP157" s="2" t="str">
        <f ca="1">IFERROR(__xludf.DUMMYFUNCTION("""COMPUTED_VALUE"""),"")</f>
        <v/>
      </c>
      <c r="AQ157" s="2" t="str">
        <f ca="1">IFERROR(__xludf.DUMMYFUNCTION("""COMPUTED_VALUE"""),"")</f>
        <v/>
      </c>
      <c r="AR157" s="2" t="str">
        <f ca="1">IFERROR(__xludf.DUMMYFUNCTION("""COMPUTED_VALUE"""),"")</f>
        <v/>
      </c>
      <c r="AS157" s="2" t="str">
        <f ca="1">IFERROR(__xludf.DUMMYFUNCTION("""COMPUTED_VALUE"""),"")</f>
        <v/>
      </c>
      <c r="AT157" s="2" t="str">
        <f ca="1">IFERROR(__xludf.DUMMYFUNCTION("""COMPUTED_VALUE"""),"")</f>
        <v/>
      </c>
      <c r="AU157" s="2" t="str">
        <f ca="1">IFERROR(__xludf.DUMMYFUNCTION("""COMPUTED_VALUE"""),"")</f>
        <v/>
      </c>
      <c r="AV157" s="2" t="str">
        <f ca="1">IFERROR(__xludf.DUMMYFUNCTION("""COMPUTED_VALUE"""),"")</f>
        <v/>
      </c>
      <c r="AW157" s="2" t="str">
        <f ca="1">IFERROR(__xludf.DUMMYFUNCTION("""COMPUTED_VALUE"""),"")</f>
        <v/>
      </c>
      <c r="AX157" s="2" t="str">
        <f ca="1">IFERROR(__xludf.DUMMYFUNCTION("""COMPUTED_VALUE"""),"")</f>
        <v/>
      </c>
      <c r="AY157" s="2" t="str">
        <f ca="1">IFERROR(__xludf.DUMMYFUNCTION("""COMPUTED_VALUE"""),"")</f>
        <v/>
      </c>
      <c r="AZ157" s="2" t="str">
        <f ca="1">IFERROR(__xludf.DUMMYFUNCTION("""COMPUTED_VALUE"""),"")</f>
        <v/>
      </c>
      <c r="BA157" s="2" t="str">
        <f ca="1">IFERROR(__xludf.DUMMYFUNCTION("""COMPUTED_VALUE"""),"")</f>
        <v/>
      </c>
      <c r="BB157" s="2" t="str">
        <f ca="1">IFERROR(__xludf.DUMMYFUNCTION("""COMPUTED_VALUE"""),"")</f>
        <v/>
      </c>
      <c r="BC157" s="2" t="str">
        <f ca="1">IFERROR(__xludf.DUMMYFUNCTION("""COMPUTED_VALUE"""),"")</f>
        <v/>
      </c>
      <c r="BD157" s="2" t="str">
        <f ca="1">IFERROR(__xludf.DUMMYFUNCTION("""COMPUTED_VALUE"""),"")</f>
        <v/>
      </c>
      <c r="BE157" s="2" t="str">
        <f ca="1">IFERROR(__xludf.DUMMYFUNCTION("""COMPUTED_VALUE"""),"")</f>
        <v/>
      </c>
      <c r="BF157" t="str">
        <f ca="1">IFERROR(__xludf.DUMMYFUNCTION("""COMPUTED_VALUE"""),"")</f>
        <v/>
      </c>
      <c r="BG157" t="str">
        <f ca="1">IFERROR(__xludf.DUMMYFUNCTION("""COMPUTED_VALUE"""),"")</f>
        <v/>
      </c>
      <c r="BH157" s="2">
        <f ca="1">IFERROR(__xludf.DUMMYFUNCTION("""COMPUTED_VALUE"""),-37.2875137)</f>
        <v>-37.287513699999998</v>
      </c>
      <c r="BI157" s="12">
        <f ca="1">IFERROR(__xludf.DUMMYFUNCTION("""COMPUTED_VALUE"""),175.1428986)</f>
        <v>175.1428986</v>
      </c>
      <c r="BJ157" s="9">
        <f ca="1">IFERROR(__xludf.DUMMYFUNCTION("""COMPUTED_VALUE"""),43462)</f>
        <v>43462</v>
      </c>
      <c r="BK157" s="4">
        <f ca="1">IFERROR(__xludf.DUMMYFUNCTION("""COMPUTED_VALUE"""),0.958518518516939)</f>
        <v>0.95851851851693903</v>
      </c>
    </row>
    <row r="158" spans="1:63" ht="12.5" x14ac:dyDescent="0.25">
      <c r="A158" s="7" t="str">
        <f ca="1">IFERROR(__xludf.DUMMYFUNCTION("""COMPUTED_VALUE"""),"")</f>
        <v/>
      </c>
      <c r="B158" s="8" t="str">
        <f ca="1">IFERROR(__xludf.DUMMYFUNCTION("""COMPUTED_VALUE"""),"Waikato")</f>
        <v>Waikato</v>
      </c>
      <c r="C158" s="2">
        <f ca="1">IFERROR(__xludf.DUMMYFUNCTION("""COMPUTED_VALUE"""),64)</f>
        <v>64</v>
      </c>
      <c r="D158" s="9" t="str">
        <f ca="1">IFERROR(__xludf.DUMMYFUNCTION("""COMPUTED_VALUE"""),"")</f>
        <v/>
      </c>
      <c r="E158" s="4" t="str">
        <f ca="1">IFERROR(__xludf.DUMMYFUNCTION("""COMPUTED_VALUE"""),"")</f>
        <v/>
      </c>
      <c r="F158" s="2" t="str">
        <f ca="1">IFERROR(__xludf.DUMMYFUNCTION("""COMPUTED_VALUE"""),"")</f>
        <v/>
      </c>
      <c r="G158" s="2" t="str">
        <f ca="1">IFERROR(__xludf.DUMMYFUNCTION("""COMPUTED_VALUE"""),"GPS: I converted data downloaded from ARGOS using Pinpoint software")</f>
        <v>GPS: I converted data downloaded from ARGOS using Pinpoint software</v>
      </c>
      <c r="H158" s="2" t="str">
        <f ca="1">IFERROR(__xludf.DUMMYFUNCTION("""COMPUTED_VALUE"""),"3D")</f>
        <v>3D</v>
      </c>
      <c r="I158" s="2" t="str">
        <f ca="1">IFERROR(__xludf.DUMMYFUNCTION("""COMPUTED_VALUE"""),"")</f>
        <v/>
      </c>
      <c r="J158" s="2" t="str">
        <f ca="1">IFERROR(__xludf.DUMMYFUNCTION("""COMPUTED_VALUE"""),"")</f>
        <v/>
      </c>
      <c r="K158" s="2" t="str">
        <f ca="1">IFERROR(__xludf.DUMMYFUNCTION("""COMPUTED_VALUE"""),"")</f>
        <v/>
      </c>
      <c r="L158" s="2" t="str">
        <f ca="1">IFERROR(__xludf.DUMMYFUNCTION("""COMPUTED_VALUE"""),"")</f>
        <v/>
      </c>
      <c r="M158" s="5" t="str">
        <f ca="1">IFERROR(__xludf.DUMMYFUNCTION("""COMPUTED_VALUE"""),"")</f>
        <v/>
      </c>
      <c r="N158" s="5" t="str">
        <f ca="1">IFERROR(__xludf.DUMMYFUNCTION("""COMPUTED_VALUE"""),"")</f>
        <v/>
      </c>
      <c r="O158" s="2" t="str">
        <f ca="1">IFERROR(__xludf.DUMMYFUNCTION("""COMPUTED_VALUE"""),"")</f>
        <v/>
      </c>
      <c r="P158" s="2" t="str">
        <f ca="1">IFERROR(__xludf.DUMMYFUNCTION("""COMPUTED_VALUE"""),"")</f>
        <v/>
      </c>
      <c r="Q158" s="2" t="str">
        <f ca="1">IFERROR(__xludf.DUMMYFUNCTION("""COMPUTED_VALUE"""),"")</f>
        <v/>
      </c>
      <c r="R158" s="2" t="str">
        <f ca="1">IFERROR(__xludf.DUMMYFUNCTION("""COMPUTED_VALUE"""),"")</f>
        <v/>
      </c>
      <c r="S158" s="2" t="str">
        <f ca="1">IFERROR(__xludf.DUMMYFUNCTION("""COMPUTED_VALUE"""),"")</f>
        <v/>
      </c>
      <c r="T158" s="2" t="str">
        <f ca="1">IFERROR(__xludf.DUMMYFUNCTION("""COMPUTED_VALUE"""),"")</f>
        <v/>
      </c>
      <c r="U158" s="2" t="str">
        <f ca="1">IFERROR(__xludf.DUMMYFUNCTION("""COMPUTED_VALUE"""),"")</f>
        <v/>
      </c>
      <c r="V158" s="2" t="str">
        <f ca="1">IFERROR(__xludf.DUMMYFUNCTION("""COMPUTED_VALUE"""),"")</f>
        <v/>
      </c>
      <c r="W158" s="2" t="str">
        <f ca="1">IFERROR(__xludf.DUMMYFUNCTION("""COMPUTED_VALUE"""),"")</f>
        <v/>
      </c>
      <c r="X158" s="2" t="str">
        <f ca="1">IFERROR(__xludf.DUMMYFUNCTION("""COMPUTED_VALUE"""),"")</f>
        <v/>
      </c>
      <c r="Y158" s="2" t="str">
        <f ca="1">IFERROR(__xludf.DUMMYFUNCTION("""COMPUTED_VALUE"""),"")</f>
        <v/>
      </c>
      <c r="Z158" s="2" t="str">
        <f ca="1">IFERROR(__xludf.DUMMYFUNCTION("""COMPUTED_VALUE"""),"")</f>
        <v/>
      </c>
      <c r="AA158" s="2" t="str">
        <f ca="1">IFERROR(__xludf.DUMMYFUNCTION("""COMPUTED_VALUE"""),"")</f>
        <v/>
      </c>
      <c r="AB158" s="2" t="str">
        <f ca="1">IFERROR(__xludf.DUMMYFUNCTION("""COMPUTED_VALUE"""),"")</f>
        <v/>
      </c>
      <c r="AC158" s="2" t="str">
        <f ca="1">IFERROR(__xludf.DUMMYFUNCTION("""COMPUTED_VALUE"""),"")</f>
        <v/>
      </c>
      <c r="AD158" s="2" t="str">
        <f ca="1">IFERROR(__xludf.DUMMYFUNCTION("""COMPUTED_VALUE"""),"")</f>
        <v/>
      </c>
      <c r="AE158" s="2" t="str">
        <f ca="1">IFERROR(__xludf.DUMMYFUNCTION("""COMPUTED_VALUE"""),"")</f>
        <v/>
      </c>
      <c r="AF158" s="2" t="str">
        <f ca="1">IFERROR(__xludf.DUMMYFUNCTION("""COMPUTED_VALUE"""),"")</f>
        <v/>
      </c>
      <c r="AG158" s="2" t="str">
        <f ca="1">IFERROR(__xludf.DUMMYFUNCTION("""COMPUTED_VALUE"""),"")</f>
        <v/>
      </c>
      <c r="AH158" s="2" t="str">
        <f ca="1">IFERROR(__xludf.DUMMYFUNCTION("""COMPUTED_VALUE"""),"")</f>
        <v/>
      </c>
      <c r="AI158" s="2" t="str">
        <f ca="1">IFERROR(__xludf.DUMMYFUNCTION("""COMPUTED_VALUE"""),"")</f>
        <v/>
      </c>
      <c r="AJ158" s="2" t="str">
        <f ca="1">IFERROR(__xludf.DUMMYFUNCTION("""COMPUTED_VALUE"""),"")</f>
        <v/>
      </c>
      <c r="AK158" s="2" t="str">
        <f ca="1">IFERROR(__xludf.DUMMYFUNCTION("""COMPUTED_VALUE"""),"")</f>
        <v/>
      </c>
      <c r="AL158" s="2" t="str">
        <f ca="1">IFERROR(__xludf.DUMMYFUNCTION("""COMPUTED_VALUE"""),"")</f>
        <v/>
      </c>
      <c r="AM158" s="2" t="str">
        <f ca="1">IFERROR(__xludf.DUMMYFUNCTION("""COMPUTED_VALUE"""),"")</f>
        <v/>
      </c>
      <c r="AN158" s="2" t="str">
        <f ca="1">IFERROR(__xludf.DUMMYFUNCTION("""COMPUTED_VALUE"""),"")</f>
        <v/>
      </c>
      <c r="AO158" s="2" t="str">
        <f ca="1">IFERROR(__xludf.DUMMYFUNCTION("""COMPUTED_VALUE"""),"")</f>
        <v/>
      </c>
      <c r="AP158" s="2" t="str">
        <f ca="1">IFERROR(__xludf.DUMMYFUNCTION("""COMPUTED_VALUE"""),"")</f>
        <v/>
      </c>
      <c r="AQ158" s="2" t="str">
        <f ca="1">IFERROR(__xludf.DUMMYFUNCTION("""COMPUTED_VALUE"""),"")</f>
        <v/>
      </c>
      <c r="AR158" s="2" t="str">
        <f ca="1">IFERROR(__xludf.DUMMYFUNCTION("""COMPUTED_VALUE"""),"")</f>
        <v/>
      </c>
      <c r="AS158" s="2" t="str">
        <f ca="1">IFERROR(__xludf.DUMMYFUNCTION("""COMPUTED_VALUE"""),"")</f>
        <v/>
      </c>
      <c r="AT158" s="2" t="str">
        <f ca="1">IFERROR(__xludf.DUMMYFUNCTION("""COMPUTED_VALUE"""),"")</f>
        <v/>
      </c>
      <c r="AU158" s="2" t="str">
        <f ca="1">IFERROR(__xludf.DUMMYFUNCTION("""COMPUTED_VALUE"""),"")</f>
        <v/>
      </c>
      <c r="AV158" s="2" t="str">
        <f ca="1">IFERROR(__xludf.DUMMYFUNCTION("""COMPUTED_VALUE"""),"")</f>
        <v/>
      </c>
      <c r="AW158" s="2" t="str">
        <f ca="1">IFERROR(__xludf.DUMMYFUNCTION("""COMPUTED_VALUE"""),"")</f>
        <v/>
      </c>
      <c r="AX158" s="2" t="str">
        <f ca="1">IFERROR(__xludf.DUMMYFUNCTION("""COMPUTED_VALUE"""),"")</f>
        <v/>
      </c>
      <c r="AY158" s="2" t="str">
        <f ca="1">IFERROR(__xludf.DUMMYFUNCTION("""COMPUTED_VALUE"""),"")</f>
        <v/>
      </c>
      <c r="AZ158" s="2" t="str">
        <f ca="1">IFERROR(__xludf.DUMMYFUNCTION("""COMPUTED_VALUE"""),"")</f>
        <v/>
      </c>
      <c r="BA158" s="2" t="str">
        <f ca="1">IFERROR(__xludf.DUMMYFUNCTION("""COMPUTED_VALUE"""),"")</f>
        <v/>
      </c>
      <c r="BB158" s="2" t="str">
        <f ca="1">IFERROR(__xludf.DUMMYFUNCTION("""COMPUTED_VALUE"""),"")</f>
        <v/>
      </c>
      <c r="BC158" s="2" t="str">
        <f ca="1">IFERROR(__xludf.DUMMYFUNCTION("""COMPUTED_VALUE"""),"")</f>
        <v/>
      </c>
      <c r="BD158" s="2" t="str">
        <f ca="1">IFERROR(__xludf.DUMMYFUNCTION("""COMPUTED_VALUE"""),"")</f>
        <v/>
      </c>
      <c r="BE158" s="2" t="str">
        <f ca="1">IFERROR(__xludf.DUMMYFUNCTION("""COMPUTED_VALUE"""),"")</f>
        <v/>
      </c>
      <c r="BF158" t="str">
        <f ca="1">IFERROR(__xludf.DUMMYFUNCTION("""COMPUTED_VALUE"""),"")</f>
        <v/>
      </c>
      <c r="BG158" t="str">
        <f ca="1">IFERROR(__xludf.DUMMYFUNCTION("""COMPUTED_VALUE"""),"")</f>
        <v/>
      </c>
      <c r="BH158" s="2">
        <f ca="1">IFERROR(__xludf.DUMMYFUNCTION("""COMPUTED_VALUE"""),-37.3458557)</f>
        <v>-37.345855700000001</v>
      </c>
      <c r="BI158" s="13">
        <f ca="1">IFERROR(__xludf.DUMMYFUNCTION("""COMPUTED_VALUE"""),175.1594086)</f>
        <v>175.15940860000001</v>
      </c>
      <c r="BJ158" s="9">
        <f ca="1">IFERROR(__xludf.DUMMYFUNCTION("""COMPUTED_VALUE"""),43464)</f>
        <v>43464</v>
      </c>
      <c r="BK158" s="4">
        <f ca="1">IFERROR(__xludf.DUMMYFUNCTION("""COMPUTED_VALUE"""),0.457777777777664)</f>
        <v>0.45777777777766399</v>
      </c>
    </row>
    <row r="159" spans="1:63" ht="12.5" x14ac:dyDescent="0.25">
      <c r="A159" s="7" t="str">
        <f ca="1">IFERROR(__xludf.DUMMYFUNCTION("""COMPUTED_VALUE"""),"")</f>
        <v/>
      </c>
      <c r="B159" s="8" t="str">
        <f ca="1">IFERROR(__xludf.DUMMYFUNCTION("""COMPUTED_VALUE"""),"Waikato")</f>
        <v>Waikato</v>
      </c>
      <c r="C159" s="2">
        <f ca="1">IFERROR(__xludf.DUMMYFUNCTION("""COMPUTED_VALUE"""),64)</f>
        <v>64</v>
      </c>
      <c r="D159" s="9" t="str">
        <f ca="1">IFERROR(__xludf.DUMMYFUNCTION("""COMPUTED_VALUE"""),"")</f>
        <v/>
      </c>
      <c r="E159" s="4" t="str">
        <f ca="1">IFERROR(__xludf.DUMMYFUNCTION("""COMPUTED_VALUE"""),"")</f>
        <v/>
      </c>
      <c r="F159" s="2" t="str">
        <f ca="1">IFERROR(__xludf.DUMMYFUNCTION("""COMPUTED_VALUE"""),"")</f>
        <v/>
      </c>
      <c r="G159" s="2" t="str">
        <f ca="1">IFERROR(__xludf.DUMMYFUNCTION("""COMPUTED_VALUE"""),"GPS: I converted data downloaded from ARGOS using Pinpoint software")</f>
        <v>GPS: I converted data downloaded from ARGOS using Pinpoint software</v>
      </c>
      <c r="H159" s="2" t="str">
        <f ca="1">IFERROR(__xludf.DUMMYFUNCTION("""COMPUTED_VALUE"""),"3D")</f>
        <v>3D</v>
      </c>
      <c r="I159" s="2" t="str">
        <f ca="1">IFERROR(__xludf.DUMMYFUNCTION("""COMPUTED_VALUE"""),"")</f>
        <v/>
      </c>
      <c r="J159" s="2" t="str">
        <f ca="1">IFERROR(__xludf.DUMMYFUNCTION("""COMPUTED_VALUE"""),"")</f>
        <v/>
      </c>
      <c r="K159" s="2" t="str">
        <f ca="1">IFERROR(__xludf.DUMMYFUNCTION("""COMPUTED_VALUE"""),"")</f>
        <v/>
      </c>
      <c r="L159" s="2" t="str">
        <f ca="1">IFERROR(__xludf.DUMMYFUNCTION("""COMPUTED_VALUE"""),"")</f>
        <v/>
      </c>
      <c r="M159" s="5" t="str">
        <f ca="1">IFERROR(__xludf.DUMMYFUNCTION("""COMPUTED_VALUE"""),"")</f>
        <v/>
      </c>
      <c r="N159" s="5" t="str">
        <f ca="1">IFERROR(__xludf.DUMMYFUNCTION("""COMPUTED_VALUE"""),"")</f>
        <v/>
      </c>
      <c r="O159" s="2" t="str">
        <f ca="1">IFERROR(__xludf.DUMMYFUNCTION("""COMPUTED_VALUE"""),"")</f>
        <v/>
      </c>
      <c r="P159" s="2" t="str">
        <f ca="1">IFERROR(__xludf.DUMMYFUNCTION("""COMPUTED_VALUE"""),"")</f>
        <v/>
      </c>
      <c r="Q159" s="2" t="str">
        <f ca="1">IFERROR(__xludf.DUMMYFUNCTION("""COMPUTED_VALUE"""),"")</f>
        <v/>
      </c>
      <c r="R159" s="2" t="str">
        <f ca="1">IFERROR(__xludf.DUMMYFUNCTION("""COMPUTED_VALUE"""),"")</f>
        <v/>
      </c>
      <c r="S159" s="2" t="str">
        <f ca="1">IFERROR(__xludf.DUMMYFUNCTION("""COMPUTED_VALUE"""),"")</f>
        <v/>
      </c>
      <c r="T159" s="2" t="str">
        <f ca="1">IFERROR(__xludf.DUMMYFUNCTION("""COMPUTED_VALUE"""),"")</f>
        <v/>
      </c>
      <c r="U159" s="2" t="str">
        <f ca="1">IFERROR(__xludf.DUMMYFUNCTION("""COMPUTED_VALUE"""),"")</f>
        <v/>
      </c>
      <c r="V159" s="2" t="str">
        <f ca="1">IFERROR(__xludf.DUMMYFUNCTION("""COMPUTED_VALUE"""),"")</f>
        <v/>
      </c>
      <c r="W159" s="2" t="str">
        <f ca="1">IFERROR(__xludf.DUMMYFUNCTION("""COMPUTED_VALUE"""),"")</f>
        <v/>
      </c>
      <c r="X159" s="2" t="str">
        <f ca="1">IFERROR(__xludf.DUMMYFUNCTION("""COMPUTED_VALUE"""),"")</f>
        <v/>
      </c>
      <c r="Y159" s="2" t="str">
        <f ca="1">IFERROR(__xludf.DUMMYFUNCTION("""COMPUTED_VALUE"""),"")</f>
        <v/>
      </c>
      <c r="Z159" s="2" t="str">
        <f ca="1">IFERROR(__xludf.DUMMYFUNCTION("""COMPUTED_VALUE"""),"")</f>
        <v/>
      </c>
      <c r="AA159" s="2" t="str">
        <f ca="1">IFERROR(__xludf.DUMMYFUNCTION("""COMPUTED_VALUE"""),"")</f>
        <v/>
      </c>
      <c r="AB159" s="2" t="str">
        <f ca="1">IFERROR(__xludf.DUMMYFUNCTION("""COMPUTED_VALUE"""),"")</f>
        <v/>
      </c>
      <c r="AC159" s="2" t="str">
        <f ca="1">IFERROR(__xludf.DUMMYFUNCTION("""COMPUTED_VALUE"""),"")</f>
        <v/>
      </c>
      <c r="AD159" s="2" t="str">
        <f ca="1">IFERROR(__xludf.DUMMYFUNCTION("""COMPUTED_VALUE"""),"")</f>
        <v/>
      </c>
      <c r="AE159" s="2" t="str">
        <f ca="1">IFERROR(__xludf.DUMMYFUNCTION("""COMPUTED_VALUE"""),"")</f>
        <v/>
      </c>
      <c r="AF159" s="2" t="str">
        <f ca="1">IFERROR(__xludf.DUMMYFUNCTION("""COMPUTED_VALUE"""),"")</f>
        <v/>
      </c>
      <c r="AG159" s="2" t="str">
        <f ca="1">IFERROR(__xludf.DUMMYFUNCTION("""COMPUTED_VALUE"""),"")</f>
        <v/>
      </c>
      <c r="AH159" s="2" t="str">
        <f ca="1">IFERROR(__xludf.DUMMYFUNCTION("""COMPUTED_VALUE"""),"")</f>
        <v/>
      </c>
      <c r="AI159" s="2" t="str">
        <f ca="1">IFERROR(__xludf.DUMMYFUNCTION("""COMPUTED_VALUE"""),"")</f>
        <v/>
      </c>
      <c r="AJ159" s="2" t="str">
        <f ca="1">IFERROR(__xludf.DUMMYFUNCTION("""COMPUTED_VALUE"""),"")</f>
        <v/>
      </c>
      <c r="AK159" s="2" t="str">
        <f ca="1">IFERROR(__xludf.DUMMYFUNCTION("""COMPUTED_VALUE"""),"")</f>
        <v/>
      </c>
      <c r="AL159" s="2" t="str">
        <f ca="1">IFERROR(__xludf.DUMMYFUNCTION("""COMPUTED_VALUE"""),"")</f>
        <v/>
      </c>
      <c r="AM159" s="2" t="str">
        <f ca="1">IFERROR(__xludf.DUMMYFUNCTION("""COMPUTED_VALUE"""),"")</f>
        <v/>
      </c>
      <c r="AN159" s="2" t="str">
        <f ca="1">IFERROR(__xludf.DUMMYFUNCTION("""COMPUTED_VALUE"""),"")</f>
        <v/>
      </c>
      <c r="AO159" s="2" t="str">
        <f ca="1">IFERROR(__xludf.DUMMYFUNCTION("""COMPUTED_VALUE"""),"")</f>
        <v/>
      </c>
      <c r="AP159" s="2" t="str">
        <f ca="1">IFERROR(__xludf.DUMMYFUNCTION("""COMPUTED_VALUE"""),"")</f>
        <v/>
      </c>
      <c r="AQ159" s="2" t="str">
        <f ca="1">IFERROR(__xludf.DUMMYFUNCTION("""COMPUTED_VALUE"""),"")</f>
        <v/>
      </c>
      <c r="AR159" s="2" t="str">
        <f ca="1">IFERROR(__xludf.DUMMYFUNCTION("""COMPUTED_VALUE"""),"")</f>
        <v/>
      </c>
      <c r="AS159" s="2" t="str">
        <f ca="1">IFERROR(__xludf.DUMMYFUNCTION("""COMPUTED_VALUE"""),"")</f>
        <v/>
      </c>
      <c r="AT159" s="2" t="str">
        <f ca="1">IFERROR(__xludf.DUMMYFUNCTION("""COMPUTED_VALUE"""),"")</f>
        <v/>
      </c>
      <c r="AU159" s="2" t="str">
        <f ca="1">IFERROR(__xludf.DUMMYFUNCTION("""COMPUTED_VALUE"""),"")</f>
        <v/>
      </c>
      <c r="AV159" s="2" t="str">
        <f ca="1">IFERROR(__xludf.DUMMYFUNCTION("""COMPUTED_VALUE"""),"")</f>
        <v/>
      </c>
      <c r="AW159" s="2" t="str">
        <f ca="1">IFERROR(__xludf.DUMMYFUNCTION("""COMPUTED_VALUE"""),"")</f>
        <v/>
      </c>
      <c r="AX159" s="2" t="str">
        <f ca="1">IFERROR(__xludf.DUMMYFUNCTION("""COMPUTED_VALUE"""),"")</f>
        <v/>
      </c>
      <c r="AY159" s="2" t="str">
        <f ca="1">IFERROR(__xludf.DUMMYFUNCTION("""COMPUTED_VALUE"""),"")</f>
        <v/>
      </c>
      <c r="AZ159" s="2" t="str">
        <f ca="1">IFERROR(__xludf.DUMMYFUNCTION("""COMPUTED_VALUE"""),"")</f>
        <v/>
      </c>
      <c r="BA159" s="2" t="str">
        <f ca="1">IFERROR(__xludf.DUMMYFUNCTION("""COMPUTED_VALUE"""),"")</f>
        <v/>
      </c>
      <c r="BB159" s="2" t="str">
        <f ca="1">IFERROR(__xludf.DUMMYFUNCTION("""COMPUTED_VALUE"""),"")</f>
        <v/>
      </c>
      <c r="BC159" s="2" t="str">
        <f ca="1">IFERROR(__xludf.DUMMYFUNCTION("""COMPUTED_VALUE"""),"")</f>
        <v/>
      </c>
      <c r="BD159" s="2" t="str">
        <f ca="1">IFERROR(__xludf.DUMMYFUNCTION("""COMPUTED_VALUE"""),"")</f>
        <v/>
      </c>
      <c r="BE159" s="2" t="str">
        <f ca="1">IFERROR(__xludf.DUMMYFUNCTION("""COMPUTED_VALUE"""),"")</f>
        <v/>
      </c>
      <c r="BF159" t="str">
        <f ca="1">IFERROR(__xludf.DUMMYFUNCTION("""COMPUTED_VALUE"""),"")</f>
        <v/>
      </c>
      <c r="BG159" t="str">
        <f ca="1">IFERROR(__xludf.DUMMYFUNCTION("""COMPUTED_VALUE"""),"")</f>
        <v/>
      </c>
      <c r="BH159" s="2">
        <f ca="1">IFERROR(__xludf.DUMMYFUNCTION("""COMPUTED_VALUE"""),-37.3458557)</f>
        <v>-37.345855700000001</v>
      </c>
      <c r="BI159" s="12">
        <f ca="1">IFERROR(__xludf.DUMMYFUNCTION("""COMPUTED_VALUE"""),175.1578217)</f>
        <v>175.1578217</v>
      </c>
      <c r="BJ159" s="9">
        <f ca="1">IFERROR(__xludf.DUMMYFUNCTION("""COMPUTED_VALUE"""),43464)</f>
        <v>43464</v>
      </c>
      <c r="BK159" s="4">
        <f ca="1">IFERROR(__xludf.DUMMYFUNCTION("""COMPUTED_VALUE"""),0.958518518516939)</f>
        <v>0.95851851851693903</v>
      </c>
    </row>
    <row r="160" spans="1:63" ht="12.5" x14ac:dyDescent="0.25">
      <c r="A160" s="7" t="str">
        <f ca="1">IFERROR(__xludf.DUMMYFUNCTION("""COMPUTED_VALUE"""),"")</f>
        <v/>
      </c>
      <c r="B160" s="8" t="str">
        <f ca="1">IFERROR(__xludf.DUMMYFUNCTION("""COMPUTED_VALUE"""),"Waikato")</f>
        <v>Waikato</v>
      </c>
      <c r="C160" s="2">
        <f ca="1">IFERROR(__xludf.DUMMYFUNCTION("""COMPUTED_VALUE"""),64)</f>
        <v>64</v>
      </c>
      <c r="D160" s="9" t="str">
        <f ca="1">IFERROR(__xludf.DUMMYFUNCTION("""COMPUTED_VALUE"""),"")</f>
        <v/>
      </c>
      <c r="E160" s="4" t="str">
        <f ca="1">IFERROR(__xludf.DUMMYFUNCTION("""COMPUTED_VALUE"""),"")</f>
        <v/>
      </c>
      <c r="F160" s="2" t="str">
        <f ca="1">IFERROR(__xludf.DUMMYFUNCTION("""COMPUTED_VALUE"""),"")</f>
        <v/>
      </c>
      <c r="G160" s="2" t="str">
        <f ca="1">IFERROR(__xludf.DUMMYFUNCTION("""COMPUTED_VALUE"""),"GPS: I converted data downloaded from ARGOS using Pinpoint software")</f>
        <v>GPS: I converted data downloaded from ARGOS using Pinpoint software</v>
      </c>
      <c r="H160" s="2" t="str">
        <f ca="1">IFERROR(__xludf.DUMMYFUNCTION("""COMPUTED_VALUE"""),"3D")</f>
        <v>3D</v>
      </c>
      <c r="I160" s="2" t="str">
        <f ca="1">IFERROR(__xludf.DUMMYFUNCTION("""COMPUTED_VALUE"""),"")</f>
        <v/>
      </c>
      <c r="J160" s="2" t="str">
        <f ca="1">IFERROR(__xludf.DUMMYFUNCTION("""COMPUTED_VALUE"""),"")</f>
        <v/>
      </c>
      <c r="K160" s="2" t="str">
        <f ca="1">IFERROR(__xludf.DUMMYFUNCTION("""COMPUTED_VALUE"""),"")</f>
        <v/>
      </c>
      <c r="L160" s="2" t="str">
        <f ca="1">IFERROR(__xludf.DUMMYFUNCTION("""COMPUTED_VALUE"""),"")</f>
        <v/>
      </c>
      <c r="M160" s="5" t="str">
        <f ca="1">IFERROR(__xludf.DUMMYFUNCTION("""COMPUTED_VALUE"""),"")</f>
        <v/>
      </c>
      <c r="N160" s="5" t="str">
        <f ca="1">IFERROR(__xludf.DUMMYFUNCTION("""COMPUTED_VALUE"""),"")</f>
        <v/>
      </c>
      <c r="O160" s="2" t="str">
        <f ca="1">IFERROR(__xludf.DUMMYFUNCTION("""COMPUTED_VALUE"""),"")</f>
        <v/>
      </c>
      <c r="P160" s="2" t="str">
        <f ca="1">IFERROR(__xludf.DUMMYFUNCTION("""COMPUTED_VALUE"""),"")</f>
        <v/>
      </c>
      <c r="Q160" s="2" t="str">
        <f ca="1">IFERROR(__xludf.DUMMYFUNCTION("""COMPUTED_VALUE"""),"")</f>
        <v/>
      </c>
      <c r="R160" s="2" t="str">
        <f ca="1">IFERROR(__xludf.DUMMYFUNCTION("""COMPUTED_VALUE"""),"")</f>
        <v/>
      </c>
      <c r="S160" s="2" t="str">
        <f ca="1">IFERROR(__xludf.DUMMYFUNCTION("""COMPUTED_VALUE"""),"")</f>
        <v/>
      </c>
      <c r="T160" s="2" t="str">
        <f ca="1">IFERROR(__xludf.DUMMYFUNCTION("""COMPUTED_VALUE"""),"")</f>
        <v/>
      </c>
      <c r="U160" s="2" t="str">
        <f ca="1">IFERROR(__xludf.DUMMYFUNCTION("""COMPUTED_VALUE"""),"")</f>
        <v/>
      </c>
      <c r="V160" s="2" t="str">
        <f ca="1">IFERROR(__xludf.DUMMYFUNCTION("""COMPUTED_VALUE"""),"")</f>
        <v/>
      </c>
      <c r="W160" s="2" t="str">
        <f ca="1">IFERROR(__xludf.DUMMYFUNCTION("""COMPUTED_VALUE"""),"")</f>
        <v/>
      </c>
      <c r="X160" s="2" t="str">
        <f ca="1">IFERROR(__xludf.DUMMYFUNCTION("""COMPUTED_VALUE"""),"")</f>
        <v/>
      </c>
      <c r="Y160" s="2" t="str">
        <f ca="1">IFERROR(__xludf.DUMMYFUNCTION("""COMPUTED_VALUE"""),"")</f>
        <v/>
      </c>
      <c r="Z160" s="2" t="str">
        <f ca="1">IFERROR(__xludf.DUMMYFUNCTION("""COMPUTED_VALUE"""),"")</f>
        <v/>
      </c>
      <c r="AA160" s="2" t="str">
        <f ca="1">IFERROR(__xludf.DUMMYFUNCTION("""COMPUTED_VALUE"""),"")</f>
        <v/>
      </c>
      <c r="AB160" s="2" t="str">
        <f ca="1">IFERROR(__xludf.DUMMYFUNCTION("""COMPUTED_VALUE"""),"")</f>
        <v/>
      </c>
      <c r="AC160" s="2" t="str">
        <f ca="1">IFERROR(__xludf.DUMMYFUNCTION("""COMPUTED_VALUE"""),"")</f>
        <v/>
      </c>
      <c r="AD160" s="2" t="str">
        <f ca="1">IFERROR(__xludf.DUMMYFUNCTION("""COMPUTED_VALUE"""),"")</f>
        <v/>
      </c>
      <c r="AE160" s="2" t="str">
        <f ca="1">IFERROR(__xludf.DUMMYFUNCTION("""COMPUTED_VALUE"""),"")</f>
        <v/>
      </c>
      <c r="AF160" s="2" t="str">
        <f ca="1">IFERROR(__xludf.DUMMYFUNCTION("""COMPUTED_VALUE"""),"")</f>
        <v/>
      </c>
      <c r="AG160" s="2" t="str">
        <f ca="1">IFERROR(__xludf.DUMMYFUNCTION("""COMPUTED_VALUE"""),"")</f>
        <v/>
      </c>
      <c r="AH160" s="2" t="str">
        <f ca="1">IFERROR(__xludf.DUMMYFUNCTION("""COMPUTED_VALUE"""),"")</f>
        <v/>
      </c>
      <c r="AI160" s="2" t="str">
        <f ca="1">IFERROR(__xludf.DUMMYFUNCTION("""COMPUTED_VALUE"""),"")</f>
        <v/>
      </c>
      <c r="AJ160" s="2" t="str">
        <f ca="1">IFERROR(__xludf.DUMMYFUNCTION("""COMPUTED_VALUE"""),"")</f>
        <v/>
      </c>
      <c r="AK160" s="2" t="str">
        <f ca="1">IFERROR(__xludf.DUMMYFUNCTION("""COMPUTED_VALUE"""),"")</f>
        <v/>
      </c>
      <c r="AL160" s="2" t="str">
        <f ca="1">IFERROR(__xludf.DUMMYFUNCTION("""COMPUTED_VALUE"""),"")</f>
        <v/>
      </c>
      <c r="AM160" s="2" t="str">
        <f ca="1">IFERROR(__xludf.DUMMYFUNCTION("""COMPUTED_VALUE"""),"")</f>
        <v/>
      </c>
      <c r="AN160" s="2" t="str">
        <f ca="1">IFERROR(__xludf.DUMMYFUNCTION("""COMPUTED_VALUE"""),"")</f>
        <v/>
      </c>
      <c r="AO160" s="2" t="str">
        <f ca="1">IFERROR(__xludf.DUMMYFUNCTION("""COMPUTED_VALUE"""),"")</f>
        <v/>
      </c>
      <c r="AP160" s="2" t="str">
        <f ca="1">IFERROR(__xludf.DUMMYFUNCTION("""COMPUTED_VALUE"""),"")</f>
        <v/>
      </c>
      <c r="AQ160" s="2" t="str">
        <f ca="1">IFERROR(__xludf.DUMMYFUNCTION("""COMPUTED_VALUE"""),"")</f>
        <v/>
      </c>
      <c r="AR160" s="2" t="str">
        <f ca="1">IFERROR(__xludf.DUMMYFUNCTION("""COMPUTED_VALUE"""),"")</f>
        <v/>
      </c>
      <c r="AS160" s="2" t="str">
        <f ca="1">IFERROR(__xludf.DUMMYFUNCTION("""COMPUTED_VALUE"""),"")</f>
        <v/>
      </c>
      <c r="AT160" s="2" t="str">
        <f ca="1">IFERROR(__xludf.DUMMYFUNCTION("""COMPUTED_VALUE"""),"")</f>
        <v/>
      </c>
      <c r="AU160" s="2" t="str">
        <f ca="1">IFERROR(__xludf.DUMMYFUNCTION("""COMPUTED_VALUE"""),"")</f>
        <v/>
      </c>
      <c r="AV160" s="2" t="str">
        <f ca="1">IFERROR(__xludf.DUMMYFUNCTION("""COMPUTED_VALUE"""),"")</f>
        <v/>
      </c>
      <c r="AW160" s="2" t="str">
        <f ca="1">IFERROR(__xludf.DUMMYFUNCTION("""COMPUTED_VALUE"""),"")</f>
        <v/>
      </c>
      <c r="AX160" s="2" t="str">
        <f ca="1">IFERROR(__xludf.DUMMYFUNCTION("""COMPUTED_VALUE"""),"")</f>
        <v/>
      </c>
      <c r="AY160" s="2" t="str">
        <f ca="1">IFERROR(__xludf.DUMMYFUNCTION("""COMPUTED_VALUE"""),"")</f>
        <v/>
      </c>
      <c r="AZ160" s="2" t="str">
        <f ca="1">IFERROR(__xludf.DUMMYFUNCTION("""COMPUTED_VALUE"""),"")</f>
        <v/>
      </c>
      <c r="BA160" s="2" t="str">
        <f ca="1">IFERROR(__xludf.DUMMYFUNCTION("""COMPUTED_VALUE"""),"")</f>
        <v/>
      </c>
      <c r="BB160" s="2" t="str">
        <f ca="1">IFERROR(__xludf.DUMMYFUNCTION("""COMPUTED_VALUE"""),"")</f>
        <v/>
      </c>
      <c r="BC160" s="2" t="str">
        <f ca="1">IFERROR(__xludf.DUMMYFUNCTION("""COMPUTED_VALUE"""),"")</f>
        <v/>
      </c>
      <c r="BD160" s="2" t="str">
        <f ca="1">IFERROR(__xludf.DUMMYFUNCTION("""COMPUTED_VALUE"""),"")</f>
        <v/>
      </c>
      <c r="BE160" s="2" t="str">
        <f ca="1">IFERROR(__xludf.DUMMYFUNCTION("""COMPUTED_VALUE"""),"")</f>
        <v/>
      </c>
      <c r="BF160" t="str">
        <f ca="1">IFERROR(__xludf.DUMMYFUNCTION("""COMPUTED_VALUE"""),"")</f>
        <v/>
      </c>
      <c r="BG160" t="str">
        <f ca="1">IFERROR(__xludf.DUMMYFUNCTION("""COMPUTED_VALUE"""),"")</f>
        <v/>
      </c>
      <c r="BH160" s="2">
        <f ca="1">IFERROR(__xludf.DUMMYFUNCTION("""COMPUTED_VALUE"""),-37.3537674)</f>
        <v>-37.353767400000002</v>
      </c>
      <c r="BI160" s="13">
        <f ca="1">IFERROR(__xludf.DUMMYFUNCTION("""COMPUTED_VALUE"""),175.1502533)</f>
        <v>175.1502533</v>
      </c>
      <c r="BJ160" s="9">
        <f ca="1">IFERROR(__xludf.DUMMYFUNCTION("""COMPUTED_VALUE"""),43466)</f>
        <v>43466</v>
      </c>
      <c r="BK160" s="4">
        <f ca="1">IFERROR(__xludf.DUMMYFUNCTION("""COMPUTED_VALUE"""),0.457777777777664)</f>
        <v>0.45777777777766399</v>
      </c>
    </row>
    <row r="161" spans="1:63" ht="12.5" x14ac:dyDescent="0.25">
      <c r="A161" s="7" t="str">
        <f ca="1">IFERROR(__xludf.DUMMYFUNCTION("""COMPUTED_VALUE"""),"")</f>
        <v/>
      </c>
      <c r="B161" s="8" t="str">
        <f ca="1">IFERROR(__xludf.DUMMYFUNCTION("""COMPUTED_VALUE"""),"Waikato")</f>
        <v>Waikato</v>
      </c>
      <c r="C161" s="2">
        <f ca="1">IFERROR(__xludf.DUMMYFUNCTION("""COMPUTED_VALUE"""),64)</f>
        <v>64</v>
      </c>
      <c r="D161" s="9" t="str">
        <f ca="1">IFERROR(__xludf.DUMMYFUNCTION("""COMPUTED_VALUE"""),"")</f>
        <v/>
      </c>
      <c r="E161" s="4" t="str">
        <f ca="1">IFERROR(__xludf.DUMMYFUNCTION("""COMPUTED_VALUE"""),"")</f>
        <v/>
      </c>
      <c r="F161" s="2" t="str">
        <f ca="1">IFERROR(__xludf.DUMMYFUNCTION("""COMPUTED_VALUE"""),"")</f>
        <v/>
      </c>
      <c r="G161" s="2" t="str">
        <f ca="1">IFERROR(__xludf.DUMMYFUNCTION("""COMPUTED_VALUE"""),"GPS: I converted data downloaded from ARGOS using Pinpoint software")</f>
        <v>GPS: I converted data downloaded from ARGOS using Pinpoint software</v>
      </c>
      <c r="H161" s="2" t="str">
        <f ca="1">IFERROR(__xludf.DUMMYFUNCTION("""COMPUTED_VALUE"""),"3D")</f>
        <v>3D</v>
      </c>
      <c r="I161" s="2" t="str">
        <f ca="1">IFERROR(__xludf.DUMMYFUNCTION("""COMPUTED_VALUE"""),"")</f>
        <v/>
      </c>
      <c r="J161" s="2" t="str">
        <f ca="1">IFERROR(__xludf.DUMMYFUNCTION("""COMPUTED_VALUE"""),"")</f>
        <v/>
      </c>
      <c r="K161" s="2" t="str">
        <f ca="1">IFERROR(__xludf.DUMMYFUNCTION("""COMPUTED_VALUE"""),"")</f>
        <v/>
      </c>
      <c r="L161" s="2" t="str">
        <f ca="1">IFERROR(__xludf.DUMMYFUNCTION("""COMPUTED_VALUE"""),"")</f>
        <v/>
      </c>
      <c r="M161" s="5" t="str">
        <f ca="1">IFERROR(__xludf.DUMMYFUNCTION("""COMPUTED_VALUE"""),"")</f>
        <v/>
      </c>
      <c r="N161" s="5" t="str">
        <f ca="1">IFERROR(__xludf.DUMMYFUNCTION("""COMPUTED_VALUE"""),"")</f>
        <v/>
      </c>
      <c r="O161" s="2" t="str">
        <f ca="1">IFERROR(__xludf.DUMMYFUNCTION("""COMPUTED_VALUE"""),"")</f>
        <v/>
      </c>
      <c r="P161" s="2" t="str">
        <f ca="1">IFERROR(__xludf.DUMMYFUNCTION("""COMPUTED_VALUE"""),"")</f>
        <v/>
      </c>
      <c r="Q161" s="2" t="str">
        <f ca="1">IFERROR(__xludf.DUMMYFUNCTION("""COMPUTED_VALUE"""),"")</f>
        <v/>
      </c>
      <c r="R161" s="2" t="str">
        <f ca="1">IFERROR(__xludf.DUMMYFUNCTION("""COMPUTED_VALUE"""),"")</f>
        <v/>
      </c>
      <c r="S161" s="2" t="str">
        <f ca="1">IFERROR(__xludf.DUMMYFUNCTION("""COMPUTED_VALUE"""),"")</f>
        <v/>
      </c>
      <c r="T161" s="2" t="str">
        <f ca="1">IFERROR(__xludf.DUMMYFUNCTION("""COMPUTED_VALUE"""),"")</f>
        <v/>
      </c>
      <c r="U161" s="2" t="str">
        <f ca="1">IFERROR(__xludf.DUMMYFUNCTION("""COMPUTED_VALUE"""),"")</f>
        <v/>
      </c>
      <c r="V161" s="2" t="str">
        <f ca="1">IFERROR(__xludf.DUMMYFUNCTION("""COMPUTED_VALUE"""),"")</f>
        <v/>
      </c>
      <c r="W161" s="2" t="str">
        <f ca="1">IFERROR(__xludf.DUMMYFUNCTION("""COMPUTED_VALUE"""),"")</f>
        <v/>
      </c>
      <c r="X161" s="2" t="str">
        <f ca="1">IFERROR(__xludf.DUMMYFUNCTION("""COMPUTED_VALUE"""),"")</f>
        <v/>
      </c>
      <c r="Y161" s="2" t="str">
        <f ca="1">IFERROR(__xludf.DUMMYFUNCTION("""COMPUTED_VALUE"""),"")</f>
        <v/>
      </c>
      <c r="Z161" s="2" t="str">
        <f ca="1">IFERROR(__xludf.DUMMYFUNCTION("""COMPUTED_VALUE"""),"")</f>
        <v/>
      </c>
      <c r="AA161" s="2" t="str">
        <f ca="1">IFERROR(__xludf.DUMMYFUNCTION("""COMPUTED_VALUE"""),"")</f>
        <v/>
      </c>
      <c r="AB161" s="2" t="str">
        <f ca="1">IFERROR(__xludf.DUMMYFUNCTION("""COMPUTED_VALUE"""),"")</f>
        <v/>
      </c>
      <c r="AC161" s="2" t="str">
        <f ca="1">IFERROR(__xludf.DUMMYFUNCTION("""COMPUTED_VALUE"""),"")</f>
        <v/>
      </c>
      <c r="AD161" s="2" t="str">
        <f ca="1">IFERROR(__xludf.DUMMYFUNCTION("""COMPUTED_VALUE"""),"")</f>
        <v/>
      </c>
      <c r="AE161" s="2" t="str">
        <f ca="1">IFERROR(__xludf.DUMMYFUNCTION("""COMPUTED_VALUE"""),"")</f>
        <v/>
      </c>
      <c r="AF161" s="2" t="str">
        <f ca="1">IFERROR(__xludf.DUMMYFUNCTION("""COMPUTED_VALUE"""),"")</f>
        <v/>
      </c>
      <c r="AG161" s="2" t="str">
        <f ca="1">IFERROR(__xludf.DUMMYFUNCTION("""COMPUTED_VALUE"""),"")</f>
        <v/>
      </c>
      <c r="AH161" s="2" t="str">
        <f ca="1">IFERROR(__xludf.DUMMYFUNCTION("""COMPUTED_VALUE"""),"")</f>
        <v/>
      </c>
      <c r="AI161" s="2" t="str">
        <f ca="1">IFERROR(__xludf.DUMMYFUNCTION("""COMPUTED_VALUE"""),"")</f>
        <v/>
      </c>
      <c r="AJ161" s="2" t="str">
        <f ca="1">IFERROR(__xludf.DUMMYFUNCTION("""COMPUTED_VALUE"""),"")</f>
        <v/>
      </c>
      <c r="AK161" s="2" t="str">
        <f ca="1">IFERROR(__xludf.DUMMYFUNCTION("""COMPUTED_VALUE"""),"")</f>
        <v/>
      </c>
      <c r="AL161" s="2" t="str">
        <f ca="1">IFERROR(__xludf.DUMMYFUNCTION("""COMPUTED_VALUE"""),"")</f>
        <v/>
      </c>
      <c r="AM161" s="2" t="str">
        <f ca="1">IFERROR(__xludf.DUMMYFUNCTION("""COMPUTED_VALUE"""),"")</f>
        <v/>
      </c>
      <c r="AN161" s="2" t="str">
        <f ca="1">IFERROR(__xludf.DUMMYFUNCTION("""COMPUTED_VALUE"""),"")</f>
        <v/>
      </c>
      <c r="AO161" s="2" t="str">
        <f ca="1">IFERROR(__xludf.DUMMYFUNCTION("""COMPUTED_VALUE"""),"")</f>
        <v/>
      </c>
      <c r="AP161" s="2" t="str">
        <f ca="1">IFERROR(__xludf.DUMMYFUNCTION("""COMPUTED_VALUE"""),"")</f>
        <v/>
      </c>
      <c r="AQ161" s="2" t="str">
        <f ca="1">IFERROR(__xludf.DUMMYFUNCTION("""COMPUTED_VALUE"""),"")</f>
        <v/>
      </c>
      <c r="AR161" s="2" t="str">
        <f ca="1">IFERROR(__xludf.DUMMYFUNCTION("""COMPUTED_VALUE"""),"")</f>
        <v/>
      </c>
      <c r="AS161" s="2" t="str">
        <f ca="1">IFERROR(__xludf.DUMMYFUNCTION("""COMPUTED_VALUE"""),"")</f>
        <v/>
      </c>
      <c r="AT161" s="2" t="str">
        <f ca="1">IFERROR(__xludf.DUMMYFUNCTION("""COMPUTED_VALUE"""),"")</f>
        <v/>
      </c>
      <c r="AU161" s="2" t="str">
        <f ca="1">IFERROR(__xludf.DUMMYFUNCTION("""COMPUTED_VALUE"""),"")</f>
        <v/>
      </c>
      <c r="AV161" s="2" t="str">
        <f ca="1">IFERROR(__xludf.DUMMYFUNCTION("""COMPUTED_VALUE"""),"")</f>
        <v/>
      </c>
      <c r="AW161" s="2" t="str">
        <f ca="1">IFERROR(__xludf.DUMMYFUNCTION("""COMPUTED_VALUE"""),"")</f>
        <v/>
      </c>
      <c r="AX161" s="2" t="str">
        <f ca="1">IFERROR(__xludf.DUMMYFUNCTION("""COMPUTED_VALUE"""),"")</f>
        <v/>
      </c>
      <c r="AY161" s="2" t="str">
        <f ca="1">IFERROR(__xludf.DUMMYFUNCTION("""COMPUTED_VALUE"""),"")</f>
        <v/>
      </c>
      <c r="AZ161" s="2" t="str">
        <f ca="1">IFERROR(__xludf.DUMMYFUNCTION("""COMPUTED_VALUE"""),"")</f>
        <v/>
      </c>
      <c r="BA161" s="2" t="str">
        <f ca="1">IFERROR(__xludf.DUMMYFUNCTION("""COMPUTED_VALUE"""),"")</f>
        <v/>
      </c>
      <c r="BB161" s="2" t="str">
        <f ca="1">IFERROR(__xludf.DUMMYFUNCTION("""COMPUTED_VALUE"""),"")</f>
        <v/>
      </c>
      <c r="BC161" s="2" t="str">
        <f ca="1">IFERROR(__xludf.DUMMYFUNCTION("""COMPUTED_VALUE"""),"")</f>
        <v/>
      </c>
      <c r="BD161" s="2" t="str">
        <f ca="1">IFERROR(__xludf.DUMMYFUNCTION("""COMPUTED_VALUE"""),"")</f>
        <v/>
      </c>
      <c r="BE161" s="2" t="str">
        <f ca="1">IFERROR(__xludf.DUMMYFUNCTION("""COMPUTED_VALUE"""),"")</f>
        <v/>
      </c>
      <c r="BF161" t="str">
        <f ca="1">IFERROR(__xludf.DUMMYFUNCTION("""COMPUTED_VALUE"""),"")</f>
        <v/>
      </c>
      <c r="BG161" t="str">
        <f ca="1">IFERROR(__xludf.DUMMYFUNCTION("""COMPUTED_VALUE"""),"")</f>
        <v/>
      </c>
      <c r="BH161" s="2">
        <f ca="1">IFERROR(__xludf.DUMMYFUNCTION("""COMPUTED_VALUE"""),-37.3456764)</f>
        <v>-37.345676400000002</v>
      </c>
      <c r="BI161" s="12">
        <f ca="1">IFERROR(__xludf.DUMMYFUNCTION("""COMPUTED_VALUE"""),175.1716919)</f>
        <v>175.17169190000001</v>
      </c>
      <c r="BJ161" s="9">
        <f ca="1">IFERROR(__xludf.DUMMYFUNCTION("""COMPUTED_VALUE"""),43469)</f>
        <v>43469</v>
      </c>
      <c r="BK161" s="4">
        <f ca="1">IFERROR(__xludf.DUMMYFUNCTION("""COMPUTED_VALUE"""),0.874074074072268)</f>
        <v>0.874074074072268</v>
      </c>
    </row>
    <row r="162" spans="1:63" ht="12.5" x14ac:dyDescent="0.25">
      <c r="A162" s="7" t="str">
        <f ca="1">IFERROR(__xludf.DUMMYFUNCTION("""COMPUTED_VALUE"""),"")</f>
        <v/>
      </c>
      <c r="B162" s="8" t="str">
        <f ca="1">IFERROR(__xludf.DUMMYFUNCTION("""COMPUTED_VALUE"""),"Waikato")</f>
        <v>Waikato</v>
      </c>
      <c r="C162" s="2">
        <f ca="1">IFERROR(__xludf.DUMMYFUNCTION("""COMPUTED_VALUE"""),64)</f>
        <v>64</v>
      </c>
      <c r="D162" s="9" t="str">
        <f ca="1">IFERROR(__xludf.DUMMYFUNCTION("""COMPUTED_VALUE"""),"")</f>
        <v/>
      </c>
      <c r="E162" s="4" t="str">
        <f ca="1">IFERROR(__xludf.DUMMYFUNCTION("""COMPUTED_VALUE"""),"")</f>
        <v/>
      </c>
      <c r="F162" s="2" t="str">
        <f ca="1">IFERROR(__xludf.DUMMYFUNCTION("""COMPUTED_VALUE"""),"")</f>
        <v/>
      </c>
      <c r="G162" s="2" t="str">
        <f ca="1">IFERROR(__xludf.DUMMYFUNCTION("""COMPUTED_VALUE"""),"GPS: I converted data downloaded from ARGOS using Pinpoint software")</f>
        <v>GPS: I converted data downloaded from ARGOS using Pinpoint software</v>
      </c>
      <c r="H162" s="2" t="str">
        <f ca="1">IFERROR(__xludf.DUMMYFUNCTION("""COMPUTED_VALUE"""),"3D")</f>
        <v>3D</v>
      </c>
      <c r="I162" s="2" t="str">
        <f ca="1">IFERROR(__xludf.DUMMYFUNCTION("""COMPUTED_VALUE"""),"")</f>
        <v/>
      </c>
      <c r="J162" s="2" t="str">
        <f ca="1">IFERROR(__xludf.DUMMYFUNCTION("""COMPUTED_VALUE"""),"")</f>
        <v/>
      </c>
      <c r="K162" s="2" t="str">
        <f ca="1">IFERROR(__xludf.DUMMYFUNCTION("""COMPUTED_VALUE"""),"")</f>
        <v/>
      </c>
      <c r="L162" s="2" t="str">
        <f ca="1">IFERROR(__xludf.DUMMYFUNCTION("""COMPUTED_VALUE"""),"")</f>
        <v/>
      </c>
      <c r="M162" s="5" t="str">
        <f ca="1">IFERROR(__xludf.DUMMYFUNCTION("""COMPUTED_VALUE"""),"")</f>
        <v/>
      </c>
      <c r="N162" s="5" t="str">
        <f ca="1">IFERROR(__xludf.DUMMYFUNCTION("""COMPUTED_VALUE"""),"")</f>
        <v/>
      </c>
      <c r="O162" s="2" t="str">
        <f ca="1">IFERROR(__xludf.DUMMYFUNCTION("""COMPUTED_VALUE"""),"")</f>
        <v/>
      </c>
      <c r="P162" s="2" t="str">
        <f ca="1">IFERROR(__xludf.DUMMYFUNCTION("""COMPUTED_VALUE"""),"")</f>
        <v/>
      </c>
      <c r="Q162" s="2" t="str">
        <f ca="1">IFERROR(__xludf.DUMMYFUNCTION("""COMPUTED_VALUE"""),"")</f>
        <v/>
      </c>
      <c r="R162" s="2" t="str">
        <f ca="1">IFERROR(__xludf.DUMMYFUNCTION("""COMPUTED_VALUE"""),"")</f>
        <v/>
      </c>
      <c r="S162" s="2" t="str">
        <f ca="1">IFERROR(__xludf.DUMMYFUNCTION("""COMPUTED_VALUE"""),"")</f>
        <v/>
      </c>
      <c r="T162" s="2" t="str">
        <f ca="1">IFERROR(__xludf.DUMMYFUNCTION("""COMPUTED_VALUE"""),"")</f>
        <v/>
      </c>
      <c r="U162" s="2" t="str">
        <f ca="1">IFERROR(__xludf.DUMMYFUNCTION("""COMPUTED_VALUE"""),"")</f>
        <v/>
      </c>
      <c r="V162" s="2" t="str">
        <f ca="1">IFERROR(__xludf.DUMMYFUNCTION("""COMPUTED_VALUE"""),"")</f>
        <v/>
      </c>
      <c r="W162" s="2" t="str">
        <f ca="1">IFERROR(__xludf.DUMMYFUNCTION("""COMPUTED_VALUE"""),"")</f>
        <v/>
      </c>
      <c r="X162" s="2" t="str">
        <f ca="1">IFERROR(__xludf.DUMMYFUNCTION("""COMPUTED_VALUE"""),"")</f>
        <v/>
      </c>
      <c r="Y162" s="2" t="str">
        <f ca="1">IFERROR(__xludf.DUMMYFUNCTION("""COMPUTED_VALUE"""),"")</f>
        <v/>
      </c>
      <c r="Z162" s="2" t="str">
        <f ca="1">IFERROR(__xludf.DUMMYFUNCTION("""COMPUTED_VALUE"""),"")</f>
        <v/>
      </c>
      <c r="AA162" s="2" t="str">
        <f ca="1">IFERROR(__xludf.DUMMYFUNCTION("""COMPUTED_VALUE"""),"")</f>
        <v/>
      </c>
      <c r="AB162" s="2" t="str">
        <f ca="1">IFERROR(__xludf.DUMMYFUNCTION("""COMPUTED_VALUE"""),"")</f>
        <v/>
      </c>
      <c r="AC162" s="2" t="str">
        <f ca="1">IFERROR(__xludf.DUMMYFUNCTION("""COMPUTED_VALUE"""),"")</f>
        <v/>
      </c>
      <c r="AD162" s="2" t="str">
        <f ca="1">IFERROR(__xludf.DUMMYFUNCTION("""COMPUTED_VALUE"""),"")</f>
        <v/>
      </c>
      <c r="AE162" s="2" t="str">
        <f ca="1">IFERROR(__xludf.DUMMYFUNCTION("""COMPUTED_VALUE"""),"")</f>
        <v/>
      </c>
      <c r="AF162" s="2" t="str">
        <f ca="1">IFERROR(__xludf.DUMMYFUNCTION("""COMPUTED_VALUE"""),"")</f>
        <v/>
      </c>
      <c r="AG162" s="2" t="str">
        <f ca="1">IFERROR(__xludf.DUMMYFUNCTION("""COMPUTED_VALUE"""),"")</f>
        <v/>
      </c>
      <c r="AH162" s="2" t="str">
        <f ca="1">IFERROR(__xludf.DUMMYFUNCTION("""COMPUTED_VALUE"""),"")</f>
        <v/>
      </c>
      <c r="AI162" s="2" t="str">
        <f ca="1">IFERROR(__xludf.DUMMYFUNCTION("""COMPUTED_VALUE"""),"")</f>
        <v/>
      </c>
      <c r="AJ162" s="2" t="str">
        <f ca="1">IFERROR(__xludf.DUMMYFUNCTION("""COMPUTED_VALUE"""),"")</f>
        <v/>
      </c>
      <c r="AK162" s="2" t="str">
        <f ca="1">IFERROR(__xludf.DUMMYFUNCTION("""COMPUTED_VALUE"""),"")</f>
        <v/>
      </c>
      <c r="AL162" s="2" t="str">
        <f ca="1">IFERROR(__xludf.DUMMYFUNCTION("""COMPUTED_VALUE"""),"")</f>
        <v/>
      </c>
      <c r="AM162" s="2" t="str">
        <f ca="1">IFERROR(__xludf.DUMMYFUNCTION("""COMPUTED_VALUE"""),"")</f>
        <v/>
      </c>
      <c r="AN162" s="2" t="str">
        <f ca="1">IFERROR(__xludf.DUMMYFUNCTION("""COMPUTED_VALUE"""),"")</f>
        <v/>
      </c>
      <c r="AO162" s="2" t="str">
        <f ca="1">IFERROR(__xludf.DUMMYFUNCTION("""COMPUTED_VALUE"""),"")</f>
        <v/>
      </c>
      <c r="AP162" s="2" t="str">
        <f ca="1">IFERROR(__xludf.DUMMYFUNCTION("""COMPUTED_VALUE"""),"")</f>
        <v/>
      </c>
      <c r="AQ162" s="2" t="str">
        <f ca="1">IFERROR(__xludf.DUMMYFUNCTION("""COMPUTED_VALUE"""),"")</f>
        <v/>
      </c>
      <c r="AR162" s="2" t="str">
        <f ca="1">IFERROR(__xludf.DUMMYFUNCTION("""COMPUTED_VALUE"""),"")</f>
        <v/>
      </c>
      <c r="AS162" s="2" t="str">
        <f ca="1">IFERROR(__xludf.DUMMYFUNCTION("""COMPUTED_VALUE"""),"")</f>
        <v/>
      </c>
      <c r="AT162" s="2" t="str">
        <f ca="1">IFERROR(__xludf.DUMMYFUNCTION("""COMPUTED_VALUE"""),"")</f>
        <v/>
      </c>
      <c r="AU162" s="2" t="str">
        <f ca="1">IFERROR(__xludf.DUMMYFUNCTION("""COMPUTED_VALUE"""),"")</f>
        <v/>
      </c>
      <c r="AV162" s="2" t="str">
        <f ca="1">IFERROR(__xludf.DUMMYFUNCTION("""COMPUTED_VALUE"""),"")</f>
        <v/>
      </c>
      <c r="AW162" s="2" t="str">
        <f ca="1">IFERROR(__xludf.DUMMYFUNCTION("""COMPUTED_VALUE"""),"")</f>
        <v/>
      </c>
      <c r="AX162" s="2" t="str">
        <f ca="1">IFERROR(__xludf.DUMMYFUNCTION("""COMPUTED_VALUE"""),"")</f>
        <v/>
      </c>
      <c r="AY162" s="2" t="str">
        <f ca="1">IFERROR(__xludf.DUMMYFUNCTION("""COMPUTED_VALUE"""),"")</f>
        <v/>
      </c>
      <c r="AZ162" s="2" t="str">
        <f ca="1">IFERROR(__xludf.DUMMYFUNCTION("""COMPUTED_VALUE"""),"")</f>
        <v/>
      </c>
      <c r="BA162" s="2" t="str">
        <f ca="1">IFERROR(__xludf.DUMMYFUNCTION("""COMPUTED_VALUE"""),"")</f>
        <v/>
      </c>
      <c r="BB162" s="2" t="str">
        <f ca="1">IFERROR(__xludf.DUMMYFUNCTION("""COMPUTED_VALUE"""),"")</f>
        <v/>
      </c>
      <c r="BC162" s="2" t="str">
        <f ca="1">IFERROR(__xludf.DUMMYFUNCTION("""COMPUTED_VALUE"""),"")</f>
        <v/>
      </c>
      <c r="BD162" s="2" t="str">
        <f ca="1">IFERROR(__xludf.DUMMYFUNCTION("""COMPUTED_VALUE"""),"")</f>
        <v/>
      </c>
      <c r="BE162" s="2" t="str">
        <f ca="1">IFERROR(__xludf.DUMMYFUNCTION("""COMPUTED_VALUE"""),"")</f>
        <v/>
      </c>
      <c r="BF162" t="str">
        <f ca="1">IFERROR(__xludf.DUMMYFUNCTION("""COMPUTED_VALUE"""),"")</f>
        <v/>
      </c>
      <c r="BG162" t="str">
        <f ca="1">IFERROR(__xludf.DUMMYFUNCTION("""COMPUTED_VALUE"""),"")</f>
        <v/>
      </c>
      <c r="BH162" s="2">
        <f ca="1">IFERROR(__xludf.DUMMYFUNCTION("""COMPUTED_VALUE"""),-37.2822647)</f>
        <v>-37.282264699999999</v>
      </c>
      <c r="BI162" s="13">
        <f ca="1">IFERROR(__xludf.DUMMYFUNCTION("""COMPUTED_VALUE"""),175.1448517)</f>
        <v>175.1448517</v>
      </c>
      <c r="BJ162" s="9">
        <f ca="1">IFERROR(__xludf.DUMMYFUNCTION("""COMPUTED_VALUE"""),43476)</f>
        <v>43476</v>
      </c>
      <c r="BK162" s="4">
        <f ca="1">IFERROR(__xludf.DUMMYFUNCTION("""COMPUTED_VALUE"""),0.875555555554456)</f>
        <v>0.87555555555445597</v>
      </c>
    </row>
    <row r="163" spans="1:63" ht="12.5" x14ac:dyDescent="0.25">
      <c r="A163" s="7" t="str">
        <f ca="1">IFERROR(__xludf.DUMMYFUNCTION("""COMPUTED_VALUE"""),"")</f>
        <v/>
      </c>
      <c r="B163" s="8" t="str">
        <f ca="1">IFERROR(__xludf.DUMMYFUNCTION("""COMPUTED_VALUE"""),"Waikato")</f>
        <v>Waikato</v>
      </c>
      <c r="C163" s="2">
        <f ca="1">IFERROR(__xludf.DUMMYFUNCTION("""COMPUTED_VALUE"""),64)</f>
        <v>64</v>
      </c>
      <c r="D163" s="9" t="str">
        <f ca="1">IFERROR(__xludf.DUMMYFUNCTION("""COMPUTED_VALUE"""),"")</f>
        <v/>
      </c>
      <c r="E163" s="4" t="str">
        <f ca="1">IFERROR(__xludf.DUMMYFUNCTION("""COMPUTED_VALUE"""),"")</f>
        <v/>
      </c>
      <c r="F163" s="2" t="str">
        <f ca="1">IFERROR(__xludf.DUMMYFUNCTION("""COMPUTED_VALUE"""),"")</f>
        <v/>
      </c>
      <c r="G163" s="2" t="str">
        <f ca="1">IFERROR(__xludf.DUMMYFUNCTION("""COMPUTED_VALUE"""),"GPS: I converted data downloaded from ARGOS using Pinpoint software")</f>
        <v>GPS: I converted data downloaded from ARGOS using Pinpoint software</v>
      </c>
      <c r="H163" s="2" t="str">
        <f ca="1">IFERROR(__xludf.DUMMYFUNCTION("""COMPUTED_VALUE"""),"3D")</f>
        <v>3D</v>
      </c>
      <c r="I163" s="2" t="str">
        <f ca="1">IFERROR(__xludf.DUMMYFUNCTION("""COMPUTED_VALUE"""),"")</f>
        <v/>
      </c>
      <c r="J163" s="2" t="str">
        <f ca="1">IFERROR(__xludf.DUMMYFUNCTION("""COMPUTED_VALUE"""),"")</f>
        <v/>
      </c>
      <c r="K163" s="2" t="str">
        <f ca="1">IFERROR(__xludf.DUMMYFUNCTION("""COMPUTED_VALUE"""),"")</f>
        <v/>
      </c>
      <c r="L163" s="2" t="str">
        <f ca="1">IFERROR(__xludf.DUMMYFUNCTION("""COMPUTED_VALUE"""),"")</f>
        <v/>
      </c>
      <c r="M163" s="5" t="str">
        <f ca="1">IFERROR(__xludf.DUMMYFUNCTION("""COMPUTED_VALUE"""),"")</f>
        <v/>
      </c>
      <c r="N163" s="5" t="str">
        <f ca="1">IFERROR(__xludf.DUMMYFUNCTION("""COMPUTED_VALUE"""),"")</f>
        <v/>
      </c>
      <c r="O163" s="2" t="str">
        <f ca="1">IFERROR(__xludf.DUMMYFUNCTION("""COMPUTED_VALUE"""),"")</f>
        <v/>
      </c>
      <c r="P163" s="2" t="str">
        <f ca="1">IFERROR(__xludf.DUMMYFUNCTION("""COMPUTED_VALUE"""),"")</f>
        <v/>
      </c>
      <c r="Q163" s="2" t="str">
        <f ca="1">IFERROR(__xludf.DUMMYFUNCTION("""COMPUTED_VALUE"""),"")</f>
        <v/>
      </c>
      <c r="R163" s="2" t="str">
        <f ca="1">IFERROR(__xludf.DUMMYFUNCTION("""COMPUTED_VALUE"""),"")</f>
        <v/>
      </c>
      <c r="S163" s="2" t="str">
        <f ca="1">IFERROR(__xludf.DUMMYFUNCTION("""COMPUTED_VALUE"""),"")</f>
        <v/>
      </c>
      <c r="T163" s="2" t="str">
        <f ca="1">IFERROR(__xludf.DUMMYFUNCTION("""COMPUTED_VALUE"""),"")</f>
        <v/>
      </c>
      <c r="U163" s="2" t="str">
        <f ca="1">IFERROR(__xludf.DUMMYFUNCTION("""COMPUTED_VALUE"""),"")</f>
        <v/>
      </c>
      <c r="V163" s="2" t="str">
        <f ca="1">IFERROR(__xludf.DUMMYFUNCTION("""COMPUTED_VALUE"""),"")</f>
        <v/>
      </c>
      <c r="W163" s="2" t="str">
        <f ca="1">IFERROR(__xludf.DUMMYFUNCTION("""COMPUTED_VALUE"""),"")</f>
        <v/>
      </c>
      <c r="X163" s="2" t="str">
        <f ca="1">IFERROR(__xludf.DUMMYFUNCTION("""COMPUTED_VALUE"""),"")</f>
        <v/>
      </c>
      <c r="Y163" s="2" t="str">
        <f ca="1">IFERROR(__xludf.DUMMYFUNCTION("""COMPUTED_VALUE"""),"")</f>
        <v/>
      </c>
      <c r="Z163" s="2" t="str">
        <f ca="1">IFERROR(__xludf.DUMMYFUNCTION("""COMPUTED_VALUE"""),"")</f>
        <v/>
      </c>
      <c r="AA163" s="2" t="str">
        <f ca="1">IFERROR(__xludf.DUMMYFUNCTION("""COMPUTED_VALUE"""),"")</f>
        <v/>
      </c>
      <c r="AB163" s="2" t="str">
        <f ca="1">IFERROR(__xludf.DUMMYFUNCTION("""COMPUTED_VALUE"""),"")</f>
        <v/>
      </c>
      <c r="AC163" s="2" t="str">
        <f ca="1">IFERROR(__xludf.DUMMYFUNCTION("""COMPUTED_VALUE"""),"")</f>
        <v/>
      </c>
      <c r="AD163" s="2" t="str">
        <f ca="1">IFERROR(__xludf.DUMMYFUNCTION("""COMPUTED_VALUE"""),"")</f>
        <v/>
      </c>
      <c r="AE163" s="2" t="str">
        <f ca="1">IFERROR(__xludf.DUMMYFUNCTION("""COMPUTED_VALUE"""),"")</f>
        <v/>
      </c>
      <c r="AF163" s="2" t="str">
        <f ca="1">IFERROR(__xludf.DUMMYFUNCTION("""COMPUTED_VALUE"""),"")</f>
        <v/>
      </c>
      <c r="AG163" s="2" t="str">
        <f ca="1">IFERROR(__xludf.DUMMYFUNCTION("""COMPUTED_VALUE"""),"")</f>
        <v/>
      </c>
      <c r="AH163" s="2" t="str">
        <f ca="1">IFERROR(__xludf.DUMMYFUNCTION("""COMPUTED_VALUE"""),"")</f>
        <v/>
      </c>
      <c r="AI163" s="2" t="str">
        <f ca="1">IFERROR(__xludf.DUMMYFUNCTION("""COMPUTED_VALUE"""),"")</f>
        <v/>
      </c>
      <c r="AJ163" s="2" t="str">
        <f ca="1">IFERROR(__xludf.DUMMYFUNCTION("""COMPUTED_VALUE"""),"")</f>
        <v/>
      </c>
      <c r="AK163" s="2" t="str">
        <f ca="1">IFERROR(__xludf.DUMMYFUNCTION("""COMPUTED_VALUE"""),"")</f>
        <v/>
      </c>
      <c r="AL163" s="2" t="str">
        <f ca="1">IFERROR(__xludf.DUMMYFUNCTION("""COMPUTED_VALUE"""),"")</f>
        <v/>
      </c>
      <c r="AM163" s="2" t="str">
        <f ca="1">IFERROR(__xludf.DUMMYFUNCTION("""COMPUTED_VALUE"""),"")</f>
        <v/>
      </c>
      <c r="AN163" s="2" t="str">
        <f ca="1">IFERROR(__xludf.DUMMYFUNCTION("""COMPUTED_VALUE"""),"")</f>
        <v/>
      </c>
      <c r="AO163" s="2" t="str">
        <f ca="1">IFERROR(__xludf.DUMMYFUNCTION("""COMPUTED_VALUE"""),"")</f>
        <v/>
      </c>
      <c r="AP163" s="2" t="str">
        <f ca="1">IFERROR(__xludf.DUMMYFUNCTION("""COMPUTED_VALUE"""),"")</f>
        <v/>
      </c>
      <c r="AQ163" s="2" t="str">
        <f ca="1">IFERROR(__xludf.DUMMYFUNCTION("""COMPUTED_VALUE"""),"")</f>
        <v/>
      </c>
      <c r="AR163" s="2" t="str">
        <f ca="1">IFERROR(__xludf.DUMMYFUNCTION("""COMPUTED_VALUE"""),"")</f>
        <v/>
      </c>
      <c r="AS163" s="2" t="str">
        <f ca="1">IFERROR(__xludf.DUMMYFUNCTION("""COMPUTED_VALUE"""),"")</f>
        <v/>
      </c>
      <c r="AT163" s="2" t="str">
        <f ca="1">IFERROR(__xludf.DUMMYFUNCTION("""COMPUTED_VALUE"""),"")</f>
        <v/>
      </c>
      <c r="AU163" s="2" t="str">
        <f ca="1">IFERROR(__xludf.DUMMYFUNCTION("""COMPUTED_VALUE"""),"")</f>
        <v/>
      </c>
      <c r="AV163" s="2" t="str">
        <f ca="1">IFERROR(__xludf.DUMMYFUNCTION("""COMPUTED_VALUE"""),"")</f>
        <v/>
      </c>
      <c r="AW163" s="2" t="str">
        <f ca="1">IFERROR(__xludf.DUMMYFUNCTION("""COMPUTED_VALUE"""),"")</f>
        <v/>
      </c>
      <c r="AX163" s="2" t="str">
        <f ca="1">IFERROR(__xludf.DUMMYFUNCTION("""COMPUTED_VALUE"""),"")</f>
        <v/>
      </c>
      <c r="AY163" s="2" t="str">
        <f ca="1">IFERROR(__xludf.DUMMYFUNCTION("""COMPUTED_VALUE"""),"")</f>
        <v/>
      </c>
      <c r="AZ163" s="2" t="str">
        <f ca="1">IFERROR(__xludf.DUMMYFUNCTION("""COMPUTED_VALUE"""),"")</f>
        <v/>
      </c>
      <c r="BA163" s="2" t="str">
        <f ca="1">IFERROR(__xludf.DUMMYFUNCTION("""COMPUTED_VALUE"""),"")</f>
        <v/>
      </c>
      <c r="BB163" s="2" t="str">
        <f ca="1">IFERROR(__xludf.DUMMYFUNCTION("""COMPUTED_VALUE"""),"")</f>
        <v/>
      </c>
      <c r="BC163" s="2" t="str">
        <f ca="1">IFERROR(__xludf.DUMMYFUNCTION("""COMPUTED_VALUE"""),"")</f>
        <v/>
      </c>
      <c r="BD163" s="2" t="str">
        <f ca="1">IFERROR(__xludf.DUMMYFUNCTION("""COMPUTED_VALUE"""),"")</f>
        <v/>
      </c>
      <c r="BE163" s="2" t="str">
        <f ca="1">IFERROR(__xludf.DUMMYFUNCTION("""COMPUTED_VALUE"""),"")</f>
        <v/>
      </c>
      <c r="BF163" t="str">
        <f ca="1">IFERROR(__xludf.DUMMYFUNCTION("""COMPUTED_VALUE"""),"")</f>
        <v/>
      </c>
      <c r="BG163" t="str">
        <f ca="1">IFERROR(__xludf.DUMMYFUNCTION("""COMPUTED_VALUE"""),"")</f>
        <v/>
      </c>
      <c r="BH163" s="2">
        <f ca="1">IFERROR(__xludf.DUMMYFUNCTION("""COMPUTED_VALUE"""),-37.2807808)</f>
        <v>-37.280780800000002</v>
      </c>
      <c r="BI163" s="12">
        <f ca="1">IFERROR(__xludf.DUMMYFUNCTION("""COMPUTED_VALUE"""),175.1463013)</f>
        <v>175.1463013</v>
      </c>
      <c r="BJ163" s="9">
        <f ca="1">IFERROR(__xludf.DUMMYFUNCTION("""COMPUTED_VALUE"""),43483)</f>
        <v>43483</v>
      </c>
      <c r="BK163" s="4">
        <f ca="1">IFERROR(__xludf.DUMMYFUNCTION("""COMPUTED_VALUE"""),0.874074074072268)</f>
        <v>0.874074074072268</v>
      </c>
    </row>
    <row r="164" spans="1:63" ht="12.5" x14ac:dyDescent="0.25">
      <c r="A164" s="7" t="str">
        <f ca="1">IFERROR(__xludf.DUMMYFUNCTION("""COMPUTED_VALUE"""),"")</f>
        <v/>
      </c>
      <c r="B164" s="8" t="str">
        <f ca="1">IFERROR(__xludf.DUMMYFUNCTION("""COMPUTED_VALUE"""),"Waikato")</f>
        <v>Waikato</v>
      </c>
      <c r="C164" s="2">
        <f ca="1">IFERROR(__xludf.DUMMYFUNCTION("""COMPUTED_VALUE"""),64)</f>
        <v>64</v>
      </c>
      <c r="D164" s="9" t="str">
        <f ca="1">IFERROR(__xludf.DUMMYFUNCTION("""COMPUTED_VALUE"""),"")</f>
        <v/>
      </c>
      <c r="E164" s="4" t="str">
        <f ca="1">IFERROR(__xludf.DUMMYFUNCTION("""COMPUTED_VALUE"""),"")</f>
        <v/>
      </c>
      <c r="F164" s="2" t="str">
        <f ca="1">IFERROR(__xludf.DUMMYFUNCTION("""COMPUTED_VALUE"""),"")</f>
        <v/>
      </c>
      <c r="G164" s="2" t="str">
        <f ca="1">IFERROR(__xludf.DUMMYFUNCTION("""COMPUTED_VALUE"""),"GPS: I converted data downloaded from ARGOS using Pinpoint software")</f>
        <v>GPS: I converted data downloaded from ARGOS using Pinpoint software</v>
      </c>
      <c r="H164" s="2" t="str">
        <f ca="1">IFERROR(__xludf.DUMMYFUNCTION("""COMPUTED_VALUE"""),"3D")</f>
        <v>3D</v>
      </c>
      <c r="I164" s="2" t="str">
        <f ca="1">IFERROR(__xludf.DUMMYFUNCTION("""COMPUTED_VALUE"""),"")</f>
        <v/>
      </c>
      <c r="J164" s="2" t="str">
        <f ca="1">IFERROR(__xludf.DUMMYFUNCTION("""COMPUTED_VALUE"""),"")</f>
        <v/>
      </c>
      <c r="K164" s="2" t="str">
        <f ca="1">IFERROR(__xludf.DUMMYFUNCTION("""COMPUTED_VALUE"""),"")</f>
        <v/>
      </c>
      <c r="L164" s="2" t="str">
        <f ca="1">IFERROR(__xludf.DUMMYFUNCTION("""COMPUTED_VALUE"""),"")</f>
        <v/>
      </c>
      <c r="M164" s="5" t="str">
        <f ca="1">IFERROR(__xludf.DUMMYFUNCTION("""COMPUTED_VALUE"""),"")</f>
        <v/>
      </c>
      <c r="N164" s="5" t="str">
        <f ca="1">IFERROR(__xludf.DUMMYFUNCTION("""COMPUTED_VALUE"""),"")</f>
        <v/>
      </c>
      <c r="O164" s="2" t="str">
        <f ca="1">IFERROR(__xludf.DUMMYFUNCTION("""COMPUTED_VALUE"""),"")</f>
        <v/>
      </c>
      <c r="P164" s="2" t="str">
        <f ca="1">IFERROR(__xludf.DUMMYFUNCTION("""COMPUTED_VALUE"""),"")</f>
        <v/>
      </c>
      <c r="Q164" s="2" t="str">
        <f ca="1">IFERROR(__xludf.DUMMYFUNCTION("""COMPUTED_VALUE"""),"")</f>
        <v/>
      </c>
      <c r="R164" s="2" t="str">
        <f ca="1">IFERROR(__xludf.DUMMYFUNCTION("""COMPUTED_VALUE"""),"")</f>
        <v/>
      </c>
      <c r="S164" s="2" t="str">
        <f ca="1">IFERROR(__xludf.DUMMYFUNCTION("""COMPUTED_VALUE"""),"")</f>
        <v/>
      </c>
      <c r="T164" s="2" t="str">
        <f ca="1">IFERROR(__xludf.DUMMYFUNCTION("""COMPUTED_VALUE"""),"")</f>
        <v/>
      </c>
      <c r="U164" s="2" t="str">
        <f ca="1">IFERROR(__xludf.DUMMYFUNCTION("""COMPUTED_VALUE"""),"")</f>
        <v/>
      </c>
      <c r="V164" s="2" t="str">
        <f ca="1">IFERROR(__xludf.DUMMYFUNCTION("""COMPUTED_VALUE"""),"")</f>
        <v/>
      </c>
      <c r="W164" s="2" t="str">
        <f ca="1">IFERROR(__xludf.DUMMYFUNCTION("""COMPUTED_VALUE"""),"")</f>
        <v/>
      </c>
      <c r="X164" s="2" t="str">
        <f ca="1">IFERROR(__xludf.DUMMYFUNCTION("""COMPUTED_VALUE"""),"")</f>
        <v/>
      </c>
      <c r="Y164" s="2" t="str">
        <f ca="1">IFERROR(__xludf.DUMMYFUNCTION("""COMPUTED_VALUE"""),"")</f>
        <v/>
      </c>
      <c r="Z164" s="2" t="str">
        <f ca="1">IFERROR(__xludf.DUMMYFUNCTION("""COMPUTED_VALUE"""),"")</f>
        <v/>
      </c>
      <c r="AA164" s="2" t="str">
        <f ca="1">IFERROR(__xludf.DUMMYFUNCTION("""COMPUTED_VALUE"""),"")</f>
        <v/>
      </c>
      <c r="AB164" s="2" t="str">
        <f ca="1">IFERROR(__xludf.DUMMYFUNCTION("""COMPUTED_VALUE"""),"")</f>
        <v/>
      </c>
      <c r="AC164" s="2" t="str">
        <f ca="1">IFERROR(__xludf.DUMMYFUNCTION("""COMPUTED_VALUE"""),"")</f>
        <v/>
      </c>
      <c r="AD164" s="2" t="str">
        <f ca="1">IFERROR(__xludf.DUMMYFUNCTION("""COMPUTED_VALUE"""),"")</f>
        <v/>
      </c>
      <c r="AE164" s="2" t="str">
        <f ca="1">IFERROR(__xludf.DUMMYFUNCTION("""COMPUTED_VALUE"""),"")</f>
        <v/>
      </c>
      <c r="AF164" s="2" t="str">
        <f ca="1">IFERROR(__xludf.DUMMYFUNCTION("""COMPUTED_VALUE"""),"")</f>
        <v/>
      </c>
      <c r="AG164" s="2" t="str">
        <f ca="1">IFERROR(__xludf.DUMMYFUNCTION("""COMPUTED_VALUE"""),"")</f>
        <v/>
      </c>
      <c r="AH164" s="2" t="str">
        <f ca="1">IFERROR(__xludf.DUMMYFUNCTION("""COMPUTED_VALUE"""),"")</f>
        <v/>
      </c>
      <c r="AI164" s="2" t="str">
        <f ca="1">IFERROR(__xludf.DUMMYFUNCTION("""COMPUTED_VALUE"""),"")</f>
        <v/>
      </c>
      <c r="AJ164" s="2" t="str">
        <f ca="1">IFERROR(__xludf.DUMMYFUNCTION("""COMPUTED_VALUE"""),"")</f>
        <v/>
      </c>
      <c r="AK164" s="2" t="str">
        <f ca="1">IFERROR(__xludf.DUMMYFUNCTION("""COMPUTED_VALUE"""),"")</f>
        <v/>
      </c>
      <c r="AL164" s="2" t="str">
        <f ca="1">IFERROR(__xludf.DUMMYFUNCTION("""COMPUTED_VALUE"""),"")</f>
        <v/>
      </c>
      <c r="AM164" s="2" t="str">
        <f ca="1">IFERROR(__xludf.DUMMYFUNCTION("""COMPUTED_VALUE"""),"")</f>
        <v/>
      </c>
      <c r="AN164" s="2" t="str">
        <f ca="1">IFERROR(__xludf.DUMMYFUNCTION("""COMPUTED_VALUE"""),"")</f>
        <v/>
      </c>
      <c r="AO164" s="2" t="str">
        <f ca="1">IFERROR(__xludf.DUMMYFUNCTION("""COMPUTED_VALUE"""),"")</f>
        <v/>
      </c>
      <c r="AP164" s="2" t="str">
        <f ca="1">IFERROR(__xludf.DUMMYFUNCTION("""COMPUTED_VALUE"""),"")</f>
        <v/>
      </c>
      <c r="AQ164" s="2" t="str">
        <f ca="1">IFERROR(__xludf.DUMMYFUNCTION("""COMPUTED_VALUE"""),"")</f>
        <v/>
      </c>
      <c r="AR164" s="2" t="str">
        <f ca="1">IFERROR(__xludf.DUMMYFUNCTION("""COMPUTED_VALUE"""),"")</f>
        <v/>
      </c>
      <c r="AS164" s="2" t="str">
        <f ca="1">IFERROR(__xludf.DUMMYFUNCTION("""COMPUTED_VALUE"""),"")</f>
        <v/>
      </c>
      <c r="AT164" s="2" t="str">
        <f ca="1">IFERROR(__xludf.DUMMYFUNCTION("""COMPUTED_VALUE"""),"")</f>
        <v/>
      </c>
      <c r="AU164" s="2" t="str">
        <f ca="1">IFERROR(__xludf.DUMMYFUNCTION("""COMPUTED_VALUE"""),"")</f>
        <v/>
      </c>
      <c r="AV164" s="2" t="str">
        <f ca="1">IFERROR(__xludf.DUMMYFUNCTION("""COMPUTED_VALUE"""),"")</f>
        <v/>
      </c>
      <c r="AW164" s="2" t="str">
        <f ca="1">IFERROR(__xludf.DUMMYFUNCTION("""COMPUTED_VALUE"""),"")</f>
        <v/>
      </c>
      <c r="AX164" s="2" t="str">
        <f ca="1">IFERROR(__xludf.DUMMYFUNCTION("""COMPUTED_VALUE"""),"")</f>
        <v/>
      </c>
      <c r="AY164" s="2" t="str">
        <f ca="1">IFERROR(__xludf.DUMMYFUNCTION("""COMPUTED_VALUE"""),"")</f>
        <v/>
      </c>
      <c r="AZ164" s="2" t="str">
        <f ca="1">IFERROR(__xludf.DUMMYFUNCTION("""COMPUTED_VALUE"""),"")</f>
        <v/>
      </c>
      <c r="BA164" s="2" t="str">
        <f ca="1">IFERROR(__xludf.DUMMYFUNCTION("""COMPUTED_VALUE"""),"")</f>
        <v/>
      </c>
      <c r="BB164" s="2" t="str">
        <f ca="1">IFERROR(__xludf.DUMMYFUNCTION("""COMPUTED_VALUE"""),"")</f>
        <v/>
      </c>
      <c r="BC164" s="2" t="str">
        <f ca="1">IFERROR(__xludf.DUMMYFUNCTION("""COMPUTED_VALUE"""),"")</f>
        <v/>
      </c>
      <c r="BD164" s="2" t="str">
        <f ca="1">IFERROR(__xludf.DUMMYFUNCTION("""COMPUTED_VALUE"""),"")</f>
        <v/>
      </c>
      <c r="BE164" s="2" t="str">
        <f ca="1">IFERROR(__xludf.DUMMYFUNCTION("""COMPUTED_VALUE"""),"")</f>
        <v/>
      </c>
      <c r="BF164" t="str">
        <f ca="1">IFERROR(__xludf.DUMMYFUNCTION("""COMPUTED_VALUE"""),"")</f>
        <v/>
      </c>
      <c r="BG164" t="str">
        <f ca="1">IFERROR(__xludf.DUMMYFUNCTION("""COMPUTED_VALUE"""),"")</f>
        <v/>
      </c>
      <c r="BH164" s="2">
        <f ca="1">IFERROR(__xludf.DUMMYFUNCTION("""COMPUTED_VALUE"""),-37.2817535)</f>
        <v>-37.281753500000001</v>
      </c>
      <c r="BI164" s="13">
        <f ca="1">IFERROR(__xludf.DUMMYFUNCTION("""COMPUTED_VALUE"""),175.1451721)</f>
        <v>175.1451721</v>
      </c>
      <c r="BJ164" s="9">
        <f ca="1">IFERROR(__xludf.DUMMYFUNCTION("""COMPUTED_VALUE"""),43490)</f>
        <v>43490</v>
      </c>
      <c r="BK164" s="4">
        <f ca="1">IFERROR(__xludf.DUMMYFUNCTION("""COMPUTED_VALUE"""),0.875555555554456)</f>
        <v>0.87555555555445597</v>
      </c>
    </row>
    <row r="165" spans="1:63" ht="12.5" x14ac:dyDescent="0.25">
      <c r="A165" s="7" t="str">
        <f ca="1">IFERROR(__xludf.DUMMYFUNCTION("""COMPUTED_VALUE"""),"")</f>
        <v/>
      </c>
      <c r="B165" s="8" t="str">
        <f ca="1">IFERROR(__xludf.DUMMYFUNCTION("""COMPUTED_VALUE"""),"Waikato")</f>
        <v>Waikato</v>
      </c>
      <c r="C165" s="2">
        <f ca="1">IFERROR(__xludf.DUMMYFUNCTION("""COMPUTED_VALUE"""),64)</f>
        <v>64</v>
      </c>
      <c r="D165" s="9" t="str">
        <f ca="1">IFERROR(__xludf.DUMMYFUNCTION("""COMPUTED_VALUE"""),"")</f>
        <v/>
      </c>
      <c r="E165" s="4" t="str">
        <f ca="1">IFERROR(__xludf.DUMMYFUNCTION("""COMPUTED_VALUE"""),"")</f>
        <v/>
      </c>
      <c r="F165" s="2" t="str">
        <f ca="1">IFERROR(__xludf.DUMMYFUNCTION("""COMPUTED_VALUE"""),"")</f>
        <v/>
      </c>
      <c r="G165" s="2" t="str">
        <f ca="1">IFERROR(__xludf.DUMMYFUNCTION("""COMPUTED_VALUE"""),"GPS: I converted data downloaded from ARGOS using Pinpoint software")</f>
        <v>GPS: I converted data downloaded from ARGOS using Pinpoint software</v>
      </c>
      <c r="H165" s="2" t="str">
        <f ca="1">IFERROR(__xludf.DUMMYFUNCTION("""COMPUTED_VALUE"""),"3D")</f>
        <v>3D</v>
      </c>
      <c r="I165" s="2" t="str">
        <f ca="1">IFERROR(__xludf.DUMMYFUNCTION("""COMPUTED_VALUE"""),"")</f>
        <v/>
      </c>
      <c r="J165" s="2" t="str">
        <f ca="1">IFERROR(__xludf.DUMMYFUNCTION("""COMPUTED_VALUE"""),"")</f>
        <v/>
      </c>
      <c r="K165" s="2" t="str">
        <f ca="1">IFERROR(__xludf.DUMMYFUNCTION("""COMPUTED_VALUE"""),"")</f>
        <v/>
      </c>
      <c r="L165" s="2" t="str">
        <f ca="1">IFERROR(__xludf.DUMMYFUNCTION("""COMPUTED_VALUE"""),"")</f>
        <v/>
      </c>
      <c r="M165" s="5" t="str">
        <f ca="1">IFERROR(__xludf.DUMMYFUNCTION("""COMPUTED_VALUE"""),"")</f>
        <v/>
      </c>
      <c r="N165" s="5" t="str">
        <f ca="1">IFERROR(__xludf.DUMMYFUNCTION("""COMPUTED_VALUE"""),"")</f>
        <v/>
      </c>
      <c r="O165" s="2" t="str">
        <f ca="1">IFERROR(__xludf.DUMMYFUNCTION("""COMPUTED_VALUE"""),"")</f>
        <v/>
      </c>
      <c r="P165" s="2" t="str">
        <f ca="1">IFERROR(__xludf.DUMMYFUNCTION("""COMPUTED_VALUE"""),"")</f>
        <v/>
      </c>
      <c r="Q165" s="2" t="str">
        <f ca="1">IFERROR(__xludf.DUMMYFUNCTION("""COMPUTED_VALUE"""),"")</f>
        <v/>
      </c>
      <c r="R165" s="2" t="str">
        <f ca="1">IFERROR(__xludf.DUMMYFUNCTION("""COMPUTED_VALUE"""),"")</f>
        <v/>
      </c>
      <c r="S165" s="2" t="str">
        <f ca="1">IFERROR(__xludf.DUMMYFUNCTION("""COMPUTED_VALUE"""),"")</f>
        <v/>
      </c>
      <c r="T165" s="2" t="str">
        <f ca="1">IFERROR(__xludf.DUMMYFUNCTION("""COMPUTED_VALUE"""),"")</f>
        <v/>
      </c>
      <c r="U165" s="2" t="str">
        <f ca="1">IFERROR(__xludf.DUMMYFUNCTION("""COMPUTED_VALUE"""),"")</f>
        <v/>
      </c>
      <c r="V165" s="2" t="str">
        <f ca="1">IFERROR(__xludf.DUMMYFUNCTION("""COMPUTED_VALUE"""),"")</f>
        <v/>
      </c>
      <c r="W165" s="2" t="str">
        <f ca="1">IFERROR(__xludf.DUMMYFUNCTION("""COMPUTED_VALUE"""),"")</f>
        <v/>
      </c>
      <c r="X165" s="2" t="str">
        <f ca="1">IFERROR(__xludf.DUMMYFUNCTION("""COMPUTED_VALUE"""),"")</f>
        <v/>
      </c>
      <c r="Y165" s="2" t="str">
        <f ca="1">IFERROR(__xludf.DUMMYFUNCTION("""COMPUTED_VALUE"""),"")</f>
        <v/>
      </c>
      <c r="Z165" s="2" t="str">
        <f ca="1">IFERROR(__xludf.DUMMYFUNCTION("""COMPUTED_VALUE"""),"")</f>
        <v/>
      </c>
      <c r="AA165" s="2" t="str">
        <f ca="1">IFERROR(__xludf.DUMMYFUNCTION("""COMPUTED_VALUE"""),"")</f>
        <v/>
      </c>
      <c r="AB165" s="2" t="str">
        <f ca="1">IFERROR(__xludf.DUMMYFUNCTION("""COMPUTED_VALUE"""),"")</f>
        <v/>
      </c>
      <c r="AC165" s="2" t="str">
        <f ca="1">IFERROR(__xludf.DUMMYFUNCTION("""COMPUTED_VALUE"""),"")</f>
        <v/>
      </c>
      <c r="AD165" s="2" t="str">
        <f ca="1">IFERROR(__xludf.DUMMYFUNCTION("""COMPUTED_VALUE"""),"")</f>
        <v/>
      </c>
      <c r="AE165" s="2" t="str">
        <f ca="1">IFERROR(__xludf.DUMMYFUNCTION("""COMPUTED_VALUE"""),"")</f>
        <v/>
      </c>
      <c r="AF165" s="2" t="str">
        <f ca="1">IFERROR(__xludf.DUMMYFUNCTION("""COMPUTED_VALUE"""),"")</f>
        <v/>
      </c>
      <c r="AG165" s="2" t="str">
        <f ca="1">IFERROR(__xludf.DUMMYFUNCTION("""COMPUTED_VALUE"""),"")</f>
        <v/>
      </c>
      <c r="AH165" s="2" t="str">
        <f ca="1">IFERROR(__xludf.DUMMYFUNCTION("""COMPUTED_VALUE"""),"")</f>
        <v/>
      </c>
      <c r="AI165" s="2" t="str">
        <f ca="1">IFERROR(__xludf.DUMMYFUNCTION("""COMPUTED_VALUE"""),"")</f>
        <v/>
      </c>
      <c r="AJ165" s="2" t="str">
        <f ca="1">IFERROR(__xludf.DUMMYFUNCTION("""COMPUTED_VALUE"""),"")</f>
        <v/>
      </c>
      <c r="AK165" s="2" t="str">
        <f ca="1">IFERROR(__xludf.DUMMYFUNCTION("""COMPUTED_VALUE"""),"")</f>
        <v/>
      </c>
      <c r="AL165" s="2" t="str">
        <f ca="1">IFERROR(__xludf.DUMMYFUNCTION("""COMPUTED_VALUE"""),"")</f>
        <v/>
      </c>
      <c r="AM165" s="2" t="str">
        <f ca="1">IFERROR(__xludf.DUMMYFUNCTION("""COMPUTED_VALUE"""),"")</f>
        <v/>
      </c>
      <c r="AN165" s="2" t="str">
        <f ca="1">IFERROR(__xludf.DUMMYFUNCTION("""COMPUTED_VALUE"""),"")</f>
        <v/>
      </c>
      <c r="AO165" s="2" t="str">
        <f ca="1">IFERROR(__xludf.DUMMYFUNCTION("""COMPUTED_VALUE"""),"")</f>
        <v/>
      </c>
      <c r="AP165" s="2" t="str">
        <f ca="1">IFERROR(__xludf.DUMMYFUNCTION("""COMPUTED_VALUE"""),"")</f>
        <v/>
      </c>
      <c r="AQ165" s="2" t="str">
        <f ca="1">IFERROR(__xludf.DUMMYFUNCTION("""COMPUTED_VALUE"""),"")</f>
        <v/>
      </c>
      <c r="AR165" s="2" t="str">
        <f ca="1">IFERROR(__xludf.DUMMYFUNCTION("""COMPUTED_VALUE"""),"")</f>
        <v/>
      </c>
      <c r="AS165" s="2" t="str">
        <f ca="1">IFERROR(__xludf.DUMMYFUNCTION("""COMPUTED_VALUE"""),"")</f>
        <v/>
      </c>
      <c r="AT165" s="2" t="str">
        <f ca="1">IFERROR(__xludf.DUMMYFUNCTION("""COMPUTED_VALUE"""),"")</f>
        <v/>
      </c>
      <c r="AU165" s="2" t="str">
        <f ca="1">IFERROR(__xludf.DUMMYFUNCTION("""COMPUTED_VALUE"""),"")</f>
        <v/>
      </c>
      <c r="AV165" s="2" t="str">
        <f ca="1">IFERROR(__xludf.DUMMYFUNCTION("""COMPUTED_VALUE"""),"")</f>
        <v/>
      </c>
      <c r="AW165" s="2" t="str">
        <f ca="1">IFERROR(__xludf.DUMMYFUNCTION("""COMPUTED_VALUE"""),"")</f>
        <v/>
      </c>
      <c r="AX165" s="2" t="str">
        <f ca="1">IFERROR(__xludf.DUMMYFUNCTION("""COMPUTED_VALUE"""),"")</f>
        <v/>
      </c>
      <c r="AY165" s="2" t="str">
        <f ca="1">IFERROR(__xludf.DUMMYFUNCTION("""COMPUTED_VALUE"""),"")</f>
        <v/>
      </c>
      <c r="AZ165" s="2" t="str">
        <f ca="1">IFERROR(__xludf.DUMMYFUNCTION("""COMPUTED_VALUE"""),"")</f>
        <v/>
      </c>
      <c r="BA165" s="2" t="str">
        <f ca="1">IFERROR(__xludf.DUMMYFUNCTION("""COMPUTED_VALUE"""),"")</f>
        <v/>
      </c>
      <c r="BB165" s="2" t="str">
        <f ca="1">IFERROR(__xludf.DUMMYFUNCTION("""COMPUTED_VALUE"""),"")</f>
        <v/>
      </c>
      <c r="BC165" s="2" t="str">
        <f ca="1">IFERROR(__xludf.DUMMYFUNCTION("""COMPUTED_VALUE"""),"")</f>
        <v/>
      </c>
      <c r="BD165" s="2" t="str">
        <f ca="1">IFERROR(__xludf.DUMMYFUNCTION("""COMPUTED_VALUE"""),"")</f>
        <v/>
      </c>
      <c r="BE165" s="2" t="str">
        <f ca="1">IFERROR(__xludf.DUMMYFUNCTION("""COMPUTED_VALUE"""),"")</f>
        <v/>
      </c>
      <c r="BF165" t="str">
        <f ca="1">IFERROR(__xludf.DUMMYFUNCTION("""COMPUTED_VALUE"""),"")</f>
        <v/>
      </c>
      <c r="BG165" t="str">
        <f ca="1">IFERROR(__xludf.DUMMYFUNCTION("""COMPUTED_VALUE"""),"")</f>
        <v/>
      </c>
      <c r="BH165" s="2">
        <f ca="1">IFERROR(__xludf.DUMMYFUNCTION("""COMPUTED_VALUE"""),-37.2807312)</f>
        <v>-37.280731199999998</v>
      </c>
      <c r="BI165" s="12">
        <f ca="1">IFERROR(__xludf.DUMMYFUNCTION("""COMPUTED_VALUE"""),175.1442566)</f>
        <v>175.14425660000001</v>
      </c>
      <c r="BJ165" s="9">
        <f ca="1">IFERROR(__xludf.DUMMYFUNCTION("""COMPUTED_VALUE"""),43497)</f>
        <v>43497</v>
      </c>
      <c r="BK165" s="4">
        <f ca="1">IFERROR(__xludf.DUMMYFUNCTION("""COMPUTED_VALUE"""),0.874074074072268)</f>
        <v>0.874074074072268</v>
      </c>
    </row>
    <row r="166" spans="1:63" ht="12.5" x14ac:dyDescent="0.25">
      <c r="A166" s="7" t="str">
        <f ca="1">IFERROR(__xludf.DUMMYFUNCTION("""COMPUTED_VALUE"""),"")</f>
        <v/>
      </c>
      <c r="B166" s="8" t="str">
        <f ca="1">IFERROR(__xludf.DUMMYFUNCTION("""COMPUTED_VALUE"""),"Waikato")</f>
        <v>Waikato</v>
      </c>
      <c r="C166" s="2">
        <f ca="1">IFERROR(__xludf.DUMMYFUNCTION("""COMPUTED_VALUE"""),64)</f>
        <v>64</v>
      </c>
      <c r="D166" s="9" t="str">
        <f ca="1">IFERROR(__xludf.DUMMYFUNCTION("""COMPUTED_VALUE"""),"")</f>
        <v/>
      </c>
      <c r="E166" s="4" t="str">
        <f ca="1">IFERROR(__xludf.DUMMYFUNCTION("""COMPUTED_VALUE"""),"")</f>
        <v/>
      </c>
      <c r="F166" s="2" t="str">
        <f ca="1">IFERROR(__xludf.DUMMYFUNCTION("""COMPUTED_VALUE"""),"")</f>
        <v/>
      </c>
      <c r="G166" s="2" t="str">
        <f ca="1">IFERROR(__xludf.DUMMYFUNCTION("""COMPUTED_VALUE"""),"GPS: I converted data downloaded from ARGOS using Pinpoint software")</f>
        <v>GPS: I converted data downloaded from ARGOS using Pinpoint software</v>
      </c>
      <c r="H166" s="2" t="str">
        <f ca="1">IFERROR(__xludf.DUMMYFUNCTION("""COMPUTED_VALUE"""),"3D")</f>
        <v>3D</v>
      </c>
      <c r="I166" s="2" t="str">
        <f ca="1">IFERROR(__xludf.DUMMYFUNCTION("""COMPUTED_VALUE"""),"")</f>
        <v/>
      </c>
      <c r="J166" s="2" t="str">
        <f ca="1">IFERROR(__xludf.DUMMYFUNCTION("""COMPUTED_VALUE"""),"")</f>
        <v/>
      </c>
      <c r="K166" s="2" t="str">
        <f ca="1">IFERROR(__xludf.DUMMYFUNCTION("""COMPUTED_VALUE"""),"")</f>
        <v/>
      </c>
      <c r="L166" s="2" t="str">
        <f ca="1">IFERROR(__xludf.DUMMYFUNCTION("""COMPUTED_VALUE"""),"")</f>
        <v/>
      </c>
      <c r="M166" s="5" t="str">
        <f ca="1">IFERROR(__xludf.DUMMYFUNCTION("""COMPUTED_VALUE"""),"")</f>
        <v/>
      </c>
      <c r="N166" s="5" t="str">
        <f ca="1">IFERROR(__xludf.DUMMYFUNCTION("""COMPUTED_VALUE"""),"")</f>
        <v/>
      </c>
      <c r="O166" s="2" t="str">
        <f ca="1">IFERROR(__xludf.DUMMYFUNCTION("""COMPUTED_VALUE"""),"")</f>
        <v/>
      </c>
      <c r="P166" s="2" t="str">
        <f ca="1">IFERROR(__xludf.DUMMYFUNCTION("""COMPUTED_VALUE"""),"")</f>
        <v/>
      </c>
      <c r="Q166" s="2" t="str">
        <f ca="1">IFERROR(__xludf.DUMMYFUNCTION("""COMPUTED_VALUE"""),"")</f>
        <v/>
      </c>
      <c r="R166" s="2" t="str">
        <f ca="1">IFERROR(__xludf.DUMMYFUNCTION("""COMPUTED_VALUE"""),"")</f>
        <v/>
      </c>
      <c r="S166" s="2" t="str">
        <f ca="1">IFERROR(__xludf.DUMMYFUNCTION("""COMPUTED_VALUE"""),"")</f>
        <v/>
      </c>
      <c r="T166" s="2" t="str">
        <f ca="1">IFERROR(__xludf.DUMMYFUNCTION("""COMPUTED_VALUE"""),"")</f>
        <v/>
      </c>
      <c r="U166" s="2" t="str">
        <f ca="1">IFERROR(__xludf.DUMMYFUNCTION("""COMPUTED_VALUE"""),"")</f>
        <v/>
      </c>
      <c r="V166" s="2" t="str">
        <f ca="1">IFERROR(__xludf.DUMMYFUNCTION("""COMPUTED_VALUE"""),"")</f>
        <v/>
      </c>
      <c r="W166" s="2" t="str">
        <f ca="1">IFERROR(__xludf.DUMMYFUNCTION("""COMPUTED_VALUE"""),"")</f>
        <v/>
      </c>
      <c r="X166" s="2" t="str">
        <f ca="1">IFERROR(__xludf.DUMMYFUNCTION("""COMPUTED_VALUE"""),"")</f>
        <v/>
      </c>
      <c r="Y166" s="2" t="str">
        <f ca="1">IFERROR(__xludf.DUMMYFUNCTION("""COMPUTED_VALUE"""),"")</f>
        <v/>
      </c>
      <c r="Z166" s="2" t="str">
        <f ca="1">IFERROR(__xludf.DUMMYFUNCTION("""COMPUTED_VALUE"""),"")</f>
        <v/>
      </c>
      <c r="AA166" s="2" t="str">
        <f ca="1">IFERROR(__xludf.DUMMYFUNCTION("""COMPUTED_VALUE"""),"")</f>
        <v/>
      </c>
      <c r="AB166" s="2" t="str">
        <f ca="1">IFERROR(__xludf.DUMMYFUNCTION("""COMPUTED_VALUE"""),"")</f>
        <v/>
      </c>
      <c r="AC166" s="2" t="str">
        <f ca="1">IFERROR(__xludf.DUMMYFUNCTION("""COMPUTED_VALUE"""),"")</f>
        <v/>
      </c>
      <c r="AD166" s="2" t="str">
        <f ca="1">IFERROR(__xludf.DUMMYFUNCTION("""COMPUTED_VALUE"""),"")</f>
        <v/>
      </c>
      <c r="AE166" s="2" t="str">
        <f ca="1">IFERROR(__xludf.DUMMYFUNCTION("""COMPUTED_VALUE"""),"")</f>
        <v/>
      </c>
      <c r="AF166" s="2" t="str">
        <f ca="1">IFERROR(__xludf.DUMMYFUNCTION("""COMPUTED_VALUE"""),"")</f>
        <v/>
      </c>
      <c r="AG166" s="2" t="str">
        <f ca="1">IFERROR(__xludf.DUMMYFUNCTION("""COMPUTED_VALUE"""),"")</f>
        <v/>
      </c>
      <c r="AH166" s="2" t="str">
        <f ca="1">IFERROR(__xludf.DUMMYFUNCTION("""COMPUTED_VALUE"""),"")</f>
        <v/>
      </c>
      <c r="AI166" s="2" t="str">
        <f ca="1">IFERROR(__xludf.DUMMYFUNCTION("""COMPUTED_VALUE"""),"")</f>
        <v/>
      </c>
      <c r="AJ166" s="2" t="str">
        <f ca="1">IFERROR(__xludf.DUMMYFUNCTION("""COMPUTED_VALUE"""),"")</f>
        <v/>
      </c>
      <c r="AK166" s="2" t="str">
        <f ca="1">IFERROR(__xludf.DUMMYFUNCTION("""COMPUTED_VALUE"""),"")</f>
        <v/>
      </c>
      <c r="AL166" s="2" t="str">
        <f ca="1">IFERROR(__xludf.DUMMYFUNCTION("""COMPUTED_VALUE"""),"")</f>
        <v/>
      </c>
      <c r="AM166" s="2" t="str">
        <f ca="1">IFERROR(__xludf.DUMMYFUNCTION("""COMPUTED_VALUE"""),"")</f>
        <v/>
      </c>
      <c r="AN166" s="2" t="str">
        <f ca="1">IFERROR(__xludf.DUMMYFUNCTION("""COMPUTED_VALUE"""),"")</f>
        <v/>
      </c>
      <c r="AO166" s="2" t="str">
        <f ca="1">IFERROR(__xludf.DUMMYFUNCTION("""COMPUTED_VALUE"""),"")</f>
        <v/>
      </c>
      <c r="AP166" s="2" t="str">
        <f ca="1">IFERROR(__xludf.DUMMYFUNCTION("""COMPUTED_VALUE"""),"")</f>
        <v/>
      </c>
      <c r="AQ166" s="2" t="str">
        <f ca="1">IFERROR(__xludf.DUMMYFUNCTION("""COMPUTED_VALUE"""),"")</f>
        <v/>
      </c>
      <c r="AR166" s="2" t="str">
        <f ca="1">IFERROR(__xludf.DUMMYFUNCTION("""COMPUTED_VALUE"""),"")</f>
        <v/>
      </c>
      <c r="AS166" s="2" t="str">
        <f ca="1">IFERROR(__xludf.DUMMYFUNCTION("""COMPUTED_VALUE"""),"")</f>
        <v/>
      </c>
      <c r="AT166" s="2" t="str">
        <f ca="1">IFERROR(__xludf.DUMMYFUNCTION("""COMPUTED_VALUE"""),"")</f>
        <v/>
      </c>
      <c r="AU166" s="2" t="str">
        <f ca="1">IFERROR(__xludf.DUMMYFUNCTION("""COMPUTED_VALUE"""),"")</f>
        <v/>
      </c>
      <c r="AV166" s="2" t="str">
        <f ca="1">IFERROR(__xludf.DUMMYFUNCTION("""COMPUTED_VALUE"""),"")</f>
        <v/>
      </c>
      <c r="AW166" s="2" t="str">
        <f ca="1">IFERROR(__xludf.DUMMYFUNCTION("""COMPUTED_VALUE"""),"")</f>
        <v/>
      </c>
      <c r="AX166" s="2" t="str">
        <f ca="1">IFERROR(__xludf.DUMMYFUNCTION("""COMPUTED_VALUE"""),"")</f>
        <v/>
      </c>
      <c r="AY166" s="2" t="str">
        <f ca="1">IFERROR(__xludf.DUMMYFUNCTION("""COMPUTED_VALUE"""),"")</f>
        <v/>
      </c>
      <c r="AZ166" s="2" t="str">
        <f ca="1">IFERROR(__xludf.DUMMYFUNCTION("""COMPUTED_VALUE"""),"")</f>
        <v/>
      </c>
      <c r="BA166" s="2" t="str">
        <f ca="1">IFERROR(__xludf.DUMMYFUNCTION("""COMPUTED_VALUE"""),"")</f>
        <v/>
      </c>
      <c r="BB166" s="2" t="str">
        <f ca="1">IFERROR(__xludf.DUMMYFUNCTION("""COMPUTED_VALUE"""),"")</f>
        <v/>
      </c>
      <c r="BC166" s="2" t="str">
        <f ca="1">IFERROR(__xludf.DUMMYFUNCTION("""COMPUTED_VALUE"""),"")</f>
        <v/>
      </c>
      <c r="BD166" s="2" t="str">
        <f ca="1">IFERROR(__xludf.DUMMYFUNCTION("""COMPUTED_VALUE"""),"")</f>
        <v/>
      </c>
      <c r="BE166" s="2" t="str">
        <f ca="1">IFERROR(__xludf.DUMMYFUNCTION("""COMPUTED_VALUE"""),"")</f>
        <v/>
      </c>
      <c r="BF166" t="str">
        <f ca="1">IFERROR(__xludf.DUMMYFUNCTION("""COMPUTED_VALUE"""),"")</f>
        <v/>
      </c>
      <c r="BG166" t="str">
        <f ca="1">IFERROR(__xludf.DUMMYFUNCTION("""COMPUTED_VALUE"""),"")</f>
        <v/>
      </c>
      <c r="BH166" s="2">
        <f ca="1">IFERROR(__xludf.DUMMYFUNCTION("""COMPUTED_VALUE"""),-37.2889214)</f>
        <v>-37.2889214</v>
      </c>
      <c r="BI166" s="13">
        <f ca="1">IFERROR(__xludf.DUMMYFUNCTION("""COMPUTED_VALUE"""),175.1534271)</f>
        <v>175.15342709999999</v>
      </c>
      <c r="BJ166" s="9">
        <f ca="1">IFERROR(__xludf.DUMMYFUNCTION("""COMPUTED_VALUE"""),43504)</f>
        <v>43504</v>
      </c>
      <c r="BK166" s="4">
        <f ca="1">IFERROR(__xludf.DUMMYFUNCTION("""COMPUTED_VALUE"""),0.875555555554456)</f>
        <v>0.87555555555445597</v>
      </c>
    </row>
    <row r="167" spans="1:63" ht="12.5" x14ac:dyDescent="0.25">
      <c r="A167" s="7" t="str">
        <f ca="1">IFERROR(__xludf.DUMMYFUNCTION("""COMPUTED_VALUE"""),"")</f>
        <v/>
      </c>
      <c r="B167" s="8" t="str">
        <f ca="1">IFERROR(__xludf.DUMMYFUNCTION("""COMPUTED_VALUE"""),"Waikato")</f>
        <v>Waikato</v>
      </c>
      <c r="C167" s="2">
        <f ca="1">IFERROR(__xludf.DUMMYFUNCTION("""COMPUTED_VALUE"""),64)</f>
        <v>64</v>
      </c>
      <c r="D167" s="9" t="str">
        <f ca="1">IFERROR(__xludf.DUMMYFUNCTION("""COMPUTED_VALUE"""),"")</f>
        <v/>
      </c>
      <c r="E167" s="4" t="str">
        <f ca="1">IFERROR(__xludf.DUMMYFUNCTION("""COMPUTED_VALUE"""),"")</f>
        <v/>
      </c>
      <c r="F167" s="2" t="str">
        <f ca="1">IFERROR(__xludf.DUMMYFUNCTION("""COMPUTED_VALUE"""),"")</f>
        <v/>
      </c>
      <c r="G167" s="2" t="str">
        <f ca="1">IFERROR(__xludf.DUMMYFUNCTION("""COMPUTED_VALUE"""),"GPS: I converted data downloaded from ARGOS using Pinpoint software")</f>
        <v>GPS: I converted data downloaded from ARGOS using Pinpoint software</v>
      </c>
      <c r="H167" s="2" t="str">
        <f ca="1">IFERROR(__xludf.DUMMYFUNCTION("""COMPUTED_VALUE"""),"3D")</f>
        <v>3D</v>
      </c>
      <c r="I167" s="2" t="str">
        <f ca="1">IFERROR(__xludf.DUMMYFUNCTION("""COMPUTED_VALUE"""),"")</f>
        <v/>
      </c>
      <c r="J167" s="2" t="str">
        <f ca="1">IFERROR(__xludf.DUMMYFUNCTION("""COMPUTED_VALUE"""),"")</f>
        <v/>
      </c>
      <c r="K167" s="2" t="str">
        <f ca="1">IFERROR(__xludf.DUMMYFUNCTION("""COMPUTED_VALUE"""),"")</f>
        <v/>
      </c>
      <c r="L167" s="2" t="str">
        <f ca="1">IFERROR(__xludf.DUMMYFUNCTION("""COMPUTED_VALUE"""),"")</f>
        <v/>
      </c>
      <c r="M167" s="5" t="str">
        <f ca="1">IFERROR(__xludf.DUMMYFUNCTION("""COMPUTED_VALUE"""),"")</f>
        <v/>
      </c>
      <c r="N167" s="5" t="str">
        <f ca="1">IFERROR(__xludf.DUMMYFUNCTION("""COMPUTED_VALUE"""),"")</f>
        <v/>
      </c>
      <c r="O167" s="2" t="str">
        <f ca="1">IFERROR(__xludf.DUMMYFUNCTION("""COMPUTED_VALUE"""),"")</f>
        <v/>
      </c>
      <c r="P167" s="2" t="str">
        <f ca="1">IFERROR(__xludf.DUMMYFUNCTION("""COMPUTED_VALUE"""),"")</f>
        <v/>
      </c>
      <c r="Q167" s="2" t="str">
        <f ca="1">IFERROR(__xludf.DUMMYFUNCTION("""COMPUTED_VALUE"""),"")</f>
        <v/>
      </c>
      <c r="R167" s="2" t="str">
        <f ca="1">IFERROR(__xludf.DUMMYFUNCTION("""COMPUTED_VALUE"""),"")</f>
        <v/>
      </c>
      <c r="S167" s="2" t="str">
        <f ca="1">IFERROR(__xludf.DUMMYFUNCTION("""COMPUTED_VALUE"""),"")</f>
        <v/>
      </c>
      <c r="T167" s="2" t="str">
        <f ca="1">IFERROR(__xludf.DUMMYFUNCTION("""COMPUTED_VALUE"""),"")</f>
        <v/>
      </c>
      <c r="U167" s="2" t="str">
        <f ca="1">IFERROR(__xludf.DUMMYFUNCTION("""COMPUTED_VALUE"""),"")</f>
        <v/>
      </c>
      <c r="V167" s="2" t="str">
        <f ca="1">IFERROR(__xludf.DUMMYFUNCTION("""COMPUTED_VALUE"""),"")</f>
        <v/>
      </c>
      <c r="W167" s="2" t="str">
        <f ca="1">IFERROR(__xludf.DUMMYFUNCTION("""COMPUTED_VALUE"""),"")</f>
        <v/>
      </c>
      <c r="X167" s="2" t="str">
        <f ca="1">IFERROR(__xludf.DUMMYFUNCTION("""COMPUTED_VALUE"""),"")</f>
        <v/>
      </c>
      <c r="Y167" s="2" t="str">
        <f ca="1">IFERROR(__xludf.DUMMYFUNCTION("""COMPUTED_VALUE"""),"")</f>
        <v/>
      </c>
      <c r="Z167" s="2" t="str">
        <f ca="1">IFERROR(__xludf.DUMMYFUNCTION("""COMPUTED_VALUE"""),"")</f>
        <v/>
      </c>
      <c r="AA167" s="2" t="str">
        <f ca="1">IFERROR(__xludf.DUMMYFUNCTION("""COMPUTED_VALUE"""),"")</f>
        <v/>
      </c>
      <c r="AB167" s="2" t="str">
        <f ca="1">IFERROR(__xludf.DUMMYFUNCTION("""COMPUTED_VALUE"""),"")</f>
        <v/>
      </c>
      <c r="AC167" s="2" t="str">
        <f ca="1">IFERROR(__xludf.DUMMYFUNCTION("""COMPUTED_VALUE"""),"")</f>
        <v/>
      </c>
      <c r="AD167" s="2" t="str">
        <f ca="1">IFERROR(__xludf.DUMMYFUNCTION("""COMPUTED_VALUE"""),"")</f>
        <v/>
      </c>
      <c r="AE167" s="2" t="str">
        <f ca="1">IFERROR(__xludf.DUMMYFUNCTION("""COMPUTED_VALUE"""),"")</f>
        <v/>
      </c>
      <c r="AF167" s="2" t="str">
        <f ca="1">IFERROR(__xludf.DUMMYFUNCTION("""COMPUTED_VALUE"""),"")</f>
        <v/>
      </c>
      <c r="AG167" s="2" t="str">
        <f ca="1">IFERROR(__xludf.DUMMYFUNCTION("""COMPUTED_VALUE"""),"")</f>
        <v/>
      </c>
      <c r="AH167" s="2" t="str">
        <f ca="1">IFERROR(__xludf.DUMMYFUNCTION("""COMPUTED_VALUE"""),"")</f>
        <v/>
      </c>
      <c r="AI167" s="2" t="str">
        <f ca="1">IFERROR(__xludf.DUMMYFUNCTION("""COMPUTED_VALUE"""),"")</f>
        <v/>
      </c>
      <c r="AJ167" s="2" t="str">
        <f ca="1">IFERROR(__xludf.DUMMYFUNCTION("""COMPUTED_VALUE"""),"")</f>
        <v/>
      </c>
      <c r="AK167" s="2" t="str">
        <f ca="1">IFERROR(__xludf.DUMMYFUNCTION("""COMPUTED_VALUE"""),"")</f>
        <v/>
      </c>
      <c r="AL167" s="2" t="str">
        <f ca="1">IFERROR(__xludf.DUMMYFUNCTION("""COMPUTED_VALUE"""),"")</f>
        <v/>
      </c>
      <c r="AM167" s="2" t="str">
        <f ca="1">IFERROR(__xludf.DUMMYFUNCTION("""COMPUTED_VALUE"""),"")</f>
        <v/>
      </c>
      <c r="AN167" s="2" t="str">
        <f ca="1">IFERROR(__xludf.DUMMYFUNCTION("""COMPUTED_VALUE"""),"")</f>
        <v/>
      </c>
      <c r="AO167" s="2" t="str">
        <f ca="1">IFERROR(__xludf.DUMMYFUNCTION("""COMPUTED_VALUE"""),"")</f>
        <v/>
      </c>
      <c r="AP167" s="2" t="str">
        <f ca="1">IFERROR(__xludf.DUMMYFUNCTION("""COMPUTED_VALUE"""),"")</f>
        <v/>
      </c>
      <c r="AQ167" s="2" t="str">
        <f ca="1">IFERROR(__xludf.DUMMYFUNCTION("""COMPUTED_VALUE"""),"")</f>
        <v/>
      </c>
      <c r="AR167" s="2" t="str">
        <f ca="1">IFERROR(__xludf.DUMMYFUNCTION("""COMPUTED_VALUE"""),"")</f>
        <v/>
      </c>
      <c r="AS167" s="2" t="str">
        <f ca="1">IFERROR(__xludf.DUMMYFUNCTION("""COMPUTED_VALUE"""),"")</f>
        <v/>
      </c>
      <c r="AT167" s="2" t="str">
        <f ca="1">IFERROR(__xludf.DUMMYFUNCTION("""COMPUTED_VALUE"""),"")</f>
        <v/>
      </c>
      <c r="AU167" s="2" t="str">
        <f ca="1">IFERROR(__xludf.DUMMYFUNCTION("""COMPUTED_VALUE"""),"")</f>
        <v/>
      </c>
      <c r="AV167" s="2" t="str">
        <f ca="1">IFERROR(__xludf.DUMMYFUNCTION("""COMPUTED_VALUE"""),"")</f>
        <v/>
      </c>
      <c r="AW167" s="2" t="str">
        <f ca="1">IFERROR(__xludf.DUMMYFUNCTION("""COMPUTED_VALUE"""),"")</f>
        <v/>
      </c>
      <c r="AX167" s="2" t="str">
        <f ca="1">IFERROR(__xludf.DUMMYFUNCTION("""COMPUTED_VALUE"""),"")</f>
        <v/>
      </c>
      <c r="AY167" s="2" t="str">
        <f ca="1">IFERROR(__xludf.DUMMYFUNCTION("""COMPUTED_VALUE"""),"")</f>
        <v/>
      </c>
      <c r="AZ167" s="2" t="str">
        <f ca="1">IFERROR(__xludf.DUMMYFUNCTION("""COMPUTED_VALUE"""),"")</f>
        <v/>
      </c>
      <c r="BA167" s="2" t="str">
        <f ca="1">IFERROR(__xludf.DUMMYFUNCTION("""COMPUTED_VALUE"""),"")</f>
        <v/>
      </c>
      <c r="BB167" s="2" t="str">
        <f ca="1">IFERROR(__xludf.DUMMYFUNCTION("""COMPUTED_VALUE"""),"")</f>
        <v/>
      </c>
      <c r="BC167" s="2" t="str">
        <f ca="1">IFERROR(__xludf.DUMMYFUNCTION("""COMPUTED_VALUE"""),"")</f>
        <v/>
      </c>
      <c r="BD167" s="2" t="str">
        <f ca="1">IFERROR(__xludf.DUMMYFUNCTION("""COMPUTED_VALUE"""),"")</f>
        <v/>
      </c>
      <c r="BE167" s="2" t="str">
        <f ca="1">IFERROR(__xludf.DUMMYFUNCTION("""COMPUTED_VALUE"""),"")</f>
        <v/>
      </c>
      <c r="BF167" t="str">
        <f ca="1">IFERROR(__xludf.DUMMYFUNCTION("""COMPUTED_VALUE"""),"")</f>
        <v/>
      </c>
      <c r="BG167" t="str">
        <f ca="1">IFERROR(__xludf.DUMMYFUNCTION("""COMPUTED_VALUE"""),"")</f>
        <v/>
      </c>
      <c r="BH167" s="2">
        <f ca="1">IFERROR(__xludf.DUMMYFUNCTION("""COMPUTED_VALUE"""),-37.2872047)</f>
        <v>-37.287204699999997</v>
      </c>
      <c r="BI167" s="12">
        <f ca="1">IFERROR(__xludf.DUMMYFUNCTION("""COMPUTED_VALUE"""),175.1515045)</f>
        <v>175.15150449999999</v>
      </c>
      <c r="BJ167" s="9">
        <f ca="1">IFERROR(__xludf.DUMMYFUNCTION("""COMPUTED_VALUE"""),43511)</f>
        <v>43511</v>
      </c>
      <c r="BK167" s="4">
        <f ca="1">IFERROR(__xludf.DUMMYFUNCTION("""COMPUTED_VALUE"""),0.874074074072268)</f>
        <v>0.874074074072268</v>
      </c>
    </row>
    <row r="168" spans="1:63" ht="12.5" x14ac:dyDescent="0.25">
      <c r="A168" s="7" t="str">
        <f ca="1">IFERROR(__xludf.DUMMYFUNCTION("""COMPUTED_VALUE"""),"")</f>
        <v/>
      </c>
      <c r="B168" s="8" t="str">
        <f ca="1">IFERROR(__xludf.DUMMYFUNCTION("""COMPUTED_VALUE"""),"Waikato")</f>
        <v>Waikato</v>
      </c>
      <c r="C168" s="2">
        <f ca="1">IFERROR(__xludf.DUMMYFUNCTION("""COMPUTED_VALUE"""),23)</f>
        <v>23</v>
      </c>
      <c r="D168" s="9" t="str">
        <f ca="1">IFERROR(__xludf.DUMMYFUNCTION("""COMPUTED_VALUE"""),"")</f>
        <v/>
      </c>
      <c r="E168" s="4" t="str">
        <f ca="1">IFERROR(__xludf.DUMMYFUNCTION("""COMPUTED_VALUE"""),"")</f>
        <v/>
      </c>
      <c r="F168" s="2" t="str">
        <f ca="1">IFERROR(__xludf.DUMMYFUNCTION("""COMPUTED_VALUE"""),"")</f>
        <v/>
      </c>
      <c r="G168" s="2" t="str">
        <f ca="1">IFERROR(__xludf.DUMMYFUNCTION("""COMPUTED_VALUE"""),"GPS: I converted data downloaded from ARGOS using Pinpoint software")</f>
        <v>GPS: I converted data downloaded from ARGOS using Pinpoint software</v>
      </c>
      <c r="H168" s="2" t="str">
        <f ca="1">IFERROR(__xludf.DUMMYFUNCTION("""COMPUTED_VALUE"""),"3D")</f>
        <v>3D</v>
      </c>
      <c r="I168" s="2" t="str">
        <f ca="1">IFERROR(__xludf.DUMMYFUNCTION("""COMPUTED_VALUE"""),"")</f>
        <v/>
      </c>
      <c r="J168" s="2" t="str">
        <f ca="1">IFERROR(__xludf.DUMMYFUNCTION("""COMPUTED_VALUE"""),"")</f>
        <v/>
      </c>
      <c r="K168" s="2" t="str">
        <f ca="1">IFERROR(__xludf.DUMMYFUNCTION("""COMPUTED_VALUE"""),"")</f>
        <v/>
      </c>
      <c r="L168" s="2" t="str">
        <f ca="1">IFERROR(__xludf.DUMMYFUNCTION("""COMPUTED_VALUE"""),"")</f>
        <v/>
      </c>
      <c r="M168" s="5" t="str">
        <f ca="1">IFERROR(__xludf.DUMMYFUNCTION("""COMPUTED_VALUE"""),"")</f>
        <v/>
      </c>
      <c r="N168" s="5" t="str">
        <f ca="1">IFERROR(__xludf.DUMMYFUNCTION("""COMPUTED_VALUE"""),"")</f>
        <v/>
      </c>
      <c r="O168" s="2" t="str">
        <f ca="1">IFERROR(__xludf.DUMMYFUNCTION("""COMPUTED_VALUE"""),"")</f>
        <v/>
      </c>
      <c r="P168" s="2" t="str">
        <f ca="1">IFERROR(__xludf.DUMMYFUNCTION("""COMPUTED_VALUE"""),"")</f>
        <v/>
      </c>
      <c r="Q168" s="2" t="str">
        <f ca="1">IFERROR(__xludf.DUMMYFUNCTION("""COMPUTED_VALUE"""),"")</f>
        <v/>
      </c>
      <c r="R168" s="2" t="str">
        <f ca="1">IFERROR(__xludf.DUMMYFUNCTION("""COMPUTED_VALUE"""),"")</f>
        <v/>
      </c>
      <c r="S168" s="2" t="str">
        <f ca="1">IFERROR(__xludf.DUMMYFUNCTION("""COMPUTED_VALUE"""),"")</f>
        <v/>
      </c>
      <c r="T168" s="2" t="str">
        <f ca="1">IFERROR(__xludf.DUMMYFUNCTION("""COMPUTED_VALUE"""),"")</f>
        <v/>
      </c>
      <c r="U168" s="2" t="str">
        <f ca="1">IFERROR(__xludf.DUMMYFUNCTION("""COMPUTED_VALUE"""),"")</f>
        <v/>
      </c>
      <c r="V168" s="2" t="str">
        <f ca="1">IFERROR(__xludf.DUMMYFUNCTION("""COMPUTED_VALUE"""),"")</f>
        <v/>
      </c>
      <c r="W168" s="2" t="str">
        <f ca="1">IFERROR(__xludf.DUMMYFUNCTION("""COMPUTED_VALUE"""),"")</f>
        <v/>
      </c>
      <c r="X168" s="2" t="str">
        <f ca="1">IFERROR(__xludf.DUMMYFUNCTION("""COMPUTED_VALUE"""),"")</f>
        <v/>
      </c>
      <c r="Y168" s="2" t="str">
        <f ca="1">IFERROR(__xludf.DUMMYFUNCTION("""COMPUTED_VALUE"""),"")</f>
        <v/>
      </c>
      <c r="Z168" s="2" t="str">
        <f ca="1">IFERROR(__xludf.DUMMYFUNCTION("""COMPUTED_VALUE"""),"")</f>
        <v/>
      </c>
      <c r="AA168" s="2" t="str">
        <f ca="1">IFERROR(__xludf.DUMMYFUNCTION("""COMPUTED_VALUE"""),"")</f>
        <v/>
      </c>
      <c r="AB168" s="2" t="str">
        <f ca="1">IFERROR(__xludf.DUMMYFUNCTION("""COMPUTED_VALUE"""),"")</f>
        <v/>
      </c>
      <c r="AC168" s="2" t="str">
        <f ca="1">IFERROR(__xludf.DUMMYFUNCTION("""COMPUTED_VALUE"""),"")</f>
        <v/>
      </c>
      <c r="AD168" s="2" t="str">
        <f ca="1">IFERROR(__xludf.DUMMYFUNCTION("""COMPUTED_VALUE"""),"")</f>
        <v/>
      </c>
      <c r="AE168" s="2" t="str">
        <f ca="1">IFERROR(__xludf.DUMMYFUNCTION("""COMPUTED_VALUE"""),"")</f>
        <v/>
      </c>
      <c r="AF168" s="2" t="str">
        <f ca="1">IFERROR(__xludf.DUMMYFUNCTION("""COMPUTED_VALUE"""),"")</f>
        <v/>
      </c>
      <c r="AG168" s="2" t="str">
        <f ca="1">IFERROR(__xludf.DUMMYFUNCTION("""COMPUTED_VALUE"""),"")</f>
        <v/>
      </c>
      <c r="AH168" s="2" t="str">
        <f ca="1">IFERROR(__xludf.DUMMYFUNCTION("""COMPUTED_VALUE"""),"")</f>
        <v/>
      </c>
      <c r="AI168" s="2" t="str">
        <f ca="1">IFERROR(__xludf.DUMMYFUNCTION("""COMPUTED_VALUE"""),"")</f>
        <v/>
      </c>
      <c r="AJ168" s="2" t="str">
        <f ca="1">IFERROR(__xludf.DUMMYFUNCTION("""COMPUTED_VALUE"""),"")</f>
        <v/>
      </c>
      <c r="AK168" s="2" t="str">
        <f ca="1">IFERROR(__xludf.DUMMYFUNCTION("""COMPUTED_VALUE"""),"")</f>
        <v/>
      </c>
      <c r="AL168" s="2" t="str">
        <f ca="1">IFERROR(__xludf.DUMMYFUNCTION("""COMPUTED_VALUE"""),"")</f>
        <v/>
      </c>
      <c r="AM168" s="2" t="str">
        <f ca="1">IFERROR(__xludf.DUMMYFUNCTION("""COMPUTED_VALUE"""),"")</f>
        <v/>
      </c>
      <c r="AN168" s="2" t="str">
        <f ca="1">IFERROR(__xludf.DUMMYFUNCTION("""COMPUTED_VALUE"""),"")</f>
        <v/>
      </c>
      <c r="AO168" s="2" t="str">
        <f ca="1">IFERROR(__xludf.DUMMYFUNCTION("""COMPUTED_VALUE"""),"")</f>
        <v/>
      </c>
      <c r="AP168" s="2" t="str">
        <f ca="1">IFERROR(__xludf.DUMMYFUNCTION("""COMPUTED_VALUE"""),"")</f>
        <v/>
      </c>
      <c r="AQ168" s="2" t="str">
        <f ca="1">IFERROR(__xludf.DUMMYFUNCTION("""COMPUTED_VALUE"""),"")</f>
        <v/>
      </c>
      <c r="AR168" s="2" t="str">
        <f ca="1">IFERROR(__xludf.DUMMYFUNCTION("""COMPUTED_VALUE"""),"")</f>
        <v/>
      </c>
      <c r="AS168" s="2" t="str">
        <f ca="1">IFERROR(__xludf.DUMMYFUNCTION("""COMPUTED_VALUE"""),"")</f>
        <v/>
      </c>
      <c r="AT168" s="2" t="str">
        <f ca="1">IFERROR(__xludf.DUMMYFUNCTION("""COMPUTED_VALUE"""),"")</f>
        <v/>
      </c>
      <c r="AU168" s="2" t="str">
        <f ca="1">IFERROR(__xludf.DUMMYFUNCTION("""COMPUTED_VALUE"""),"")</f>
        <v/>
      </c>
      <c r="AV168" s="2" t="str">
        <f ca="1">IFERROR(__xludf.DUMMYFUNCTION("""COMPUTED_VALUE"""),"")</f>
        <v/>
      </c>
      <c r="AW168" s="2" t="str">
        <f ca="1">IFERROR(__xludf.DUMMYFUNCTION("""COMPUTED_VALUE"""),"")</f>
        <v/>
      </c>
      <c r="AX168" s="2" t="str">
        <f ca="1">IFERROR(__xludf.DUMMYFUNCTION("""COMPUTED_VALUE"""),"")</f>
        <v/>
      </c>
      <c r="AY168" s="2" t="str">
        <f ca="1">IFERROR(__xludf.DUMMYFUNCTION("""COMPUTED_VALUE"""),"")</f>
        <v/>
      </c>
      <c r="AZ168" s="2" t="str">
        <f ca="1">IFERROR(__xludf.DUMMYFUNCTION("""COMPUTED_VALUE"""),"")</f>
        <v/>
      </c>
      <c r="BA168" s="2" t="str">
        <f ca="1">IFERROR(__xludf.DUMMYFUNCTION("""COMPUTED_VALUE"""),"")</f>
        <v/>
      </c>
      <c r="BB168" s="2" t="str">
        <f ca="1">IFERROR(__xludf.DUMMYFUNCTION("""COMPUTED_VALUE"""),"")</f>
        <v/>
      </c>
      <c r="BC168" s="2" t="str">
        <f ca="1">IFERROR(__xludf.DUMMYFUNCTION("""COMPUTED_VALUE"""),"")</f>
        <v/>
      </c>
      <c r="BD168" s="2" t="str">
        <f ca="1">IFERROR(__xludf.DUMMYFUNCTION("""COMPUTED_VALUE"""),"")</f>
        <v/>
      </c>
      <c r="BE168" s="2" t="str">
        <f ca="1">IFERROR(__xludf.DUMMYFUNCTION("""COMPUTED_VALUE"""),"")</f>
        <v/>
      </c>
      <c r="BF168" t="str">
        <f ca="1">IFERROR(__xludf.DUMMYFUNCTION("""COMPUTED_VALUE"""),"")</f>
        <v/>
      </c>
      <c r="BG168" t="str">
        <f ca="1">IFERROR(__xludf.DUMMYFUNCTION("""COMPUTED_VALUE"""),"")</f>
        <v/>
      </c>
      <c r="BH168" s="2">
        <f ca="1">IFERROR(__xludf.DUMMYFUNCTION("""COMPUTED_VALUE"""),-37.3382797)</f>
        <v>-37.338279700000001</v>
      </c>
      <c r="BI168" s="13">
        <f ca="1">IFERROR(__xludf.DUMMYFUNCTION("""COMPUTED_VALUE"""),175.1668396)</f>
        <v>175.1668396</v>
      </c>
      <c r="BJ168" s="9">
        <f ca="1">IFERROR(__xludf.DUMMYFUNCTION("""COMPUTED_VALUE"""),43364)</f>
        <v>43364</v>
      </c>
      <c r="BK168" s="4">
        <f ca="1">IFERROR(__xludf.DUMMYFUNCTION("""COMPUTED_VALUE"""),0.872592592593719)</f>
        <v>0.87259259259371902</v>
      </c>
    </row>
    <row r="169" spans="1:63" ht="12.5" x14ac:dyDescent="0.25">
      <c r="A169" s="7" t="str">
        <f ca="1">IFERROR(__xludf.DUMMYFUNCTION("""COMPUTED_VALUE"""),"")</f>
        <v/>
      </c>
      <c r="B169" s="8" t="str">
        <f ca="1">IFERROR(__xludf.DUMMYFUNCTION("""COMPUTED_VALUE"""),"Waikato")</f>
        <v>Waikato</v>
      </c>
      <c r="C169" s="2">
        <f ca="1">IFERROR(__xludf.DUMMYFUNCTION("""COMPUTED_VALUE"""),23)</f>
        <v>23</v>
      </c>
      <c r="D169" s="9" t="str">
        <f ca="1">IFERROR(__xludf.DUMMYFUNCTION("""COMPUTED_VALUE"""),"")</f>
        <v/>
      </c>
      <c r="E169" s="4" t="str">
        <f ca="1">IFERROR(__xludf.DUMMYFUNCTION("""COMPUTED_VALUE"""),"")</f>
        <v/>
      </c>
      <c r="F169" s="2" t="str">
        <f ca="1">IFERROR(__xludf.DUMMYFUNCTION("""COMPUTED_VALUE"""),"")</f>
        <v/>
      </c>
      <c r="G169" s="2" t="str">
        <f ca="1">IFERROR(__xludf.DUMMYFUNCTION("""COMPUTED_VALUE"""),"GPS: I converted data downloaded from ARGOS using Pinpoint software")</f>
        <v>GPS: I converted data downloaded from ARGOS using Pinpoint software</v>
      </c>
      <c r="H169" s="2" t="str">
        <f ca="1">IFERROR(__xludf.DUMMYFUNCTION("""COMPUTED_VALUE"""),"3D")</f>
        <v>3D</v>
      </c>
      <c r="I169" s="2" t="str">
        <f ca="1">IFERROR(__xludf.DUMMYFUNCTION("""COMPUTED_VALUE"""),"")</f>
        <v/>
      </c>
      <c r="J169" s="2" t="str">
        <f ca="1">IFERROR(__xludf.DUMMYFUNCTION("""COMPUTED_VALUE"""),"")</f>
        <v/>
      </c>
      <c r="K169" s="2" t="str">
        <f ca="1">IFERROR(__xludf.DUMMYFUNCTION("""COMPUTED_VALUE"""),"")</f>
        <v/>
      </c>
      <c r="L169" s="2" t="str">
        <f ca="1">IFERROR(__xludf.DUMMYFUNCTION("""COMPUTED_VALUE"""),"")</f>
        <v/>
      </c>
      <c r="M169" s="5" t="str">
        <f ca="1">IFERROR(__xludf.DUMMYFUNCTION("""COMPUTED_VALUE"""),"")</f>
        <v/>
      </c>
      <c r="N169" s="5" t="str">
        <f ca="1">IFERROR(__xludf.DUMMYFUNCTION("""COMPUTED_VALUE"""),"")</f>
        <v/>
      </c>
      <c r="O169" s="2" t="str">
        <f ca="1">IFERROR(__xludf.DUMMYFUNCTION("""COMPUTED_VALUE"""),"")</f>
        <v/>
      </c>
      <c r="P169" s="2" t="str">
        <f ca="1">IFERROR(__xludf.DUMMYFUNCTION("""COMPUTED_VALUE"""),"")</f>
        <v/>
      </c>
      <c r="Q169" s="2" t="str">
        <f ca="1">IFERROR(__xludf.DUMMYFUNCTION("""COMPUTED_VALUE"""),"")</f>
        <v/>
      </c>
      <c r="R169" s="2" t="str">
        <f ca="1">IFERROR(__xludf.DUMMYFUNCTION("""COMPUTED_VALUE"""),"")</f>
        <v/>
      </c>
      <c r="S169" s="2" t="str">
        <f ca="1">IFERROR(__xludf.DUMMYFUNCTION("""COMPUTED_VALUE"""),"")</f>
        <v/>
      </c>
      <c r="T169" s="2" t="str">
        <f ca="1">IFERROR(__xludf.DUMMYFUNCTION("""COMPUTED_VALUE"""),"")</f>
        <v/>
      </c>
      <c r="U169" s="2" t="str">
        <f ca="1">IFERROR(__xludf.DUMMYFUNCTION("""COMPUTED_VALUE"""),"")</f>
        <v/>
      </c>
      <c r="V169" s="2" t="str">
        <f ca="1">IFERROR(__xludf.DUMMYFUNCTION("""COMPUTED_VALUE"""),"")</f>
        <v/>
      </c>
      <c r="W169" s="2" t="str">
        <f ca="1">IFERROR(__xludf.DUMMYFUNCTION("""COMPUTED_VALUE"""),"")</f>
        <v/>
      </c>
      <c r="X169" s="2" t="str">
        <f ca="1">IFERROR(__xludf.DUMMYFUNCTION("""COMPUTED_VALUE"""),"")</f>
        <v/>
      </c>
      <c r="Y169" s="2" t="str">
        <f ca="1">IFERROR(__xludf.DUMMYFUNCTION("""COMPUTED_VALUE"""),"")</f>
        <v/>
      </c>
      <c r="Z169" s="2" t="str">
        <f ca="1">IFERROR(__xludf.DUMMYFUNCTION("""COMPUTED_VALUE"""),"")</f>
        <v/>
      </c>
      <c r="AA169" s="2" t="str">
        <f ca="1">IFERROR(__xludf.DUMMYFUNCTION("""COMPUTED_VALUE"""),"")</f>
        <v/>
      </c>
      <c r="AB169" s="2" t="str">
        <f ca="1">IFERROR(__xludf.DUMMYFUNCTION("""COMPUTED_VALUE"""),"")</f>
        <v/>
      </c>
      <c r="AC169" s="2" t="str">
        <f ca="1">IFERROR(__xludf.DUMMYFUNCTION("""COMPUTED_VALUE"""),"")</f>
        <v/>
      </c>
      <c r="AD169" s="2" t="str">
        <f ca="1">IFERROR(__xludf.DUMMYFUNCTION("""COMPUTED_VALUE"""),"")</f>
        <v/>
      </c>
      <c r="AE169" s="2" t="str">
        <f ca="1">IFERROR(__xludf.DUMMYFUNCTION("""COMPUTED_VALUE"""),"")</f>
        <v/>
      </c>
      <c r="AF169" s="2" t="str">
        <f ca="1">IFERROR(__xludf.DUMMYFUNCTION("""COMPUTED_VALUE"""),"")</f>
        <v/>
      </c>
      <c r="AG169" s="2" t="str">
        <f ca="1">IFERROR(__xludf.DUMMYFUNCTION("""COMPUTED_VALUE"""),"")</f>
        <v/>
      </c>
      <c r="AH169" s="2" t="str">
        <f ca="1">IFERROR(__xludf.DUMMYFUNCTION("""COMPUTED_VALUE"""),"")</f>
        <v/>
      </c>
      <c r="AI169" s="2" t="str">
        <f ca="1">IFERROR(__xludf.DUMMYFUNCTION("""COMPUTED_VALUE"""),"")</f>
        <v/>
      </c>
      <c r="AJ169" s="2" t="str">
        <f ca="1">IFERROR(__xludf.DUMMYFUNCTION("""COMPUTED_VALUE"""),"")</f>
        <v/>
      </c>
      <c r="AK169" s="2" t="str">
        <f ca="1">IFERROR(__xludf.DUMMYFUNCTION("""COMPUTED_VALUE"""),"")</f>
        <v/>
      </c>
      <c r="AL169" s="2" t="str">
        <f ca="1">IFERROR(__xludf.DUMMYFUNCTION("""COMPUTED_VALUE"""),"")</f>
        <v/>
      </c>
      <c r="AM169" s="2" t="str">
        <f ca="1">IFERROR(__xludf.DUMMYFUNCTION("""COMPUTED_VALUE"""),"")</f>
        <v/>
      </c>
      <c r="AN169" s="2" t="str">
        <f ca="1">IFERROR(__xludf.DUMMYFUNCTION("""COMPUTED_VALUE"""),"")</f>
        <v/>
      </c>
      <c r="AO169" s="2" t="str">
        <f ca="1">IFERROR(__xludf.DUMMYFUNCTION("""COMPUTED_VALUE"""),"")</f>
        <v/>
      </c>
      <c r="AP169" s="2" t="str">
        <f ca="1">IFERROR(__xludf.DUMMYFUNCTION("""COMPUTED_VALUE"""),"")</f>
        <v/>
      </c>
      <c r="AQ169" s="2" t="str">
        <f ca="1">IFERROR(__xludf.DUMMYFUNCTION("""COMPUTED_VALUE"""),"")</f>
        <v/>
      </c>
      <c r="AR169" s="2" t="str">
        <f ca="1">IFERROR(__xludf.DUMMYFUNCTION("""COMPUTED_VALUE"""),"")</f>
        <v/>
      </c>
      <c r="AS169" s="2" t="str">
        <f ca="1">IFERROR(__xludf.DUMMYFUNCTION("""COMPUTED_VALUE"""),"")</f>
        <v/>
      </c>
      <c r="AT169" s="2" t="str">
        <f ca="1">IFERROR(__xludf.DUMMYFUNCTION("""COMPUTED_VALUE"""),"")</f>
        <v/>
      </c>
      <c r="AU169" s="2" t="str">
        <f ca="1">IFERROR(__xludf.DUMMYFUNCTION("""COMPUTED_VALUE"""),"")</f>
        <v/>
      </c>
      <c r="AV169" s="2" t="str">
        <f ca="1">IFERROR(__xludf.DUMMYFUNCTION("""COMPUTED_VALUE"""),"")</f>
        <v/>
      </c>
      <c r="AW169" s="2" t="str">
        <f ca="1">IFERROR(__xludf.DUMMYFUNCTION("""COMPUTED_VALUE"""),"")</f>
        <v/>
      </c>
      <c r="AX169" s="2" t="str">
        <f ca="1">IFERROR(__xludf.DUMMYFUNCTION("""COMPUTED_VALUE"""),"")</f>
        <v/>
      </c>
      <c r="AY169" s="2" t="str">
        <f ca="1">IFERROR(__xludf.DUMMYFUNCTION("""COMPUTED_VALUE"""),"")</f>
        <v/>
      </c>
      <c r="AZ169" s="2" t="str">
        <f ca="1">IFERROR(__xludf.DUMMYFUNCTION("""COMPUTED_VALUE"""),"")</f>
        <v/>
      </c>
      <c r="BA169" s="2" t="str">
        <f ca="1">IFERROR(__xludf.DUMMYFUNCTION("""COMPUTED_VALUE"""),"")</f>
        <v/>
      </c>
      <c r="BB169" s="2" t="str">
        <f ca="1">IFERROR(__xludf.DUMMYFUNCTION("""COMPUTED_VALUE"""),"")</f>
        <v/>
      </c>
      <c r="BC169" s="2" t="str">
        <f ca="1">IFERROR(__xludf.DUMMYFUNCTION("""COMPUTED_VALUE"""),"")</f>
        <v/>
      </c>
      <c r="BD169" s="2" t="str">
        <f ca="1">IFERROR(__xludf.DUMMYFUNCTION("""COMPUTED_VALUE"""),"")</f>
        <v/>
      </c>
      <c r="BE169" s="2" t="str">
        <f ca="1">IFERROR(__xludf.DUMMYFUNCTION("""COMPUTED_VALUE"""),"")</f>
        <v/>
      </c>
      <c r="BF169" t="str">
        <f ca="1">IFERROR(__xludf.DUMMYFUNCTION("""COMPUTED_VALUE"""),"")</f>
        <v/>
      </c>
      <c r="BG169" t="str">
        <f ca="1">IFERROR(__xludf.DUMMYFUNCTION("""COMPUTED_VALUE"""),"")</f>
        <v/>
      </c>
      <c r="BH169" s="2">
        <f ca="1">IFERROR(__xludf.DUMMYFUNCTION("""COMPUTED_VALUE"""),-37.3391495)</f>
        <v>-37.339149499999998</v>
      </c>
      <c r="BI169" s="12">
        <f ca="1">IFERROR(__xludf.DUMMYFUNCTION("""COMPUTED_VALUE"""),175.1632996)</f>
        <v>175.16329959999999</v>
      </c>
      <c r="BJ169" s="9">
        <f ca="1">IFERROR(__xludf.DUMMYFUNCTION("""COMPUTED_VALUE"""),43371)</f>
        <v>43371</v>
      </c>
      <c r="BK169" s="4">
        <f ca="1">IFERROR(__xludf.DUMMYFUNCTION("""COMPUTED_VALUE"""),0.874074074072268)</f>
        <v>0.874074074072268</v>
      </c>
    </row>
    <row r="170" spans="1:63" ht="12.5" x14ac:dyDescent="0.25">
      <c r="A170" s="7" t="str">
        <f ca="1">IFERROR(__xludf.DUMMYFUNCTION("""COMPUTED_VALUE"""),"")</f>
        <v/>
      </c>
      <c r="B170" s="8" t="str">
        <f ca="1">IFERROR(__xludf.DUMMYFUNCTION("""COMPUTED_VALUE"""),"Waikato")</f>
        <v>Waikato</v>
      </c>
      <c r="C170" s="2">
        <f ca="1">IFERROR(__xludf.DUMMYFUNCTION("""COMPUTED_VALUE"""),23)</f>
        <v>23</v>
      </c>
      <c r="D170" s="9" t="str">
        <f ca="1">IFERROR(__xludf.DUMMYFUNCTION("""COMPUTED_VALUE"""),"")</f>
        <v/>
      </c>
      <c r="E170" s="4" t="str">
        <f ca="1">IFERROR(__xludf.DUMMYFUNCTION("""COMPUTED_VALUE"""),"")</f>
        <v/>
      </c>
      <c r="F170" s="2" t="str">
        <f ca="1">IFERROR(__xludf.DUMMYFUNCTION("""COMPUTED_VALUE"""),"")</f>
        <v/>
      </c>
      <c r="G170" s="2" t="str">
        <f ca="1">IFERROR(__xludf.DUMMYFUNCTION("""COMPUTED_VALUE"""),"GPS: I converted data downloaded from ARGOS using Pinpoint software")</f>
        <v>GPS: I converted data downloaded from ARGOS using Pinpoint software</v>
      </c>
      <c r="H170" s="2" t="str">
        <f ca="1">IFERROR(__xludf.DUMMYFUNCTION("""COMPUTED_VALUE"""),"3D")</f>
        <v>3D</v>
      </c>
      <c r="I170" s="2" t="str">
        <f ca="1">IFERROR(__xludf.DUMMYFUNCTION("""COMPUTED_VALUE"""),"")</f>
        <v/>
      </c>
      <c r="J170" s="2" t="str">
        <f ca="1">IFERROR(__xludf.DUMMYFUNCTION("""COMPUTED_VALUE"""),"")</f>
        <v/>
      </c>
      <c r="K170" s="2" t="str">
        <f ca="1">IFERROR(__xludf.DUMMYFUNCTION("""COMPUTED_VALUE"""),"")</f>
        <v/>
      </c>
      <c r="L170" s="2" t="str">
        <f ca="1">IFERROR(__xludf.DUMMYFUNCTION("""COMPUTED_VALUE"""),"")</f>
        <v/>
      </c>
      <c r="M170" s="5" t="str">
        <f ca="1">IFERROR(__xludf.DUMMYFUNCTION("""COMPUTED_VALUE"""),"")</f>
        <v/>
      </c>
      <c r="N170" s="5" t="str">
        <f ca="1">IFERROR(__xludf.DUMMYFUNCTION("""COMPUTED_VALUE"""),"")</f>
        <v/>
      </c>
      <c r="O170" s="2" t="str">
        <f ca="1">IFERROR(__xludf.DUMMYFUNCTION("""COMPUTED_VALUE"""),"")</f>
        <v/>
      </c>
      <c r="P170" s="2" t="str">
        <f ca="1">IFERROR(__xludf.DUMMYFUNCTION("""COMPUTED_VALUE"""),"")</f>
        <v/>
      </c>
      <c r="Q170" s="2" t="str">
        <f ca="1">IFERROR(__xludf.DUMMYFUNCTION("""COMPUTED_VALUE"""),"")</f>
        <v/>
      </c>
      <c r="R170" s="2" t="str">
        <f ca="1">IFERROR(__xludf.DUMMYFUNCTION("""COMPUTED_VALUE"""),"")</f>
        <v/>
      </c>
      <c r="S170" s="2" t="str">
        <f ca="1">IFERROR(__xludf.DUMMYFUNCTION("""COMPUTED_VALUE"""),"")</f>
        <v/>
      </c>
      <c r="T170" s="2" t="str">
        <f ca="1">IFERROR(__xludf.DUMMYFUNCTION("""COMPUTED_VALUE"""),"")</f>
        <v/>
      </c>
      <c r="U170" s="2" t="str">
        <f ca="1">IFERROR(__xludf.DUMMYFUNCTION("""COMPUTED_VALUE"""),"")</f>
        <v/>
      </c>
      <c r="V170" s="2" t="str">
        <f ca="1">IFERROR(__xludf.DUMMYFUNCTION("""COMPUTED_VALUE"""),"")</f>
        <v/>
      </c>
      <c r="W170" s="2" t="str">
        <f ca="1">IFERROR(__xludf.DUMMYFUNCTION("""COMPUTED_VALUE"""),"")</f>
        <v/>
      </c>
      <c r="X170" s="2" t="str">
        <f ca="1">IFERROR(__xludf.DUMMYFUNCTION("""COMPUTED_VALUE"""),"")</f>
        <v/>
      </c>
      <c r="Y170" s="2" t="str">
        <f ca="1">IFERROR(__xludf.DUMMYFUNCTION("""COMPUTED_VALUE"""),"")</f>
        <v/>
      </c>
      <c r="Z170" s="2" t="str">
        <f ca="1">IFERROR(__xludf.DUMMYFUNCTION("""COMPUTED_VALUE"""),"")</f>
        <v/>
      </c>
      <c r="AA170" s="2" t="str">
        <f ca="1">IFERROR(__xludf.DUMMYFUNCTION("""COMPUTED_VALUE"""),"")</f>
        <v/>
      </c>
      <c r="AB170" s="2" t="str">
        <f ca="1">IFERROR(__xludf.DUMMYFUNCTION("""COMPUTED_VALUE"""),"")</f>
        <v/>
      </c>
      <c r="AC170" s="2" t="str">
        <f ca="1">IFERROR(__xludf.DUMMYFUNCTION("""COMPUTED_VALUE"""),"")</f>
        <v/>
      </c>
      <c r="AD170" s="2" t="str">
        <f ca="1">IFERROR(__xludf.DUMMYFUNCTION("""COMPUTED_VALUE"""),"")</f>
        <v/>
      </c>
      <c r="AE170" s="2" t="str">
        <f ca="1">IFERROR(__xludf.DUMMYFUNCTION("""COMPUTED_VALUE"""),"")</f>
        <v/>
      </c>
      <c r="AF170" s="2" t="str">
        <f ca="1">IFERROR(__xludf.DUMMYFUNCTION("""COMPUTED_VALUE"""),"")</f>
        <v/>
      </c>
      <c r="AG170" s="2" t="str">
        <f ca="1">IFERROR(__xludf.DUMMYFUNCTION("""COMPUTED_VALUE"""),"")</f>
        <v/>
      </c>
      <c r="AH170" s="2" t="str">
        <f ca="1">IFERROR(__xludf.DUMMYFUNCTION("""COMPUTED_VALUE"""),"")</f>
        <v/>
      </c>
      <c r="AI170" s="2" t="str">
        <f ca="1">IFERROR(__xludf.DUMMYFUNCTION("""COMPUTED_VALUE"""),"")</f>
        <v/>
      </c>
      <c r="AJ170" s="2" t="str">
        <f ca="1">IFERROR(__xludf.DUMMYFUNCTION("""COMPUTED_VALUE"""),"")</f>
        <v/>
      </c>
      <c r="AK170" s="2" t="str">
        <f ca="1">IFERROR(__xludf.DUMMYFUNCTION("""COMPUTED_VALUE"""),"")</f>
        <v/>
      </c>
      <c r="AL170" s="2" t="str">
        <f ca="1">IFERROR(__xludf.DUMMYFUNCTION("""COMPUTED_VALUE"""),"")</f>
        <v/>
      </c>
      <c r="AM170" s="2" t="str">
        <f ca="1">IFERROR(__xludf.DUMMYFUNCTION("""COMPUTED_VALUE"""),"")</f>
        <v/>
      </c>
      <c r="AN170" s="2" t="str">
        <f ca="1">IFERROR(__xludf.DUMMYFUNCTION("""COMPUTED_VALUE"""),"")</f>
        <v/>
      </c>
      <c r="AO170" s="2" t="str">
        <f ca="1">IFERROR(__xludf.DUMMYFUNCTION("""COMPUTED_VALUE"""),"")</f>
        <v/>
      </c>
      <c r="AP170" s="2" t="str">
        <f ca="1">IFERROR(__xludf.DUMMYFUNCTION("""COMPUTED_VALUE"""),"")</f>
        <v/>
      </c>
      <c r="AQ170" s="2" t="str">
        <f ca="1">IFERROR(__xludf.DUMMYFUNCTION("""COMPUTED_VALUE"""),"")</f>
        <v/>
      </c>
      <c r="AR170" s="2" t="str">
        <f ca="1">IFERROR(__xludf.DUMMYFUNCTION("""COMPUTED_VALUE"""),"")</f>
        <v/>
      </c>
      <c r="AS170" s="2" t="str">
        <f ca="1">IFERROR(__xludf.DUMMYFUNCTION("""COMPUTED_VALUE"""),"")</f>
        <v/>
      </c>
      <c r="AT170" s="2" t="str">
        <f ca="1">IFERROR(__xludf.DUMMYFUNCTION("""COMPUTED_VALUE"""),"")</f>
        <v/>
      </c>
      <c r="AU170" s="2" t="str">
        <f ca="1">IFERROR(__xludf.DUMMYFUNCTION("""COMPUTED_VALUE"""),"")</f>
        <v/>
      </c>
      <c r="AV170" s="2" t="str">
        <f ca="1">IFERROR(__xludf.DUMMYFUNCTION("""COMPUTED_VALUE"""),"")</f>
        <v/>
      </c>
      <c r="AW170" s="2" t="str">
        <f ca="1">IFERROR(__xludf.DUMMYFUNCTION("""COMPUTED_VALUE"""),"")</f>
        <v/>
      </c>
      <c r="AX170" s="2" t="str">
        <f ca="1">IFERROR(__xludf.DUMMYFUNCTION("""COMPUTED_VALUE"""),"")</f>
        <v/>
      </c>
      <c r="AY170" s="2" t="str">
        <f ca="1">IFERROR(__xludf.DUMMYFUNCTION("""COMPUTED_VALUE"""),"")</f>
        <v/>
      </c>
      <c r="AZ170" s="2" t="str">
        <f ca="1">IFERROR(__xludf.DUMMYFUNCTION("""COMPUTED_VALUE"""),"")</f>
        <v/>
      </c>
      <c r="BA170" s="2" t="str">
        <f ca="1">IFERROR(__xludf.DUMMYFUNCTION("""COMPUTED_VALUE"""),"")</f>
        <v/>
      </c>
      <c r="BB170" s="2" t="str">
        <f ca="1">IFERROR(__xludf.DUMMYFUNCTION("""COMPUTED_VALUE"""),"")</f>
        <v/>
      </c>
      <c r="BC170" s="2" t="str">
        <f ca="1">IFERROR(__xludf.DUMMYFUNCTION("""COMPUTED_VALUE"""),"")</f>
        <v/>
      </c>
      <c r="BD170" s="2" t="str">
        <f ca="1">IFERROR(__xludf.DUMMYFUNCTION("""COMPUTED_VALUE"""),"")</f>
        <v/>
      </c>
      <c r="BE170" s="2" t="str">
        <f ca="1">IFERROR(__xludf.DUMMYFUNCTION("""COMPUTED_VALUE"""),"")</f>
        <v/>
      </c>
      <c r="BF170" t="str">
        <f ca="1">IFERROR(__xludf.DUMMYFUNCTION("""COMPUTED_VALUE"""),"")</f>
        <v/>
      </c>
      <c r="BG170" t="str">
        <f ca="1">IFERROR(__xludf.DUMMYFUNCTION("""COMPUTED_VALUE"""),"")</f>
        <v/>
      </c>
      <c r="BH170" s="2">
        <f ca="1">IFERROR(__xludf.DUMMYFUNCTION("""COMPUTED_VALUE"""),-37.3402252)</f>
        <v>-37.340225199999999</v>
      </c>
      <c r="BI170" s="13">
        <f ca="1">IFERROR(__xludf.DUMMYFUNCTION("""COMPUTED_VALUE"""),175.1611786)</f>
        <v>175.1611786</v>
      </c>
      <c r="BJ170" s="9">
        <f ca="1">IFERROR(__xludf.DUMMYFUNCTION("""COMPUTED_VALUE"""),43374)</f>
        <v>43374</v>
      </c>
      <c r="BK170" s="4">
        <f ca="1">IFERROR(__xludf.DUMMYFUNCTION("""COMPUTED_VALUE"""),0.457777777777664)</f>
        <v>0.45777777777766399</v>
      </c>
    </row>
    <row r="171" spans="1:63" ht="12.5" x14ac:dyDescent="0.25">
      <c r="A171" s="7" t="str">
        <f ca="1">IFERROR(__xludf.DUMMYFUNCTION("""COMPUTED_VALUE"""),"")</f>
        <v/>
      </c>
      <c r="B171" s="8" t="str">
        <f ca="1">IFERROR(__xludf.DUMMYFUNCTION("""COMPUTED_VALUE"""),"Waikato")</f>
        <v>Waikato</v>
      </c>
      <c r="C171" s="2">
        <f ca="1">IFERROR(__xludf.DUMMYFUNCTION("""COMPUTED_VALUE"""),23)</f>
        <v>23</v>
      </c>
      <c r="D171" s="9" t="str">
        <f ca="1">IFERROR(__xludf.DUMMYFUNCTION("""COMPUTED_VALUE"""),"")</f>
        <v/>
      </c>
      <c r="E171" s="4" t="str">
        <f ca="1">IFERROR(__xludf.DUMMYFUNCTION("""COMPUTED_VALUE"""),"")</f>
        <v/>
      </c>
      <c r="F171" s="2" t="str">
        <f ca="1">IFERROR(__xludf.DUMMYFUNCTION("""COMPUTED_VALUE"""),"")</f>
        <v/>
      </c>
      <c r="G171" s="2" t="str">
        <f ca="1">IFERROR(__xludf.DUMMYFUNCTION("""COMPUTED_VALUE"""),"GPS: I converted data downloaded from ARGOS using Pinpoint software")</f>
        <v>GPS: I converted data downloaded from ARGOS using Pinpoint software</v>
      </c>
      <c r="H171" s="2" t="str">
        <f ca="1">IFERROR(__xludf.DUMMYFUNCTION("""COMPUTED_VALUE"""),"3D")</f>
        <v>3D</v>
      </c>
      <c r="I171" s="2" t="str">
        <f ca="1">IFERROR(__xludf.DUMMYFUNCTION("""COMPUTED_VALUE"""),"")</f>
        <v/>
      </c>
      <c r="J171" s="2" t="str">
        <f ca="1">IFERROR(__xludf.DUMMYFUNCTION("""COMPUTED_VALUE"""),"")</f>
        <v/>
      </c>
      <c r="K171" s="2" t="str">
        <f ca="1">IFERROR(__xludf.DUMMYFUNCTION("""COMPUTED_VALUE"""),"")</f>
        <v/>
      </c>
      <c r="L171" s="2" t="str">
        <f ca="1">IFERROR(__xludf.DUMMYFUNCTION("""COMPUTED_VALUE"""),"")</f>
        <v/>
      </c>
      <c r="M171" s="5" t="str">
        <f ca="1">IFERROR(__xludf.DUMMYFUNCTION("""COMPUTED_VALUE"""),"")</f>
        <v/>
      </c>
      <c r="N171" s="5" t="str">
        <f ca="1">IFERROR(__xludf.DUMMYFUNCTION("""COMPUTED_VALUE"""),"")</f>
        <v/>
      </c>
      <c r="O171" s="2" t="str">
        <f ca="1">IFERROR(__xludf.DUMMYFUNCTION("""COMPUTED_VALUE"""),"")</f>
        <v/>
      </c>
      <c r="P171" s="2" t="str">
        <f ca="1">IFERROR(__xludf.DUMMYFUNCTION("""COMPUTED_VALUE"""),"")</f>
        <v/>
      </c>
      <c r="Q171" s="2" t="str">
        <f ca="1">IFERROR(__xludf.DUMMYFUNCTION("""COMPUTED_VALUE"""),"")</f>
        <v/>
      </c>
      <c r="R171" s="2" t="str">
        <f ca="1">IFERROR(__xludf.DUMMYFUNCTION("""COMPUTED_VALUE"""),"")</f>
        <v/>
      </c>
      <c r="S171" s="2" t="str">
        <f ca="1">IFERROR(__xludf.DUMMYFUNCTION("""COMPUTED_VALUE"""),"")</f>
        <v/>
      </c>
      <c r="T171" s="2" t="str">
        <f ca="1">IFERROR(__xludf.DUMMYFUNCTION("""COMPUTED_VALUE"""),"")</f>
        <v/>
      </c>
      <c r="U171" s="2" t="str">
        <f ca="1">IFERROR(__xludf.DUMMYFUNCTION("""COMPUTED_VALUE"""),"")</f>
        <v/>
      </c>
      <c r="V171" s="2" t="str">
        <f ca="1">IFERROR(__xludf.DUMMYFUNCTION("""COMPUTED_VALUE"""),"")</f>
        <v/>
      </c>
      <c r="W171" s="2" t="str">
        <f ca="1">IFERROR(__xludf.DUMMYFUNCTION("""COMPUTED_VALUE"""),"")</f>
        <v/>
      </c>
      <c r="X171" s="2" t="str">
        <f ca="1">IFERROR(__xludf.DUMMYFUNCTION("""COMPUTED_VALUE"""),"")</f>
        <v/>
      </c>
      <c r="Y171" s="2" t="str">
        <f ca="1">IFERROR(__xludf.DUMMYFUNCTION("""COMPUTED_VALUE"""),"")</f>
        <v/>
      </c>
      <c r="Z171" s="2" t="str">
        <f ca="1">IFERROR(__xludf.DUMMYFUNCTION("""COMPUTED_VALUE"""),"")</f>
        <v/>
      </c>
      <c r="AA171" s="2" t="str">
        <f ca="1">IFERROR(__xludf.DUMMYFUNCTION("""COMPUTED_VALUE"""),"")</f>
        <v/>
      </c>
      <c r="AB171" s="2" t="str">
        <f ca="1">IFERROR(__xludf.DUMMYFUNCTION("""COMPUTED_VALUE"""),"")</f>
        <v/>
      </c>
      <c r="AC171" s="2" t="str">
        <f ca="1">IFERROR(__xludf.DUMMYFUNCTION("""COMPUTED_VALUE"""),"")</f>
        <v/>
      </c>
      <c r="AD171" s="2" t="str">
        <f ca="1">IFERROR(__xludf.DUMMYFUNCTION("""COMPUTED_VALUE"""),"")</f>
        <v/>
      </c>
      <c r="AE171" s="2" t="str">
        <f ca="1">IFERROR(__xludf.DUMMYFUNCTION("""COMPUTED_VALUE"""),"")</f>
        <v/>
      </c>
      <c r="AF171" s="2" t="str">
        <f ca="1">IFERROR(__xludf.DUMMYFUNCTION("""COMPUTED_VALUE"""),"")</f>
        <v/>
      </c>
      <c r="AG171" s="2" t="str">
        <f ca="1">IFERROR(__xludf.DUMMYFUNCTION("""COMPUTED_VALUE"""),"")</f>
        <v/>
      </c>
      <c r="AH171" s="2" t="str">
        <f ca="1">IFERROR(__xludf.DUMMYFUNCTION("""COMPUTED_VALUE"""),"")</f>
        <v/>
      </c>
      <c r="AI171" s="2" t="str">
        <f ca="1">IFERROR(__xludf.DUMMYFUNCTION("""COMPUTED_VALUE"""),"")</f>
        <v/>
      </c>
      <c r="AJ171" s="2" t="str">
        <f ca="1">IFERROR(__xludf.DUMMYFUNCTION("""COMPUTED_VALUE"""),"")</f>
        <v/>
      </c>
      <c r="AK171" s="2" t="str">
        <f ca="1">IFERROR(__xludf.DUMMYFUNCTION("""COMPUTED_VALUE"""),"")</f>
        <v/>
      </c>
      <c r="AL171" s="2" t="str">
        <f ca="1">IFERROR(__xludf.DUMMYFUNCTION("""COMPUTED_VALUE"""),"")</f>
        <v/>
      </c>
      <c r="AM171" s="2" t="str">
        <f ca="1">IFERROR(__xludf.DUMMYFUNCTION("""COMPUTED_VALUE"""),"")</f>
        <v/>
      </c>
      <c r="AN171" s="2" t="str">
        <f ca="1">IFERROR(__xludf.DUMMYFUNCTION("""COMPUTED_VALUE"""),"")</f>
        <v/>
      </c>
      <c r="AO171" s="2" t="str">
        <f ca="1">IFERROR(__xludf.DUMMYFUNCTION("""COMPUTED_VALUE"""),"")</f>
        <v/>
      </c>
      <c r="AP171" s="2" t="str">
        <f ca="1">IFERROR(__xludf.DUMMYFUNCTION("""COMPUTED_VALUE"""),"")</f>
        <v/>
      </c>
      <c r="AQ171" s="2" t="str">
        <f ca="1">IFERROR(__xludf.DUMMYFUNCTION("""COMPUTED_VALUE"""),"")</f>
        <v/>
      </c>
      <c r="AR171" s="2" t="str">
        <f ca="1">IFERROR(__xludf.DUMMYFUNCTION("""COMPUTED_VALUE"""),"")</f>
        <v/>
      </c>
      <c r="AS171" s="2" t="str">
        <f ca="1">IFERROR(__xludf.DUMMYFUNCTION("""COMPUTED_VALUE"""),"")</f>
        <v/>
      </c>
      <c r="AT171" s="2" t="str">
        <f ca="1">IFERROR(__xludf.DUMMYFUNCTION("""COMPUTED_VALUE"""),"")</f>
        <v/>
      </c>
      <c r="AU171" s="2" t="str">
        <f ca="1">IFERROR(__xludf.DUMMYFUNCTION("""COMPUTED_VALUE"""),"")</f>
        <v/>
      </c>
      <c r="AV171" s="2" t="str">
        <f ca="1">IFERROR(__xludf.DUMMYFUNCTION("""COMPUTED_VALUE"""),"")</f>
        <v/>
      </c>
      <c r="AW171" s="2" t="str">
        <f ca="1">IFERROR(__xludf.DUMMYFUNCTION("""COMPUTED_VALUE"""),"")</f>
        <v/>
      </c>
      <c r="AX171" s="2" t="str">
        <f ca="1">IFERROR(__xludf.DUMMYFUNCTION("""COMPUTED_VALUE"""),"")</f>
        <v/>
      </c>
      <c r="AY171" s="2" t="str">
        <f ca="1">IFERROR(__xludf.DUMMYFUNCTION("""COMPUTED_VALUE"""),"")</f>
        <v/>
      </c>
      <c r="AZ171" s="2" t="str">
        <f ca="1">IFERROR(__xludf.DUMMYFUNCTION("""COMPUTED_VALUE"""),"")</f>
        <v/>
      </c>
      <c r="BA171" s="2" t="str">
        <f ca="1">IFERROR(__xludf.DUMMYFUNCTION("""COMPUTED_VALUE"""),"")</f>
        <v/>
      </c>
      <c r="BB171" s="2" t="str">
        <f ca="1">IFERROR(__xludf.DUMMYFUNCTION("""COMPUTED_VALUE"""),"")</f>
        <v/>
      </c>
      <c r="BC171" s="2" t="str">
        <f ca="1">IFERROR(__xludf.DUMMYFUNCTION("""COMPUTED_VALUE"""),"")</f>
        <v/>
      </c>
      <c r="BD171" s="2" t="str">
        <f ca="1">IFERROR(__xludf.DUMMYFUNCTION("""COMPUTED_VALUE"""),"")</f>
        <v/>
      </c>
      <c r="BE171" s="2" t="str">
        <f ca="1">IFERROR(__xludf.DUMMYFUNCTION("""COMPUTED_VALUE"""),"")</f>
        <v/>
      </c>
      <c r="BF171" t="str">
        <f ca="1">IFERROR(__xludf.DUMMYFUNCTION("""COMPUTED_VALUE"""),"")</f>
        <v/>
      </c>
      <c r="BG171" t="str">
        <f ca="1">IFERROR(__xludf.DUMMYFUNCTION("""COMPUTED_VALUE"""),"")</f>
        <v/>
      </c>
      <c r="BH171" s="2">
        <f ca="1">IFERROR(__xludf.DUMMYFUNCTION("""COMPUTED_VALUE"""),-37.341095)</f>
        <v>-37.341095000000003</v>
      </c>
      <c r="BI171" s="12">
        <f ca="1">IFERROR(__xludf.DUMMYFUNCTION("""COMPUTED_VALUE"""),175.1604309)</f>
        <v>175.16043089999999</v>
      </c>
      <c r="BJ171" s="9">
        <f ca="1">IFERROR(__xludf.DUMMYFUNCTION("""COMPUTED_VALUE"""),43374)</f>
        <v>43374</v>
      </c>
      <c r="BK171" s="4">
        <f ca="1">IFERROR(__xludf.DUMMYFUNCTION("""COMPUTED_VALUE"""),0.958518518516939)</f>
        <v>0.95851851851693903</v>
      </c>
    </row>
    <row r="172" spans="1:63" ht="12.5" x14ac:dyDescent="0.25">
      <c r="A172" s="7" t="str">
        <f ca="1">IFERROR(__xludf.DUMMYFUNCTION("""COMPUTED_VALUE"""),"")</f>
        <v/>
      </c>
      <c r="B172" s="8" t="str">
        <f ca="1">IFERROR(__xludf.DUMMYFUNCTION("""COMPUTED_VALUE"""),"Waikato")</f>
        <v>Waikato</v>
      </c>
      <c r="C172" s="2">
        <f ca="1">IFERROR(__xludf.DUMMYFUNCTION("""COMPUTED_VALUE"""),23)</f>
        <v>23</v>
      </c>
      <c r="D172" s="9" t="str">
        <f ca="1">IFERROR(__xludf.DUMMYFUNCTION("""COMPUTED_VALUE"""),"")</f>
        <v/>
      </c>
      <c r="E172" s="4" t="str">
        <f ca="1">IFERROR(__xludf.DUMMYFUNCTION("""COMPUTED_VALUE"""),"")</f>
        <v/>
      </c>
      <c r="F172" s="2" t="str">
        <f ca="1">IFERROR(__xludf.DUMMYFUNCTION("""COMPUTED_VALUE"""),"")</f>
        <v/>
      </c>
      <c r="G172" s="2" t="str">
        <f ca="1">IFERROR(__xludf.DUMMYFUNCTION("""COMPUTED_VALUE"""),"GPS: I converted data downloaded from ARGOS using Pinpoint software")</f>
        <v>GPS: I converted data downloaded from ARGOS using Pinpoint software</v>
      </c>
      <c r="H172" s="2" t="str">
        <f ca="1">IFERROR(__xludf.DUMMYFUNCTION("""COMPUTED_VALUE"""),"3D")</f>
        <v>3D</v>
      </c>
      <c r="I172" s="2" t="str">
        <f ca="1">IFERROR(__xludf.DUMMYFUNCTION("""COMPUTED_VALUE"""),"")</f>
        <v/>
      </c>
      <c r="J172" s="2" t="str">
        <f ca="1">IFERROR(__xludf.DUMMYFUNCTION("""COMPUTED_VALUE"""),"")</f>
        <v/>
      </c>
      <c r="K172" s="2" t="str">
        <f ca="1">IFERROR(__xludf.DUMMYFUNCTION("""COMPUTED_VALUE"""),"")</f>
        <v/>
      </c>
      <c r="L172" s="2" t="str">
        <f ca="1">IFERROR(__xludf.DUMMYFUNCTION("""COMPUTED_VALUE"""),"")</f>
        <v/>
      </c>
      <c r="M172" s="5" t="str">
        <f ca="1">IFERROR(__xludf.DUMMYFUNCTION("""COMPUTED_VALUE"""),"")</f>
        <v/>
      </c>
      <c r="N172" s="5" t="str">
        <f ca="1">IFERROR(__xludf.DUMMYFUNCTION("""COMPUTED_VALUE"""),"")</f>
        <v/>
      </c>
      <c r="O172" s="2" t="str">
        <f ca="1">IFERROR(__xludf.DUMMYFUNCTION("""COMPUTED_VALUE"""),"")</f>
        <v/>
      </c>
      <c r="P172" s="2" t="str">
        <f ca="1">IFERROR(__xludf.DUMMYFUNCTION("""COMPUTED_VALUE"""),"")</f>
        <v/>
      </c>
      <c r="Q172" s="2" t="str">
        <f ca="1">IFERROR(__xludf.DUMMYFUNCTION("""COMPUTED_VALUE"""),"")</f>
        <v/>
      </c>
      <c r="R172" s="2" t="str">
        <f ca="1">IFERROR(__xludf.DUMMYFUNCTION("""COMPUTED_VALUE"""),"")</f>
        <v/>
      </c>
      <c r="S172" s="2" t="str">
        <f ca="1">IFERROR(__xludf.DUMMYFUNCTION("""COMPUTED_VALUE"""),"")</f>
        <v/>
      </c>
      <c r="T172" s="2" t="str">
        <f ca="1">IFERROR(__xludf.DUMMYFUNCTION("""COMPUTED_VALUE"""),"")</f>
        <v/>
      </c>
      <c r="U172" s="2" t="str">
        <f ca="1">IFERROR(__xludf.DUMMYFUNCTION("""COMPUTED_VALUE"""),"")</f>
        <v/>
      </c>
      <c r="V172" s="2" t="str">
        <f ca="1">IFERROR(__xludf.DUMMYFUNCTION("""COMPUTED_VALUE"""),"")</f>
        <v/>
      </c>
      <c r="W172" s="2" t="str">
        <f ca="1">IFERROR(__xludf.DUMMYFUNCTION("""COMPUTED_VALUE"""),"")</f>
        <v/>
      </c>
      <c r="X172" s="2" t="str">
        <f ca="1">IFERROR(__xludf.DUMMYFUNCTION("""COMPUTED_VALUE"""),"")</f>
        <v/>
      </c>
      <c r="Y172" s="2" t="str">
        <f ca="1">IFERROR(__xludf.DUMMYFUNCTION("""COMPUTED_VALUE"""),"")</f>
        <v/>
      </c>
      <c r="Z172" s="2" t="str">
        <f ca="1">IFERROR(__xludf.DUMMYFUNCTION("""COMPUTED_VALUE"""),"")</f>
        <v/>
      </c>
      <c r="AA172" s="2" t="str">
        <f ca="1">IFERROR(__xludf.DUMMYFUNCTION("""COMPUTED_VALUE"""),"")</f>
        <v/>
      </c>
      <c r="AB172" s="2" t="str">
        <f ca="1">IFERROR(__xludf.DUMMYFUNCTION("""COMPUTED_VALUE"""),"")</f>
        <v/>
      </c>
      <c r="AC172" s="2" t="str">
        <f ca="1">IFERROR(__xludf.DUMMYFUNCTION("""COMPUTED_VALUE"""),"")</f>
        <v/>
      </c>
      <c r="AD172" s="2" t="str">
        <f ca="1">IFERROR(__xludf.DUMMYFUNCTION("""COMPUTED_VALUE"""),"")</f>
        <v/>
      </c>
      <c r="AE172" s="2" t="str">
        <f ca="1">IFERROR(__xludf.DUMMYFUNCTION("""COMPUTED_VALUE"""),"")</f>
        <v/>
      </c>
      <c r="AF172" s="2" t="str">
        <f ca="1">IFERROR(__xludf.DUMMYFUNCTION("""COMPUTED_VALUE"""),"")</f>
        <v/>
      </c>
      <c r="AG172" s="2" t="str">
        <f ca="1">IFERROR(__xludf.DUMMYFUNCTION("""COMPUTED_VALUE"""),"")</f>
        <v/>
      </c>
      <c r="AH172" s="2" t="str">
        <f ca="1">IFERROR(__xludf.DUMMYFUNCTION("""COMPUTED_VALUE"""),"")</f>
        <v/>
      </c>
      <c r="AI172" s="2" t="str">
        <f ca="1">IFERROR(__xludf.DUMMYFUNCTION("""COMPUTED_VALUE"""),"")</f>
        <v/>
      </c>
      <c r="AJ172" s="2" t="str">
        <f ca="1">IFERROR(__xludf.DUMMYFUNCTION("""COMPUTED_VALUE"""),"")</f>
        <v/>
      </c>
      <c r="AK172" s="2" t="str">
        <f ca="1">IFERROR(__xludf.DUMMYFUNCTION("""COMPUTED_VALUE"""),"")</f>
        <v/>
      </c>
      <c r="AL172" s="2" t="str">
        <f ca="1">IFERROR(__xludf.DUMMYFUNCTION("""COMPUTED_VALUE"""),"")</f>
        <v/>
      </c>
      <c r="AM172" s="2" t="str">
        <f ca="1">IFERROR(__xludf.DUMMYFUNCTION("""COMPUTED_VALUE"""),"")</f>
        <v/>
      </c>
      <c r="AN172" s="2" t="str">
        <f ca="1">IFERROR(__xludf.DUMMYFUNCTION("""COMPUTED_VALUE"""),"")</f>
        <v/>
      </c>
      <c r="AO172" s="2" t="str">
        <f ca="1">IFERROR(__xludf.DUMMYFUNCTION("""COMPUTED_VALUE"""),"")</f>
        <v/>
      </c>
      <c r="AP172" s="2" t="str">
        <f ca="1">IFERROR(__xludf.DUMMYFUNCTION("""COMPUTED_VALUE"""),"")</f>
        <v/>
      </c>
      <c r="AQ172" s="2" t="str">
        <f ca="1">IFERROR(__xludf.DUMMYFUNCTION("""COMPUTED_VALUE"""),"")</f>
        <v/>
      </c>
      <c r="AR172" s="2" t="str">
        <f ca="1">IFERROR(__xludf.DUMMYFUNCTION("""COMPUTED_VALUE"""),"")</f>
        <v/>
      </c>
      <c r="AS172" s="2" t="str">
        <f ca="1">IFERROR(__xludf.DUMMYFUNCTION("""COMPUTED_VALUE"""),"")</f>
        <v/>
      </c>
      <c r="AT172" s="2" t="str">
        <f ca="1">IFERROR(__xludf.DUMMYFUNCTION("""COMPUTED_VALUE"""),"")</f>
        <v/>
      </c>
      <c r="AU172" s="2" t="str">
        <f ca="1">IFERROR(__xludf.DUMMYFUNCTION("""COMPUTED_VALUE"""),"")</f>
        <v/>
      </c>
      <c r="AV172" s="2" t="str">
        <f ca="1">IFERROR(__xludf.DUMMYFUNCTION("""COMPUTED_VALUE"""),"")</f>
        <v/>
      </c>
      <c r="AW172" s="2" t="str">
        <f ca="1">IFERROR(__xludf.DUMMYFUNCTION("""COMPUTED_VALUE"""),"")</f>
        <v/>
      </c>
      <c r="AX172" s="2" t="str">
        <f ca="1">IFERROR(__xludf.DUMMYFUNCTION("""COMPUTED_VALUE"""),"")</f>
        <v/>
      </c>
      <c r="AY172" s="2" t="str">
        <f ca="1">IFERROR(__xludf.DUMMYFUNCTION("""COMPUTED_VALUE"""),"")</f>
        <v/>
      </c>
      <c r="AZ172" s="2" t="str">
        <f ca="1">IFERROR(__xludf.DUMMYFUNCTION("""COMPUTED_VALUE"""),"")</f>
        <v/>
      </c>
      <c r="BA172" s="2" t="str">
        <f ca="1">IFERROR(__xludf.DUMMYFUNCTION("""COMPUTED_VALUE"""),"")</f>
        <v/>
      </c>
      <c r="BB172" s="2" t="str">
        <f ca="1">IFERROR(__xludf.DUMMYFUNCTION("""COMPUTED_VALUE"""),"")</f>
        <v/>
      </c>
      <c r="BC172" s="2" t="str">
        <f ca="1">IFERROR(__xludf.DUMMYFUNCTION("""COMPUTED_VALUE"""),"")</f>
        <v/>
      </c>
      <c r="BD172" s="2" t="str">
        <f ca="1">IFERROR(__xludf.DUMMYFUNCTION("""COMPUTED_VALUE"""),"")</f>
        <v/>
      </c>
      <c r="BE172" s="2" t="str">
        <f ca="1">IFERROR(__xludf.DUMMYFUNCTION("""COMPUTED_VALUE"""),"")</f>
        <v/>
      </c>
      <c r="BF172" t="str">
        <f ca="1">IFERROR(__xludf.DUMMYFUNCTION("""COMPUTED_VALUE"""),"")</f>
        <v/>
      </c>
      <c r="BG172" t="str">
        <f ca="1">IFERROR(__xludf.DUMMYFUNCTION("""COMPUTED_VALUE"""),"")</f>
        <v/>
      </c>
      <c r="BH172" s="2">
        <f ca="1">IFERROR(__xludf.DUMMYFUNCTION("""COMPUTED_VALUE"""),-37.3397903)</f>
        <v>-37.339790299999997</v>
      </c>
      <c r="BI172" s="13">
        <f ca="1">IFERROR(__xludf.DUMMYFUNCTION("""COMPUTED_VALUE"""),175.1645813)</f>
        <v>175.16458130000001</v>
      </c>
      <c r="BJ172" s="9">
        <f ca="1">IFERROR(__xludf.DUMMYFUNCTION("""COMPUTED_VALUE"""),43376)</f>
        <v>43376</v>
      </c>
      <c r="BK172" s="4">
        <f ca="1">IFERROR(__xludf.DUMMYFUNCTION("""COMPUTED_VALUE"""),0.457777777777664)</f>
        <v>0.45777777777766399</v>
      </c>
    </row>
    <row r="173" spans="1:63" ht="12.5" x14ac:dyDescent="0.25">
      <c r="A173" s="7" t="str">
        <f ca="1">IFERROR(__xludf.DUMMYFUNCTION("""COMPUTED_VALUE"""),"")</f>
        <v/>
      </c>
      <c r="B173" s="8" t="str">
        <f ca="1">IFERROR(__xludf.DUMMYFUNCTION("""COMPUTED_VALUE"""),"Waikato")</f>
        <v>Waikato</v>
      </c>
      <c r="C173" s="2">
        <f ca="1">IFERROR(__xludf.DUMMYFUNCTION("""COMPUTED_VALUE"""),23)</f>
        <v>23</v>
      </c>
      <c r="D173" s="9" t="str">
        <f ca="1">IFERROR(__xludf.DUMMYFUNCTION("""COMPUTED_VALUE"""),"")</f>
        <v/>
      </c>
      <c r="E173" s="4" t="str">
        <f ca="1">IFERROR(__xludf.DUMMYFUNCTION("""COMPUTED_VALUE"""),"")</f>
        <v/>
      </c>
      <c r="F173" s="2" t="str">
        <f ca="1">IFERROR(__xludf.DUMMYFUNCTION("""COMPUTED_VALUE"""),"")</f>
        <v/>
      </c>
      <c r="G173" s="2" t="str">
        <f ca="1">IFERROR(__xludf.DUMMYFUNCTION("""COMPUTED_VALUE"""),"GPS: I converted data downloaded from ARGOS using Pinpoint software")</f>
        <v>GPS: I converted data downloaded from ARGOS using Pinpoint software</v>
      </c>
      <c r="H173" s="2" t="str">
        <f ca="1">IFERROR(__xludf.DUMMYFUNCTION("""COMPUTED_VALUE"""),"3D")</f>
        <v>3D</v>
      </c>
      <c r="I173" s="2" t="str">
        <f ca="1">IFERROR(__xludf.DUMMYFUNCTION("""COMPUTED_VALUE"""),"")</f>
        <v/>
      </c>
      <c r="J173" s="2" t="str">
        <f ca="1">IFERROR(__xludf.DUMMYFUNCTION("""COMPUTED_VALUE"""),"")</f>
        <v/>
      </c>
      <c r="K173" s="2" t="str">
        <f ca="1">IFERROR(__xludf.DUMMYFUNCTION("""COMPUTED_VALUE"""),"")</f>
        <v/>
      </c>
      <c r="L173" s="2" t="str">
        <f ca="1">IFERROR(__xludf.DUMMYFUNCTION("""COMPUTED_VALUE"""),"")</f>
        <v/>
      </c>
      <c r="M173" s="5" t="str">
        <f ca="1">IFERROR(__xludf.DUMMYFUNCTION("""COMPUTED_VALUE"""),"")</f>
        <v/>
      </c>
      <c r="N173" s="5" t="str">
        <f ca="1">IFERROR(__xludf.DUMMYFUNCTION("""COMPUTED_VALUE"""),"")</f>
        <v/>
      </c>
      <c r="O173" s="2" t="str">
        <f ca="1">IFERROR(__xludf.DUMMYFUNCTION("""COMPUTED_VALUE"""),"")</f>
        <v/>
      </c>
      <c r="P173" s="2" t="str">
        <f ca="1">IFERROR(__xludf.DUMMYFUNCTION("""COMPUTED_VALUE"""),"")</f>
        <v/>
      </c>
      <c r="Q173" s="2" t="str">
        <f ca="1">IFERROR(__xludf.DUMMYFUNCTION("""COMPUTED_VALUE"""),"")</f>
        <v/>
      </c>
      <c r="R173" s="2" t="str">
        <f ca="1">IFERROR(__xludf.DUMMYFUNCTION("""COMPUTED_VALUE"""),"")</f>
        <v/>
      </c>
      <c r="S173" s="2" t="str">
        <f ca="1">IFERROR(__xludf.DUMMYFUNCTION("""COMPUTED_VALUE"""),"")</f>
        <v/>
      </c>
      <c r="T173" s="2" t="str">
        <f ca="1">IFERROR(__xludf.DUMMYFUNCTION("""COMPUTED_VALUE"""),"")</f>
        <v/>
      </c>
      <c r="U173" s="2" t="str">
        <f ca="1">IFERROR(__xludf.DUMMYFUNCTION("""COMPUTED_VALUE"""),"")</f>
        <v/>
      </c>
      <c r="V173" s="2" t="str">
        <f ca="1">IFERROR(__xludf.DUMMYFUNCTION("""COMPUTED_VALUE"""),"")</f>
        <v/>
      </c>
      <c r="W173" s="2" t="str">
        <f ca="1">IFERROR(__xludf.DUMMYFUNCTION("""COMPUTED_VALUE"""),"")</f>
        <v/>
      </c>
      <c r="X173" s="2" t="str">
        <f ca="1">IFERROR(__xludf.DUMMYFUNCTION("""COMPUTED_VALUE"""),"")</f>
        <v/>
      </c>
      <c r="Y173" s="2" t="str">
        <f ca="1">IFERROR(__xludf.DUMMYFUNCTION("""COMPUTED_VALUE"""),"")</f>
        <v/>
      </c>
      <c r="Z173" s="2" t="str">
        <f ca="1">IFERROR(__xludf.DUMMYFUNCTION("""COMPUTED_VALUE"""),"")</f>
        <v/>
      </c>
      <c r="AA173" s="2" t="str">
        <f ca="1">IFERROR(__xludf.DUMMYFUNCTION("""COMPUTED_VALUE"""),"")</f>
        <v/>
      </c>
      <c r="AB173" s="2" t="str">
        <f ca="1">IFERROR(__xludf.DUMMYFUNCTION("""COMPUTED_VALUE"""),"")</f>
        <v/>
      </c>
      <c r="AC173" s="2" t="str">
        <f ca="1">IFERROR(__xludf.DUMMYFUNCTION("""COMPUTED_VALUE"""),"")</f>
        <v/>
      </c>
      <c r="AD173" s="2" t="str">
        <f ca="1">IFERROR(__xludf.DUMMYFUNCTION("""COMPUTED_VALUE"""),"")</f>
        <v/>
      </c>
      <c r="AE173" s="2" t="str">
        <f ca="1">IFERROR(__xludf.DUMMYFUNCTION("""COMPUTED_VALUE"""),"")</f>
        <v/>
      </c>
      <c r="AF173" s="2" t="str">
        <f ca="1">IFERROR(__xludf.DUMMYFUNCTION("""COMPUTED_VALUE"""),"")</f>
        <v/>
      </c>
      <c r="AG173" s="2" t="str">
        <f ca="1">IFERROR(__xludf.DUMMYFUNCTION("""COMPUTED_VALUE"""),"")</f>
        <v/>
      </c>
      <c r="AH173" s="2" t="str">
        <f ca="1">IFERROR(__xludf.DUMMYFUNCTION("""COMPUTED_VALUE"""),"")</f>
        <v/>
      </c>
      <c r="AI173" s="2" t="str">
        <f ca="1">IFERROR(__xludf.DUMMYFUNCTION("""COMPUTED_VALUE"""),"")</f>
        <v/>
      </c>
      <c r="AJ173" s="2" t="str">
        <f ca="1">IFERROR(__xludf.DUMMYFUNCTION("""COMPUTED_VALUE"""),"")</f>
        <v/>
      </c>
      <c r="AK173" s="2" t="str">
        <f ca="1">IFERROR(__xludf.DUMMYFUNCTION("""COMPUTED_VALUE"""),"")</f>
        <v/>
      </c>
      <c r="AL173" s="2" t="str">
        <f ca="1">IFERROR(__xludf.DUMMYFUNCTION("""COMPUTED_VALUE"""),"")</f>
        <v/>
      </c>
      <c r="AM173" s="2" t="str">
        <f ca="1">IFERROR(__xludf.DUMMYFUNCTION("""COMPUTED_VALUE"""),"")</f>
        <v/>
      </c>
      <c r="AN173" s="2" t="str">
        <f ca="1">IFERROR(__xludf.DUMMYFUNCTION("""COMPUTED_VALUE"""),"")</f>
        <v/>
      </c>
      <c r="AO173" s="2" t="str">
        <f ca="1">IFERROR(__xludf.DUMMYFUNCTION("""COMPUTED_VALUE"""),"")</f>
        <v/>
      </c>
      <c r="AP173" s="2" t="str">
        <f ca="1">IFERROR(__xludf.DUMMYFUNCTION("""COMPUTED_VALUE"""),"")</f>
        <v/>
      </c>
      <c r="AQ173" s="2" t="str">
        <f ca="1">IFERROR(__xludf.DUMMYFUNCTION("""COMPUTED_VALUE"""),"")</f>
        <v/>
      </c>
      <c r="AR173" s="2" t="str">
        <f ca="1">IFERROR(__xludf.DUMMYFUNCTION("""COMPUTED_VALUE"""),"")</f>
        <v/>
      </c>
      <c r="AS173" s="2" t="str">
        <f ca="1">IFERROR(__xludf.DUMMYFUNCTION("""COMPUTED_VALUE"""),"")</f>
        <v/>
      </c>
      <c r="AT173" s="2" t="str">
        <f ca="1">IFERROR(__xludf.DUMMYFUNCTION("""COMPUTED_VALUE"""),"")</f>
        <v/>
      </c>
      <c r="AU173" s="2" t="str">
        <f ca="1">IFERROR(__xludf.DUMMYFUNCTION("""COMPUTED_VALUE"""),"")</f>
        <v/>
      </c>
      <c r="AV173" s="2" t="str">
        <f ca="1">IFERROR(__xludf.DUMMYFUNCTION("""COMPUTED_VALUE"""),"")</f>
        <v/>
      </c>
      <c r="AW173" s="2" t="str">
        <f ca="1">IFERROR(__xludf.DUMMYFUNCTION("""COMPUTED_VALUE"""),"")</f>
        <v/>
      </c>
      <c r="AX173" s="2" t="str">
        <f ca="1">IFERROR(__xludf.DUMMYFUNCTION("""COMPUTED_VALUE"""),"")</f>
        <v/>
      </c>
      <c r="AY173" s="2" t="str">
        <f ca="1">IFERROR(__xludf.DUMMYFUNCTION("""COMPUTED_VALUE"""),"")</f>
        <v/>
      </c>
      <c r="AZ173" s="2" t="str">
        <f ca="1">IFERROR(__xludf.DUMMYFUNCTION("""COMPUTED_VALUE"""),"")</f>
        <v/>
      </c>
      <c r="BA173" s="2" t="str">
        <f ca="1">IFERROR(__xludf.DUMMYFUNCTION("""COMPUTED_VALUE"""),"")</f>
        <v/>
      </c>
      <c r="BB173" s="2" t="str">
        <f ca="1">IFERROR(__xludf.DUMMYFUNCTION("""COMPUTED_VALUE"""),"")</f>
        <v/>
      </c>
      <c r="BC173" s="2" t="str">
        <f ca="1">IFERROR(__xludf.DUMMYFUNCTION("""COMPUTED_VALUE"""),"")</f>
        <v/>
      </c>
      <c r="BD173" s="2" t="str">
        <f ca="1">IFERROR(__xludf.DUMMYFUNCTION("""COMPUTED_VALUE"""),"")</f>
        <v/>
      </c>
      <c r="BE173" s="2" t="str">
        <f ca="1">IFERROR(__xludf.DUMMYFUNCTION("""COMPUTED_VALUE"""),"")</f>
        <v/>
      </c>
      <c r="BF173" t="str">
        <f ca="1">IFERROR(__xludf.DUMMYFUNCTION("""COMPUTED_VALUE"""),"")</f>
        <v/>
      </c>
      <c r="BG173" t="str">
        <f ca="1">IFERROR(__xludf.DUMMYFUNCTION("""COMPUTED_VALUE"""),"")</f>
        <v/>
      </c>
      <c r="BH173" s="2">
        <f ca="1">IFERROR(__xludf.DUMMYFUNCTION("""COMPUTED_VALUE"""),-37.3423729)</f>
        <v>-37.342372900000001</v>
      </c>
      <c r="BI173" s="12">
        <f ca="1">IFERROR(__xludf.DUMMYFUNCTION("""COMPUTED_VALUE"""),175.1670685)</f>
        <v>175.1670685</v>
      </c>
      <c r="BJ173" s="9">
        <f ca="1">IFERROR(__xludf.DUMMYFUNCTION("""COMPUTED_VALUE"""),43376)</f>
        <v>43376</v>
      </c>
      <c r="BK173" s="4">
        <f ca="1">IFERROR(__xludf.DUMMYFUNCTION("""COMPUTED_VALUE"""),0.958518518516939)</f>
        <v>0.95851851851693903</v>
      </c>
    </row>
    <row r="174" spans="1:63" ht="12.5" x14ac:dyDescent="0.25">
      <c r="A174" s="7" t="str">
        <f ca="1">IFERROR(__xludf.DUMMYFUNCTION("""COMPUTED_VALUE"""),"")</f>
        <v/>
      </c>
      <c r="B174" s="8" t="str">
        <f ca="1">IFERROR(__xludf.DUMMYFUNCTION("""COMPUTED_VALUE"""),"Waikato")</f>
        <v>Waikato</v>
      </c>
      <c r="C174" s="2">
        <f ca="1">IFERROR(__xludf.DUMMYFUNCTION("""COMPUTED_VALUE"""),23)</f>
        <v>23</v>
      </c>
      <c r="D174" s="9" t="str">
        <f ca="1">IFERROR(__xludf.DUMMYFUNCTION("""COMPUTED_VALUE"""),"")</f>
        <v/>
      </c>
      <c r="E174" s="4" t="str">
        <f ca="1">IFERROR(__xludf.DUMMYFUNCTION("""COMPUTED_VALUE"""),"")</f>
        <v/>
      </c>
      <c r="F174" s="2" t="str">
        <f ca="1">IFERROR(__xludf.DUMMYFUNCTION("""COMPUTED_VALUE"""),"")</f>
        <v/>
      </c>
      <c r="G174" s="2" t="str">
        <f ca="1">IFERROR(__xludf.DUMMYFUNCTION("""COMPUTED_VALUE"""),"GPS: I converted data downloaded from ARGOS using Pinpoint software")</f>
        <v>GPS: I converted data downloaded from ARGOS using Pinpoint software</v>
      </c>
      <c r="H174" s="2" t="str">
        <f ca="1">IFERROR(__xludf.DUMMYFUNCTION("""COMPUTED_VALUE"""),"3D")</f>
        <v>3D</v>
      </c>
      <c r="I174" s="2" t="str">
        <f ca="1">IFERROR(__xludf.DUMMYFUNCTION("""COMPUTED_VALUE"""),"")</f>
        <v/>
      </c>
      <c r="J174" s="2" t="str">
        <f ca="1">IFERROR(__xludf.DUMMYFUNCTION("""COMPUTED_VALUE"""),"")</f>
        <v/>
      </c>
      <c r="K174" s="2" t="str">
        <f ca="1">IFERROR(__xludf.DUMMYFUNCTION("""COMPUTED_VALUE"""),"")</f>
        <v/>
      </c>
      <c r="L174" s="2" t="str">
        <f ca="1">IFERROR(__xludf.DUMMYFUNCTION("""COMPUTED_VALUE"""),"")</f>
        <v/>
      </c>
      <c r="M174" s="5" t="str">
        <f ca="1">IFERROR(__xludf.DUMMYFUNCTION("""COMPUTED_VALUE"""),"")</f>
        <v/>
      </c>
      <c r="N174" s="5" t="str">
        <f ca="1">IFERROR(__xludf.DUMMYFUNCTION("""COMPUTED_VALUE"""),"")</f>
        <v/>
      </c>
      <c r="O174" s="2" t="str">
        <f ca="1">IFERROR(__xludf.DUMMYFUNCTION("""COMPUTED_VALUE"""),"")</f>
        <v/>
      </c>
      <c r="P174" s="2" t="str">
        <f ca="1">IFERROR(__xludf.DUMMYFUNCTION("""COMPUTED_VALUE"""),"")</f>
        <v/>
      </c>
      <c r="Q174" s="2" t="str">
        <f ca="1">IFERROR(__xludf.DUMMYFUNCTION("""COMPUTED_VALUE"""),"")</f>
        <v/>
      </c>
      <c r="R174" s="2" t="str">
        <f ca="1">IFERROR(__xludf.DUMMYFUNCTION("""COMPUTED_VALUE"""),"")</f>
        <v/>
      </c>
      <c r="S174" s="2" t="str">
        <f ca="1">IFERROR(__xludf.DUMMYFUNCTION("""COMPUTED_VALUE"""),"")</f>
        <v/>
      </c>
      <c r="T174" s="2" t="str">
        <f ca="1">IFERROR(__xludf.DUMMYFUNCTION("""COMPUTED_VALUE"""),"")</f>
        <v/>
      </c>
      <c r="U174" s="2" t="str">
        <f ca="1">IFERROR(__xludf.DUMMYFUNCTION("""COMPUTED_VALUE"""),"")</f>
        <v/>
      </c>
      <c r="V174" s="2" t="str">
        <f ca="1">IFERROR(__xludf.DUMMYFUNCTION("""COMPUTED_VALUE"""),"")</f>
        <v/>
      </c>
      <c r="W174" s="2" t="str">
        <f ca="1">IFERROR(__xludf.DUMMYFUNCTION("""COMPUTED_VALUE"""),"")</f>
        <v/>
      </c>
      <c r="X174" s="2" t="str">
        <f ca="1">IFERROR(__xludf.DUMMYFUNCTION("""COMPUTED_VALUE"""),"")</f>
        <v/>
      </c>
      <c r="Y174" s="2" t="str">
        <f ca="1">IFERROR(__xludf.DUMMYFUNCTION("""COMPUTED_VALUE"""),"")</f>
        <v/>
      </c>
      <c r="Z174" s="2" t="str">
        <f ca="1">IFERROR(__xludf.DUMMYFUNCTION("""COMPUTED_VALUE"""),"")</f>
        <v/>
      </c>
      <c r="AA174" s="2" t="str">
        <f ca="1">IFERROR(__xludf.DUMMYFUNCTION("""COMPUTED_VALUE"""),"")</f>
        <v/>
      </c>
      <c r="AB174" s="2" t="str">
        <f ca="1">IFERROR(__xludf.DUMMYFUNCTION("""COMPUTED_VALUE"""),"")</f>
        <v/>
      </c>
      <c r="AC174" s="2" t="str">
        <f ca="1">IFERROR(__xludf.DUMMYFUNCTION("""COMPUTED_VALUE"""),"")</f>
        <v/>
      </c>
      <c r="AD174" s="2" t="str">
        <f ca="1">IFERROR(__xludf.DUMMYFUNCTION("""COMPUTED_VALUE"""),"")</f>
        <v/>
      </c>
      <c r="AE174" s="2" t="str">
        <f ca="1">IFERROR(__xludf.DUMMYFUNCTION("""COMPUTED_VALUE"""),"")</f>
        <v/>
      </c>
      <c r="AF174" s="2" t="str">
        <f ca="1">IFERROR(__xludf.DUMMYFUNCTION("""COMPUTED_VALUE"""),"")</f>
        <v/>
      </c>
      <c r="AG174" s="2" t="str">
        <f ca="1">IFERROR(__xludf.DUMMYFUNCTION("""COMPUTED_VALUE"""),"")</f>
        <v/>
      </c>
      <c r="AH174" s="2" t="str">
        <f ca="1">IFERROR(__xludf.DUMMYFUNCTION("""COMPUTED_VALUE"""),"")</f>
        <v/>
      </c>
      <c r="AI174" s="2" t="str">
        <f ca="1">IFERROR(__xludf.DUMMYFUNCTION("""COMPUTED_VALUE"""),"")</f>
        <v/>
      </c>
      <c r="AJ174" s="2" t="str">
        <f ca="1">IFERROR(__xludf.DUMMYFUNCTION("""COMPUTED_VALUE"""),"")</f>
        <v/>
      </c>
      <c r="AK174" s="2" t="str">
        <f ca="1">IFERROR(__xludf.DUMMYFUNCTION("""COMPUTED_VALUE"""),"")</f>
        <v/>
      </c>
      <c r="AL174" s="2" t="str">
        <f ca="1">IFERROR(__xludf.DUMMYFUNCTION("""COMPUTED_VALUE"""),"")</f>
        <v/>
      </c>
      <c r="AM174" s="2" t="str">
        <f ca="1">IFERROR(__xludf.DUMMYFUNCTION("""COMPUTED_VALUE"""),"")</f>
        <v/>
      </c>
      <c r="AN174" s="2" t="str">
        <f ca="1">IFERROR(__xludf.DUMMYFUNCTION("""COMPUTED_VALUE"""),"")</f>
        <v/>
      </c>
      <c r="AO174" s="2" t="str">
        <f ca="1">IFERROR(__xludf.DUMMYFUNCTION("""COMPUTED_VALUE"""),"")</f>
        <v/>
      </c>
      <c r="AP174" s="2" t="str">
        <f ca="1">IFERROR(__xludf.DUMMYFUNCTION("""COMPUTED_VALUE"""),"")</f>
        <v/>
      </c>
      <c r="AQ174" s="2" t="str">
        <f ca="1">IFERROR(__xludf.DUMMYFUNCTION("""COMPUTED_VALUE"""),"")</f>
        <v/>
      </c>
      <c r="AR174" s="2" t="str">
        <f ca="1">IFERROR(__xludf.DUMMYFUNCTION("""COMPUTED_VALUE"""),"")</f>
        <v/>
      </c>
      <c r="AS174" s="2" t="str">
        <f ca="1">IFERROR(__xludf.DUMMYFUNCTION("""COMPUTED_VALUE"""),"")</f>
        <v/>
      </c>
      <c r="AT174" s="2" t="str">
        <f ca="1">IFERROR(__xludf.DUMMYFUNCTION("""COMPUTED_VALUE"""),"")</f>
        <v/>
      </c>
      <c r="AU174" s="2" t="str">
        <f ca="1">IFERROR(__xludf.DUMMYFUNCTION("""COMPUTED_VALUE"""),"")</f>
        <v/>
      </c>
      <c r="AV174" s="2" t="str">
        <f ca="1">IFERROR(__xludf.DUMMYFUNCTION("""COMPUTED_VALUE"""),"")</f>
        <v/>
      </c>
      <c r="AW174" s="2" t="str">
        <f ca="1">IFERROR(__xludf.DUMMYFUNCTION("""COMPUTED_VALUE"""),"")</f>
        <v/>
      </c>
      <c r="AX174" s="2" t="str">
        <f ca="1">IFERROR(__xludf.DUMMYFUNCTION("""COMPUTED_VALUE"""),"")</f>
        <v/>
      </c>
      <c r="AY174" s="2" t="str">
        <f ca="1">IFERROR(__xludf.DUMMYFUNCTION("""COMPUTED_VALUE"""),"")</f>
        <v/>
      </c>
      <c r="AZ174" s="2" t="str">
        <f ca="1">IFERROR(__xludf.DUMMYFUNCTION("""COMPUTED_VALUE"""),"")</f>
        <v/>
      </c>
      <c r="BA174" s="2" t="str">
        <f ca="1">IFERROR(__xludf.DUMMYFUNCTION("""COMPUTED_VALUE"""),"")</f>
        <v/>
      </c>
      <c r="BB174" s="2" t="str">
        <f ca="1">IFERROR(__xludf.DUMMYFUNCTION("""COMPUTED_VALUE"""),"")</f>
        <v/>
      </c>
      <c r="BC174" s="2" t="str">
        <f ca="1">IFERROR(__xludf.DUMMYFUNCTION("""COMPUTED_VALUE"""),"")</f>
        <v/>
      </c>
      <c r="BD174" s="2" t="str">
        <f ca="1">IFERROR(__xludf.DUMMYFUNCTION("""COMPUTED_VALUE"""),"")</f>
        <v/>
      </c>
      <c r="BE174" s="2" t="str">
        <f ca="1">IFERROR(__xludf.DUMMYFUNCTION("""COMPUTED_VALUE"""),"")</f>
        <v/>
      </c>
      <c r="BF174" t="str">
        <f ca="1">IFERROR(__xludf.DUMMYFUNCTION("""COMPUTED_VALUE"""),"")</f>
        <v/>
      </c>
      <c r="BG174" t="str">
        <f ca="1">IFERROR(__xludf.DUMMYFUNCTION("""COMPUTED_VALUE"""),"")</f>
        <v/>
      </c>
      <c r="BH174" s="2">
        <f ca="1">IFERROR(__xludf.DUMMYFUNCTION("""COMPUTED_VALUE"""),-37.3399162)</f>
        <v>-37.339916199999998</v>
      </c>
      <c r="BI174" s="13">
        <f ca="1">IFERROR(__xludf.DUMMYFUNCTION("""COMPUTED_VALUE"""),175.164505)</f>
        <v>175.16450499999999</v>
      </c>
      <c r="BJ174" s="9">
        <f ca="1">IFERROR(__xludf.DUMMYFUNCTION("""COMPUTED_VALUE"""),43378)</f>
        <v>43378</v>
      </c>
      <c r="BK174" s="4">
        <f ca="1">IFERROR(__xludf.DUMMYFUNCTION("""COMPUTED_VALUE"""),0.457777777777664)</f>
        <v>0.45777777777766399</v>
      </c>
    </row>
    <row r="175" spans="1:63" ht="12.5" x14ac:dyDescent="0.25">
      <c r="A175" s="7" t="str">
        <f ca="1">IFERROR(__xludf.DUMMYFUNCTION("""COMPUTED_VALUE"""),"")</f>
        <v/>
      </c>
      <c r="B175" s="8" t="str">
        <f ca="1">IFERROR(__xludf.DUMMYFUNCTION("""COMPUTED_VALUE"""),"Waikato")</f>
        <v>Waikato</v>
      </c>
      <c r="C175" s="2">
        <f ca="1">IFERROR(__xludf.DUMMYFUNCTION("""COMPUTED_VALUE"""),23)</f>
        <v>23</v>
      </c>
      <c r="D175" s="9" t="str">
        <f ca="1">IFERROR(__xludf.DUMMYFUNCTION("""COMPUTED_VALUE"""),"")</f>
        <v/>
      </c>
      <c r="E175" s="4" t="str">
        <f ca="1">IFERROR(__xludf.DUMMYFUNCTION("""COMPUTED_VALUE"""),"")</f>
        <v/>
      </c>
      <c r="F175" s="2" t="str">
        <f ca="1">IFERROR(__xludf.DUMMYFUNCTION("""COMPUTED_VALUE"""),"")</f>
        <v/>
      </c>
      <c r="G175" s="2" t="str">
        <f ca="1">IFERROR(__xludf.DUMMYFUNCTION("""COMPUTED_VALUE"""),"GPS: I converted data downloaded from ARGOS using Pinpoint software")</f>
        <v>GPS: I converted data downloaded from ARGOS using Pinpoint software</v>
      </c>
      <c r="H175" s="2" t="str">
        <f ca="1">IFERROR(__xludf.DUMMYFUNCTION("""COMPUTED_VALUE"""),"3D")</f>
        <v>3D</v>
      </c>
      <c r="I175" s="2" t="str">
        <f ca="1">IFERROR(__xludf.DUMMYFUNCTION("""COMPUTED_VALUE"""),"")</f>
        <v/>
      </c>
      <c r="J175" s="2" t="str">
        <f ca="1">IFERROR(__xludf.DUMMYFUNCTION("""COMPUTED_VALUE"""),"")</f>
        <v/>
      </c>
      <c r="K175" s="2" t="str">
        <f ca="1">IFERROR(__xludf.DUMMYFUNCTION("""COMPUTED_VALUE"""),"")</f>
        <v/>
      </c>
      <c r="L175" s="2" t="str">
        <f ca="1">IFERROR(__xludf.DUMMYFUNCTION("""COMPUTED_VALUE"""),"")</f>
        <v/>
      </c>
      <c r="M175" s="5" t="str">
        <f ca="1">IFERROR(__xludf.DUMMYFUNCTION("""COMPUTED_VALUE"""),"")</f>
        <v/>
      </c>
      <c r="N175" s="5" t="str">
        <f ca="1">IFERROR(__xludf.DUMMYFUNCTION("""COMPUTED_VALUE"""),"")</f>
        <v/>
      </c>
      <c r="O175" s="2" t="str">
        <f ca="1">IFERROR(__xludf.DUMMYFUNCTION("""COMPUTED_VALUE"""),"")</f>
        <v/>
      </c>
      <c r="P175" s="2" t="str">
        <f ca="1">IFERROR(__xludf.DUMMYFUNCTION("""COMPUTED_VALUE"""),"")</f>
        <v/>
      </c>
      <c r="Q175" s="2" t="str">
        <f ca="1">IFERROR(__xludf.DUMMYFUNCTION("""COMPUTED_VALUE"""),"")</f>
        <v/>
      </c>
      <c r="R175" s="2" t="str">
        <f ca="1">IFERROR(__xludf.DUMMYFUNCTION("""COMPUTED_VALUE"""),"")</f>
        <v/>
      </c>
      <c r="S175" s="2" t="str">
        <f ca="1">IFERROR(__xludf.DUMMYFUNCTION("""COMPUTED_VALUE"""),"")</f>
        <v/>
      </c>
      <c r="T175" s="2" t="str">
        <f ca="1">IFERROR(__xludf.DUMMYFUNCTION("""COMPUTED_VALUE"""),"")</f>
        <v/>
      </c>
      <c r="U175" s="2" t="str">
        <f ca="1">IFERROR(__xludf.DUMMYFUNCTION("""COMPUTED_VALUE"""),"")</f>
        <v/>
      </c>
      <c r="V175" s="2" t="str">
        <f ca="1">IFERROR(__xludf.DUMMYFUNCTION("""COMPUTED_VALUE"""),"")</f>
        <v/>
      </c>
      <c r="W175" s="2" t="str">
        <f ca="1">IFERROR(__xludf.DUMMYFUNCTION("""COMPUTED_VALUE"""),"")</f>
        <v/>
      </c>
      <c r="X175" s="2" t="str">
        <f ca="1">IFERROR(__xludf.DUMMYFUNCTION("""COMPUTED_VALUE"""),"")</f>
        <v/>
      </c>
      <c r="Y175" s="2" t="str">
        <f ca="1">IFERROR(__xludf.DUMMYFUNCTION("""COMPUTED_VALUE"""),"")</f>
        <v/>
      </c>
      <c r="Z175" s="2" t="str">
        <f ca="1">IFERROR(__xludf.DUMMYFUNCTION("""COMPUTED_VALUE"""),"")</f>
        <v/>
      </c>
      <c r="AA175" s="2" t="str">
        <f ca="1">IFERROR(__xludf.DUMMYFUNCTION("""COMPUTED_VALUE"""),"")</f>
        <v/>
      </c>
      <c r="AB175" s="2" t="str">
        <f ca="1">IFERROR(__xludf.DUMMYFUNCTION("""COMPUTED_VALUE"""),"")</f>
        <v/>
      </c>
      <c r="AC175" s="2" t="str">
        <f ca="1">IFERROR(__xludf.DUMMYFUNCTION("""COMPUTED_VALUE"""),"")</f>
        <v/>
      </c>
      <c r="AD175" s="2" t="str">
        <f ca="1">IFERROR(__xludf.DUMMYFUNCTION("""COMPUTED_VALUE"""),"")</f>
        <v/>
      </c>
      <c r="AE175" s="2" t="str">
        <f ca="1">IFERROR(__xludf.DUMMYFUNCTION("""COMPUTED_VALUE"""),"")</f>
        <v/>
      </c>
      <c r="AF175" s="2" t="str">
        <f ca="1">IFERROR(__xludf.DUMMYFUNCTION("""COMPUTED_VALUE"""),"")</f>
        <v/>
      </c>
      <c r="AG175" s="2" t="str">
        <f ca="1">IFERROR(__xludf.DUMMYFUNCTION("""COMPUTED_VALUE"""),"")</f>
        <v/>
      </c>
      <c r="AH175" s="2" t="str">
        <f ca="1">IFERROR(__xludf.DUMMYFUNCTION("""COMPUTED_VALUE"""),"")</f>
        <v/>
      </c>
      <c r="AI175" s="2" t="str">
        <f ca="1">IFERROR(__xludf.DUMMYFUNCTION("""COMPUTED_VALUE"""),"")</f>
        <v/>
      </c>
      <c r="AJ175" s="2" t="str">
        <f ca="1">IFERROR(__xludf.DUMMYFUNCTION("""COMPUTED_VALUE"""),"")</f>
        <v/>
      </c>
      <c r="AK175" s="2" t="str">
        <f ca="1">IFERROR(__xludf.DUMMYFUNCTION("""COMPUTED_VALUE"""),"")</f>
        <v/>
      </c>
      <c r="AL175" s="2" t="str">
        <f ca="1">IFERROR(__xludf.DUMMYFUNCTION("""COMPUTED_VALUE"""),"")</f>
        <v/>
      </c>
      <c r="AM175" s="2" t="str">
        <f ca="1">IFERROR(__xludf.DUMMYFUNCTION("""COMPUTED_VALUE"""),"")</f>
        <v/>
      </c>
      <c r="AN175" s="2" t="str">
        <f ca="1">IFERROR(__xludf.DUMMYFUNCTION("""COMPUTED_VALUE"""),"")</f>
        <v/>
      </c>
      <c r="AO175" s="2" t="str">
        <f ca="1">IFERROR(__xludf.DUMMYFUNCTION("""COMPUTED_VALUE"""),"")</f>
        <v/>
      </c>
      <c r="AP175" s="2" t="str">
        <f ca="1">IFERROR(__xludf.DUMMYFUNCTION("""COMPUTED_VALUE"""),"")</f>
        <v/>
      </c>
      <c r="AQ175" s="2" t="str">
        <f ca="1">IFERROR(__xludf.DUMMYFUNCTION("""COMPUTED_VALUE"""),"")</f>
        <v/>
      </c>
      <c r="AR175" s="2" t="str">
        <f ca="1">IFERROR(__xludf.DUMMYFUNCTION("""COMPUTED_VALUE"""),"")</f>
        <v/>
      </c>
      <c r="AS175" s="2" t="str">
        <f ca="1">IFERROR(__xludf.DUMMYFUNCTION("""COMPUTED_VALUE"""),"")</f>
        <v/>
      </c>
      <c r="AT175" s="2" t="str">
        <f ca="1">IFERROR(__xludf.DUMMYFUNCTION("""COMPUTED_VALUE"""),"")</f>
        <v/>
      </c>
      <c r="AU175" s="2" t="str">
        <f ca="1">IFERROR(__xludf.DUMMYFUNCTION("""COMPUTED_VALUE"""),"")</f>
        <v/>
      </c>
      <c r="AV175" s="2" t="str">
        <f ca="1">IFERROR(__xludf.DUMMYFUNCTION("""COMPUTED_VALUE"""),"")</f>
        <v/>
      </c>
      <c r="AW175" s="2" t="str">
        <f ca="1">IFERROR(__xludf.DUMMYFUNCTION("""COMPUTED_VALUE"""),"")</f>
        <v/>
      </c>
      <c r="AX175" s="2" t="str">
        <f ca="1">IFERROR(__xludf.DUMMYFUNCTION("""COMPUTED_VALUE"""),"")</f>
        <v/>
      </c>
      <c r="AY175" s="2" t="str">
        <f ca="1">IFERROR(__xludf.DUMMYFUNCTION("""COMPUTED_VALUE"""),"")</f>
        <v/>
      </c>
      <c r="AZ175" s="2" t="str">
        <f ca="1">IFERROR(__xludf.DUMMYFUNCTION("""COMPUTED_VALUE"""),"")</f>
        <v/>
      </c>
      <c r="BA175" s="2" t="str">
        <f ca="1">IFERROR(__xludf.DUMMYFUNCTION("""COMPUTED_VALUE"""),"")</f>
        <v/>
      </c>
      <c r="BB175" s="2" t="str">
        <f ca="1">IFERROR(__xludf.DUMMYFUNCTION("""COMPUTED_VALUE"""),"")</f>
        <v/>
      </c>
      <c r="BC175" s="2" t="str">
        <f ca="1">IFERROR(__xludf.DUMMYFUNCTION("""COMPUTED_VALUE"""),"")</f>
        <v/>
      </c>
      <c r="BD175" s="2" t="str">
        <f ca="1">IFERROR(__xludf.DUMMYFUNCTION("""COMPUTED_VALUE"""),"")</f>
        <v/>
      </c>
      <c r="BE175" s="2" t="str">
        <f ca="1">IFERROR(__xludf.DUMMYFUNCTION("""COMPUTED_VALUE"""),"")</f>
        <v/>
      </c>
      <c r="BF175" t="str">
        <f ca="1">IFERROR(__xludf.DUMMYFUNCTION("""COMPUTED_VALUE"""),"")</f>
        <v/>
      </c>
      <c r="BG175" t="str">
        <f ca="1">IFERROR(__xludf.DUMMYFUNCTION("""COMPUTED_VALUE"""),"")</f>
        <v/>
      </c>
      <c r="BH175" s="2">
        <f ca="1">IFERROR(__xludf.DUMMYFUNCTION("""COMPUTED_VALUE"""),-37.3415031)</f>
        <v>-37.341503099999997</v>
      </c>
      <c r="BI175" s="12">
        <f ca="1">IFERROR(__xludf.DUMMYFUNCTION("""COMPUTED_VALUE"""),175.1657867)</f>
        <v>175.16578670000001</v>
      </c>
      <c r="BJ175" s="9">
        <f ca="1">IFERROR(__xludf.DUMMYFUNCTION("""COMPUTED_VALUE"""),43378)</f>
        <v>43378</v>
      </c>
      <c r="BK175" s="4">
        <f ca="1">IFERROR(__xludf.DUMMYFUNCTION("""COMPUTED_VALUE"""),0.875555555554456)</f>
        <v>0.87555555555445597</v>
      </c>
    </row>
    <row r="176" spans="1:63" ht="12.5" x14ac:dyDescent="0.25">
      <c r="A176" s="7" t="str">
        <f ca="1">IFERROR(__xludf.DUMMYFUNCTION("""COMPUTED_VALUE"""),"")</f>
        <v/>
      </c>
      <c r="B176" s="8" t="str">
        <f ca="1">IFERROR(__xludf.DUMMYFUNCTION("""COMPUTED_VALUE"""),"Waikato")</f>
        <v>Waikato</v>
      </c>
      <c r="C176" s="2">
        <f ca="1">IFERROR(__xludf.DUMMYFUNCTION("""COMPUTED_VALUE"""),23)</f>
        <v>23</v>
      </c>
      <c r="D176" s="9" t="str">
        <f ca="1">IFERROR(__xludf.DUMMYFUNCTION("""COMPUTED_VALUE"""),"")</f>
        <v/>
      </c>
      <c r="E176" s="4" t="str">
        <f ca="1">IFERROR(__xludf.DUMMYFUNCTION("""COMPUTED_VALUE"""),"")</f>
        <v/>
      </c>
      <c r="F176" s="2" t="str">
        <f ca="1">IFERROR(__xludf.DUMMYFUNCTION("""COMPUTED_VALUE"""),"")</f>
        <v/>
      </c>
      <c r="G176" s="2" t="str">
        <f ca="1">IFERROR(__xludf.DUMMYFUNCTION("""COMPUTED_VALUE"""),"GPS: I converted data downloaded from ARGOS using Pinpoint software")</f>
        <v>GPS: I converted data downloaded from ARGOS using Pinpoint software</v>
      </c>
      <c r="H176" s="2" t="str">
        <f ca="1">IFERROR(__xludf.DUMMYFUNCTION("""COMPUTED_VALUE"""),"3D")</f>
        <v>3D</v>
      </c>
      <c r="I176" s="2" t="str">
        <f ca="1">IFERROR(__xludf.DUMMYFUNCTION("""COMPUTED_VALUE"""),"")</f>
        <v/>
      </c>
      <c r="J176" s="2" t="str">
        <f ca="1">IFERROR(__xludf.DUMMYFUNCTION("""COMPUTED_VALUE"""),"")</f>
        <v/>
      </c>
      <c r="K176" s="2" t="str">
        <f ca="1">IFERROR(__xludf.DUMMYFUNCTION("""COMPUTED_VALUE"""),"")</f>
        <v/>
      </c>
      <c r="L176" s="2" t="str">
        <f ca="1">IFERROR(__xludf.DUMMYFUNCTION("""COMPUTED_VALUE"""),"")</f>
        <v/>
      </c>
      <c r="M176" s="5" t="str">
        <f ca="1">IFERROR(__xludf.DUMMYFUNCTION("""COMPUTED_VALUE"""),"")</f>
        <v/>
      </c>
      <c r="N176" s="5" t="str">
        <f ca="1">IFERROR(__xludf.DUMMYFUNCTION("""COMPUTED_VALUE"""),"")</f>
        <v/>
      </c>
      <c r="O176" s="2" t="str">
        <f ca="1">IFERROR(__xludf.DUMMYFUNCTION("""COMPUTED_VALUE"""),"")</f>
        <v/>
      </c>
      <c r="P176" s="2" t="str">
        <f ca="1">IFERROR(__xludf.DUMMYFUNCTION("""COMPUTED_VALUE"""),"")</f>
        <v/>
      </c>
      <c r="Q176" s="2" t="str">
        <f ca="1">IFERROR(__xludf.DUMMYFUNCTION("""COMPUTED_VALUE"""),"")</f>
        <v/>
      </c>
      <c r="R176" s="2" t="str">
        <f ca="1">IFERROR(__xludf.DUMMYFUNCTION("""COMPUTED_VALUE"""),"")</f>
        <v/>
      </c>
      <c r="S176" s="2" t="str">
        <f ca="1">IFERROR(__xludf.DUMMYFUNCTION("""COMPUTED_VALUE"""),"")</f>
        <v/>
      </c>
      <c r="T176" s="2" t="str">
        <f ca="1">IFERROR(__xludf.DUMMYFUNCTION("""COMPUTED_VALUE"""),"")</f>
        <v/>
      </c>
      <c r="U176" s="2" t="str">
        <f ca="1">IFERROR(__xludf.DUMMYFUNCTION("""COMPUTED_VALUE"""),"")</f>
        <v/>
      </c>
      <c r="V176" s="2" t="str">
        <f ca="1">IFERROR(__xludf.DUMMYFUNCTION("""COMPUTED_VALUE"""),"")</f>
        <v/>
      </c>
      <c r="W176" s="2" t="str">
        <f ca="1">IFERROR(__xludf.DUMMYFUNCTION("""COMPUTED_VALUE"""),"")</f>
        <v/>
      </c>
      <c r="X176" s="2" t="str">
        <f ca="1">IFERROR(__xludf.DUMMYFUNCTION("""COMPUTED_VALUE"""),"")</f>
        <v/>
      </c>
      <c r="Y176" s="2" t="str">
        <f ca="1">IFERROR(__xludf.DUMMYFUNCTION("""COMPUTED_VALUE"""),"")</f>
        <v/>
      </c>
      <c r="Z176" s="2" t="str">
        <f ca="1">IFERROR(__xludf.DUMMYFUNCTION("""COMPUTED_VALUE"""),"")</f>
        <v/>
      </c>
      <c r="AA176" s="2" t="str">
        <f ca="1">IFERROR(__xludf.DUMMYFUNCTION("""COMPUTED_VALUE"""),"")</f>
        <v/>
      </c>
      <c r="AB176" s="2" t="str">
        <f ca="1">IFERROR(__xludf.DUMMYFUNCTION("""COMPUTED_VALUE"""),"")</f>
        <v/>
      </c>
      <c r="AC176" s="2" t="str">
        <f ca="1">IFERROR(__xludf.DUMMYFUNCTION("""COMPUTED_VALUE"""),"")</f>
        <v/>
      </c>
      <c r="AD176" s="2" t="str">
        <f ca="1">IFERROR(__xludf.DUMMYFUNCTION("""COMPUTED_VALUE"""),"")</f>
        <v/>
      </c>
      <c r="AE176" s="2" t="str">
        <f ca="1">IFERROR(__xludf.DUMMYFUNCTION("""COMPUTED_VALUE"""),"")</f>
        <v/>
      </c>
      <c r="AF176" s="2" t="str">
        <f ca="1">IFERROR(__xludf.DUMMYFUNCTION("""COMPUTED_VALUE"""),"")</f>
        <v/>
      </c>
      <c r="AG176" s="2" t="str">
        <f ca="1">IFERROR(__xludf.DUMMYFUNCTION("""COMPUTED_VALUE"""),"")</f>
        <v/>
      </c>
      <c r="AH176" s="2" t="str">
        <f ca="1">IFERROR(__xludf.DUMMYFUNCTION("""COMPUTED_VALUE"""),"")</f>
        <v/>
      </c>
      <c r="AI176" s="2" t="str">
        <f ca="1">IFERROR(__xludf.DUMMYFUNCTION("""COMPUTED_VALUE"""),"")</f>
        <v/>
      </c>
      <c r="AJ176" s="2" t="str">
        <f ca="1">IFERROR(__xludf.DUMMYFUNCTION("""COMPUTED_VALUE"""),"")</f>
        <v/>
      </c>
      <c r="AK176" s="2" t="str">
        <f ca="1">IFERROR(__xludf.DUMMYFUNCTION("""COMPUTED_VALUE"""),"")</f>
        <v/>
      </c>
      <c r="AL176" s="2" t="str">
        <f ca="1">IFERROR(__xludf.DUMMYFUNCTION("""COMPUTED_VALUE"""),"")</f>
        <v/>
      </c>
      <c r="AM176" s="2" t="str">
        <f ca="1">IFERROR(__xludf.DUMMYFUNCTION("""COMPUTED_VALUE"""),"")</f>
        <v/>
      </c>
      <c r="AN176" s="2" t="str">
        <f ca="1">IFERROR(__xludf.DUMMYFUNCTION("""COMPUTED_VALUE"""),"")</f>
        <v/>
      </c>
      <c r="AO176" s="2" t="str">
        <f ca="1">IFERROR(__xludf.DUMMYFUNCTION("""COMPUTED_VALUE"""),"")</f>
        <v/>
      </c>
      <c r="AP176" s="2" t="str">
        <f ca="1">IFERROR(__xludf.DUMMYFUNCTION("""COMPUTED_VALUE"""),"")</f>
        <v/>
      </c>
      <c r="AQ176" s="2" t="str">
        <f ca="1">IFERROR(__xludf.DUMMYFUNCTION("""COMPUTED_VALUE"""),"")</f>
        <v/>
      </c>
      <c r="AR176" s="2" t="str">
        <f ca="1">IFERROR(__xludf.DUMMYFUNCTION("""COMPUTED_VALUE"""),"")</f>
        <v/>
      </c>
      <c r="AS176" s="2" t="str">
        <f ca="1">IFERROR(__xludf.DUMMYFUNCTION("""COMPUTED_VALUE"""),"")</f>
        <v/>
      </c>
      <c r="AT176" s="2" t="str">
        <f ca="1">IFERROR(__xludf.DUMMYFUNCTION("""COMPUTED_VALUE"""),"")</f>
        <v/>
      </c>
      <c r="AU176" s="2" t="str">
        <f ca="1">IFERROR(__xludf.DUMMYFUNCTION("""COMPUTED_VALUE"""),"")</f>
        <v/>
      </c>
      <c r="AV176" s="2" t="str">
        <f ca="1">IFERROR(__xludf.DUMMYFUNCTION("""COMPUTED_VALUE"""),"")</f>
        <v/>
      </c>
      <c r="AW176" s="2" t="str">
        <f ca="1">IFERROR(__xludf.DUMMYFUNCTION("""COMPUTED_VALUE"""),"")</f>
        <v/>
      </c>
      <c r="AX176" s="2" t="str">
        <f ca="1">IFERROR(__xludf.DUMMYFUNCTION("""COMPUTED_VALUE"""),"")</f>
        <v/>
      </c>
      <c r="AY176" s="2" t="str">
        <f ca="1">IFERROR(__xludf.DUMMYFUNCTION("""COMPUTED_VALUE"""),"")</f>
        <v/>
      </c>
      <c r="AZ176" s="2" t="str">
        <f ca="1">IFERROR(__xludf.DUMMYFUNCTION("""COMPUTED_VALUE"""),"")</f>
        <v/>
      </c>
      <c r="BA176" s="2" t="str">
        <f ca="1">IFERROR(__xludf.DUMMYFUNCTION("""COMPUTED_VALUE"""),"")</f>
        <v/>
      </c>
      <c r="BB176" s="2" t="str">
        <f ca="1">IFERROR(__xludf.DUMMYFUNCTION("""COMPUTED_VALUE"""),"")</f>
        <v/>
      </c>
      <c r="BC176" s="2" t="str">
        <f ca="1">IFERROR(__xludf.DUMMYFUNCTION("""COMPUTED_VALUE"""),"")</f>
        <v/>
      </c>
      <c r="BD176" s="2" t="str">
        <f ca="1">IFERROR(__xludf.DUMMYFUNCTION("""COMPUTED_VALUE"""),"")</f>
        <v/>
      </c>
      <c r="BE176" s="2" t="str">
        <f ca="1">IFERROR(__xludf.DUMMYFUNCTION("""COMPUTED_VALUE"""),"")</f>
        <v/>
      </c>
      <c r="BF176" t="str">
        <f ca="1">IFERROR(__xludf.DUMMYFUNCTION("""COMPUTED_VALUE"""),"")</f>
        <v/>
      </c>
      <c r="BG176" t="str">
        <f ca="1">IFERROR(__xludf.DUMMYFUNCTION("""COMPUTED_VALUE"""),"")</f>
        <v/>
      </c>
      <c r="BH176" s="2">
        <f ca="1">IFERROR(__xludf.DUMMYFUNCTION("""COMPUTED_VALUE"""),-37.3425293)</f>
        <v>-37.342529300000002</v>
      </c>
      <c r="BI176" s="13">
        <f ca="1">IFERROR(__xludf.DUMMYFUNCTION("""COMPUTED_VALUE"""),175.1657562)</f>
        <v>175.1657562</v>
      </c>
      <c r="BJ176" s="9">
        <f ca="1">IFERROR(__xludf.DUMMYFUNCTION("""COMPUTED_VALUE"""),43378)</f>
        <v>43378</v>
      </c>
      <c r="BK176" s="4">
        <f ca="1">IFERROR(__xludf.DUMMYFUNCTION("""COMPUTED_VALUE"""),0.958518518516939)</f>
        <v>0.95851851851693903</v>
      </c>
    </row>
    <row r="177" spans="1:63" ht="12.5" x14ac:dyDescent="0.25">
      <c r="A177" s="7" t="str">
        <f ca="1">IFERROR(__xludf.DUMMYFUNCTION("""COMPUTED_VALUE"""),"")</f>
        <v/>
      </c>
      <c r="B177" s="8" t="str">
        <f ca="1">IFERROR(__xludf.DUMMYFUNCTION("""COMPUTED_VALUE"""),"Waikato")</f>
        <v>Waikato</v>
      </c>
      <c r="C177" s="2">
        <f ca="1">IFERROR(__xludf.DUMMYFUNCTION("""COMPUTED_VALUE"""),23)</f>
        <v>23</v>
      </c>
      <c r="D177" s="9" t="str">
        <f ca="1">IFERROR(__xludf.DUMMYFUNCTION("""COMPUTED_VALUE"""),"")</f>
        <v/>
      </c>
      <c r="E177" s="4" t="str">
        <f ca="1">IFERROR(__xludf.DUMMYFUNCTION("""COMPUTED_VALUE"""),"")</f>
        <v/>
      </c>
      <c r="F177" s="2" t="str">
        <f ca="1">IFERROR(__xludf.DUMMYFUNCTION("""COMPUTED_VALUE"""),"")</f>
        <v/>
      </c>
      <c r="G177" s="2" t="str">
        <f ca="1">IFERROR(__xludf.DUMMYFUNCTION("""COMPUTED_VALUE"""),"GPS: I converted data downloaded from ARGOS using Pinpoint software")</f>
        <v>GPS: I converted data downloaded from ARGOS using Pinpoint software</v>
      </c>
      <c r="H177" s="2" t="str">
        <f ca="1">IFERROR(__xludf.DUMMYFUNCTION("""COMPUTED_VALUE"""),"3D")</f>
        <v>3D</v>
      </c>
      <c r="I177" s="2" t="str">
        <f ca="1">IFERROR(__xludf.DUMMYFUNCTION("""COMPUTED_VALUE"""),"")</f>
        <v/>
      </c>
      <c r="J177" s="2" t="str">
        <f ca="1">IFERROR(__xludf.DUMMYFUNCTION("""COMPUTED_VALUE"""),"")</f>
        <v/>
      </c>
      <c r="K177" s="2" t="str">
        <f ca="1">IFERROR(__xludf.DUMMYFUNCTION("""COMPUTED_VALUE"""),"")</f>
        <v/>
      </c>
      <c r="L177" s="2" t="str">
        <f ca="1">IFERROR(__xludf.DUMMYFUNCTION("""COMPUTED_VALUE"""),"")</f>
        <v/>
      </c>
      <c r="M177" s="5" t="str">
        <f ca="1">IFERROR(__xludf.DUMMYFUNCTION("""COMPUTED_VALUE"""),"")</f>
        <v/>
      </c>
      <c r="N177" s="5" t="str">
        <f ca="1">IFERROR(__xludf.DUMMYFUNCTION("""COMPUTED_VALUE"""),"")</f>
        <v/>
      </c>
      <c r="O177" s="2" t="str">
        <f ca="1">IFERROR(__xludf.DUMMYFUNCTION("""COMPUTED_VALUE"""),"")</f>
        <v/>
      </c>
      <c r="P177" s="2" t="str">
        <f ca="1">IFERROR(__xludf.DUMMYFUNCTION("""COMPUTED_VALUE"""),"")</f>
        <v/>
      </c>
      <c r="Q177" s="2" t="str">
        <f ca="1">IFERROR(__xludf.DUMMYFUNCTION("""COMPUTED_VALUE"""),"")</f>
        <v/>
      </c>
      <c r="R177" s="2" t="str">
        <f ca="1">IFERROR(__xludf.DUMMYFUNCTION("""COMPUTED_VALUE"""),"")</f>
        <v/>
      </c>
      <c r="S177" s="2" t="str">
        <f ca="1">IFERROR(__xludf.DUMMYFUNCTION("""COMPUTED_VALUE"""),"")</f>
        <v/>
      </c>
      <c r="T177" s="2" t="str">
        <f ca="1">IFERROR(__xludf.DUMMYFUNCTION("""COMPUTED_VALUE"""),"")</f>
        <v/>
      </c>
      <c r="U177" s="2" t="str">
        <f ca="1">IFERROR(__xludf.DUMMYFUNCTION("""COMPUTED_VALUE"""),"")</f>
        <v/>
      </c>
      <c r="V177" s="2" t="str">
        <f ca="1">IFERROR(__xludf.DUMMYFUNCTION("""COMPUTED_VALUE"""),"")</f>
        <v/>
      </c>
      <c r="W177" s="2" t="str">
        <f ca="1">IFERROR(__xludf.DUMMYFUNCTION("""COMPUTED_VALUE"""),"")</f>
        <v/>
      </c>
      <c r="X177" s="2" t="str">
        <f ca="1">IFERROR(__xludf.DUMMYFUNCTION("""COMPUTED_VALUE"""),"")</f>
        <v/>
      </c>
      <c r="Y177" s="2" t="str">
        <f ca="1">IFERROR(__xludf.DUMMYFUNCTION("""COMPUTED_VALUE"""),"")</f>
        <v/>
      </c>
      <c r="Z177" s="2" t="str">
        <f ca="1">IFERROR(__xludf.DUMMYFUNCTION("""COMPUTED_VALUE"""),"")</f>
        <v/>
      </c>
      <c r="AA177" s="2" t="str">
        <f ca="1">IFERROR(__xludf.DUMMYFUNCTION("""COMPUTED_VALUE"""),"")</f>
        <v/>
      </c>
      <c r="AB177" s="2" t="str">
        <f ca="1">IFERROR(__xludf.DUMMYFUNCTION("""COMPUTED_VALUE"""),"")</f>
        <v/>
      </c>
      <c r="AC177" s="2" t="str">
        <f ca="1">IFERROR(__xludf.DUMMYFUNCTION("""COMPUTED_VALUE"""),"")</f>
        <v/>
      </c>
      <c r="AD177" s="2" t="str">
        <f ca="1">IFERROR(__xludf.DUMMYFUNCTION("""COMPUTED_VALUE"""),"")</f>
        <v/>
      </c>
      <c r="AE177" s="2" t="str">
        <f ca="1">IFERROR(__xludf.DUMMYFUNCTION("""COMPUTED_VALUE"""),"")</f>
        <v/>
      </c>
      <c r="AF177" s="2" t="str">
        <f ca="1">IFERROR(__xludf.DUMMYFUNCTION("""COMPUTED_VALUE"""),"")</f>
        <v/>
      </c>
      <c r="AG177" s="2" t="str">
        <f ca="1">IFERROR(__xludf.DUMMYFUNCTION("""COMPUTED_VALUE"""),"")</f>
        <v/>
      </c>
      <c r="AH177" s="2" t="str">
        <f ca="1">IFERROR(__xludf.DUMMYFUNCTION("""COMPUTED_VALUE"""),"")</f>
        <v/>
      </c>
      <c r="AI177" s="2" t="str">
        <f ca="1">IFERROR(__xludf.DUMMYFUNCTION("""COMPUTED_VALUE"""),"")</f>
        <v/>
      </c>
      <c r="AJ177" s="2" t="str">
        <f ca="1">IFERROR(__xludf.DUMMYFUNCTION("""COMPUTED_VALUE"""),"")</f>
        <v/>
      </c>
      <c r="AK177" s="2" t="str">
        <f ca="1">IFERROR(__xludf.DUMMYFUNCTION("""COMPUTED_VALUE"""),"")</f>
        <v/>
      </c>
      <c r="AL177" s="2" t="str">
        <f ca="1">IFERROR(__xludf.DUMMYFUNCTION("""COMPUTED_VALUE"""),"")</f>
        <v/>
      </c>
      <c r="AM177" s="2" t="str">
        <f ca="1">IFERROR(__xludf.DUMMYFUNCTION("""COMPUTED_VALUE"""),"")</f>
        <v/>
      </c>
      <c r="AN177" s="2" t="str">
        <f ca="1">IFERROR(__xludf.DUMMYFUNCTION("""COMPUTED_VALUE"""),"")</f>
        <v/>
      </c>
      <c r="AO177" s="2" t="str">
        <f ca="1">IFERROR(__xludf.DUMMYFUNCTION("""COMPUTED_VALUE"""),"")</f>
        <v/>
      </c>
      <c r="AP177" s="2" t="str">
        <f ca="1">IFERROR(__xludf.DUMMYFUNCTION("""COMPUTED_VALUE"""),"")</f>
        <v/>
      </c>
      <c r="AQ177" s="2" t="str">
        <f ca="1">IFERROR(__xludf.DUMMYFUNCTION("""COMPUTED_VALUE"""),"")</f>
        <v/>
      </c>
      <c r="AR177" s="2" t="str">
        <f ca="1">IFERROR(__xludf.DUMMYFUNCTION("""COMPUTED_VALUE"""),"")</f>
        <v/>
      </c>
      <c r="AS177" s="2" t="str">
        <f ca="1">IFERROR(__xludf.DUMMYFUNCTION("""COMPUTED_VALUE"""),"")</f>
        <v/>
      </c>
      <c r="AT177" s="2" t="str">
        <f ca="1">IFERROR(__xludf.DUMMYFUNCTION("""COMPUTED_VALUE"""),"")</f>
        <v/>
      </c>
      <c r="AU177" s="2" t="str">
        <f ca="1">IFERROR(__xludf.DUMMYFUNCTION("""COMPUTED_VALUE"""),"")</f>
        <v/>
      </c>
      <c r="AV177" s="2" t="str">
        <f ca="1">IFERROR(__xludf.DUMMYFUNCTION("""COMPUTED_VALUE"""),"")</f>
        <v/>
      </c>
      <c r="AW177" s="2" t="str">
        <f ca="1">IFERROR(__xludf.DUMMYFUNCTION("""COMPUTED_VALUE"""),"")</f>
        <v/>
      </c>
      <c r="AX177" s="2" t="str">
        <f ca="1">IFERROR(__xludf.DUMMYFUNCTION("""COMPUTED_VALUE"""),"")</f>
        <v/>
      </c>
      <c r="AY177" s="2" t="str">
        <f ca="1">IFERROR(__xludf.DUMMYFUNCTION("""COMPUTED_VALUE"""),"")</f>
        <v/>
      </c>
      <c r="AZ177" s="2" t="str">
        <f ca="1">IFERROR(__xludf.DUMMYFUNCTION("""COMPUTED_VALUE"""),"")</f>
        <v/>
      </c>
      <c r="BA177" s="2" t="str">
        <f ca="1">IFERROR(__xludf.DUMMYFUNCTION("""COMPUTED_VALUE"""),"")</f>
        <v/>
      </c>
      <c r="BB177" s="2" t="str">
        <f ca="1">IFERROR(__xludf.DUMMYFUNCTION("""COMPUTED_VALUE"""),"")</f>
        <v/>
      </c>
      <c r="BC177" s="2" t="str">
        <f ca="1">IFERROR(__xludf.DUMMYFUNCTION("""COMPUTED_VALUE"""),"")</f>
        <v/>
      </c>
      <c r="BD177" s="2" t="str">
        <f ca="1">IFERROR(__xludf.DUMMYFUNCTION("""COMPUTED_VALUE"""),"")</f>
        <v/>
      </c>
      <c r="BE177" s="2" t="str">
        <f ca="1">IFERROR(__xludf.DUMMYFUNCTION("""COMPUTED_VALUE"""),"")</f>
        <v/>
      </c>
      <c r="BF177" t="str">
        <f ca="1">IFERROR(__xludf.DUMMYFUNCTION("""COMPUTED_VALUE"""),"")</f>
        <v/>
      </c>
      <c r="BG177" t="str">
        <f ca="1">IFERROR(__xludf.DUMMYFUNCTION("""COMPUTED_VALUE"""),"")</f>
        <v/>
      </c>
      <c r="BH177" s="2">
        <f ca="1">IFERROR(__xludf.DUMMYFUNCTION("""COMPUTED_VALUE"""),-37.3490562)</f>
        <v>-37.3490562</v>
      </c>
      <c r="BI177" s="12">
        <f ca="1">IFERROR(__xludf.DUMMYFUNCTION("""COMPUTED_VALUE"""),175.181076)</f>
        <v>175.18107599999999</v>
      </c>
      <c r="BJ177" s="9">
        <f ca="1">IFERROR(__xludf.DUMMYFUNCTION("""COMPUTED_VALUE"""),43380)</f>
        <v>43380</v>
      </c>
      <c r="BK177" s="4">
        <f ca="1">IFERROR(__xludf.DUMMYFUNCTION("""COMPUTED_VALUE"""),0.457777777777664)</f>
        <v>0.45777777777766399</v>
      </c>
    </row>
    <row r="178" spans="1:63" ht="12.5" x14ac:dyDescent="0.25">
      <c r="A178" s="7" t="str">
        <f ca="1">IFERROR(__xludf.DUMMYFUNCTION("""COMPUTED_VALUE"""),"")</f>
        <v/>
      </c>
      <c r="B178" s="8" t="str">
        <f ca="1">IFERROR(__xludf.DUMMYFUNCTION("""COMPUTED_VALUE"""),"Waikato")</f>
        <v>Waikato</v>
      </c>
      <c r="C178" s="2">
        <f ca="1">IFERROR(__xludf.DUMMYFUNCTION("""COMPUTED_VALUE"""),23)</f>
        <v>23</v>
      </c>
      <c r="D178" s="9" t="str">
        <f ca="1">IFERROR(__xludf.DUMMYFUNCTION("""COMPUTED_VALUE"""),"")</f>
        <v/>
      </c>
      <c r="E178" s="4" t="str">
        <f ca="1">IFERROR(__xludf.DUMMYFUNCTION("""COMPUTED_VALUE"""),"")</f>
        <v/>
      </c>
      <c r="F178" s="2" t="str">
        <f ca="1">IFERROR(__xludf.DUMMYFUNCTION("""COMPUTED_VALUE"""),"")</f>
        <v/>
      </c>
      <c r="G178" s="2" t="str">
        <f ca="1">IFERROR(__xludf.DUMMYFUNCTION("""COMPUTED_VALUE"""),"GPS: I converted data downloaded from ARGOS using Pinpoint software")</f>
        <v>GPS: I converted data downloaded from ARGOS using Pinpoint software</v>
      </c>
      <c r="H178" s="2" t="str">
        <f ca="1">IFERROR(__xludf.DUMMYFUNCTION("""COMPUTED_VALUE"""),"3D")</f>
        <v>3D</v>
      </c>
      <c r="I178" s="2" t="str">
        <f ca="1">IFERROR(__xludf.DUMMYFUNCTION("""COMPUTED_VALUE"""),"")</f>
        <v/>
      </c>
      <c r="J178" s="2" t="str">
        <f ca="1">IFERROR(__xludf.DUMMYFUNCTION("""COMPUTED_VALUE"""),"")</f>
        <v/>
      </c>
      <c r="K178" s="2" t="str">
        <f ca="1">IFERROR(__xludf.DUMMYFUNCTION("""COMPUTED_VALUE"""),"")</f>
        <v/>
      </c>
      <c r="L178" s="2" t="str">
        <f ca="1">IFERROR(__xludf.DUMMYFUNCTION("""COMPUTED_VALUE"""),"")</f>
        <v/>
      </c>
      <c r="M178" s="5" t="str">
        <f ca="1">IFERROR(__xludf.DUMMYFUNCTION("""COMPUTED_VALUE"""),"")</f>
        <v/>
      </c>
      <c r="N178" s="5" t="str">
        <f ca="1">IFERROR(__xludf.DUMMYFUNCTION("""COMPUTED_VALUE"""),"")</f>
        <v/>
      </c>
      <c r="O178" s="2" t="str">
        <f ca="1">IFERROR(__xludf.DUMMYFUNCTION("""COMPUTED_VALUE"""),"")</f>
        <v/>
      </c>
      <c r="P178" s="2" t="str">
        <f ca="1">IFERROR(__xludf.DUMMYFUNCTION("""COMPUTED_VALUE"""),"")</f>
        <v/>
      </c>
      <c r="Q178" s="2" t="str">
        <f ca="1">IFERROR(__xludf.DUMMYFUNCTION("""COMPUTED_VALUE"""),"")</f>
        <v/>
      </c>
      <c r="R178" s="2" t="str">
        <f ca="1">IFERROR(__xludf.DUMMYFUNCTION("""COMPUTED_VALUE"""),"")</f>
        <v/>
      </c>
      <c r="S178" s="2" t="str">
        <f ca="1">IFERROR(__xludf.DUMMYFUNCTION("""COMPUTED_VALUE"""),"")</f>
        <v/>
      </c>
      <c r="T178" s="2" t="str">
        <f ca="1">IFERROR(__xludf.DUMMYFUNCTION("""COMPUTED_VALUE"""),"")</f>
        <v/>
      </c>
      <c r="U178" s="2" t="str">
        <f ca="1">IFERROR(__xludf.DUMMYFUNCTION("""COMPUTED_VALUE"""),"")</f>
        <v/>
      </c>
      <c r="V178" s="2" t="str">
        <f ca="1">IFERROR(__xludf.DUMMYFUNCTION("""COMPUTED_VALUE"""),"")</f>
        <v/>
      </c>
      <c r="W178" s="2" t="str">
        <f ca="1">IFERROR(__xludf.DUMMYFUNCTION("""COMPUTED_VALUE"""),"")</f>
        <v/>
      </c>
      <c r="X178" s="2" t="str">
        <f ca="1">IFERROR(__xludf.DUMMYFUNCTION("""COMPUTED_VALUE"""),"")</f>
        <v/>
      </c>
      <c r="Y178" s="2" t="str">
        <f ca="1">IFERROR(__xludf.DUMMYFUNCTION("""COMPUTED_VALUE"""),"")</f>
        <v/>
      </c>
      <c r="Z178" s="2" t="str">
        <f ca="1">IFERROR(__xludf.DUMMYFUNCTION("""COMPUTED_VALUE"""),"")</f>
        <v/>
      </c>
      <c r="AA178" s="2" t="str">
        <f ca="1">IFERROR(__xludf.DUMMYFUNCTION("""COMPUTED_VALUE"""),"")</f>
        <v/>
      </c>
      <c r="AB178" s="2" t="str">
        <f ca="1">IFERROR(__xludf.DUMMYFUNCTION("""COMPUTED_VALUE"""),"")</f>
        <v/>
      </c>
      <c r="AC178" s="2" t="str">
        <f ca="1">IFERROR(__xludf.DUMMYFUNCTION("""COMPUTED_VALUE"""),"")</f>
        <v/>
      </c>
      <c r="AD178" s="2" t="str">
        <f ca="1">IFERROR(__xludf.DUMMYFUNCTION("""COMPUTED_VALUE"""),"")</f>
        <v/>
      </c>
      <c r="AE178" s="2" t="str">
        <f ca="1">IFERROR(__xludf.DUMMYFUNCTION("""COMPUTED_VALUE"""),"")</f>
        <v/>
      </c>
      <c r="AF178" s="2" t="str">
        <f ca="1">IFERROR(__xludf.DUMMYFUNCTION("""COMPUTED_VALUE"""),"")</f>
        <v/>
      </c>
      <c r="AG178" s="2" t="str">
        <f ca="1">IFERROR(__xludf.DUMMYFUNCTION("""COMPUTED_VALUE"""),"")</f>
        <v/>
      </c>
      <c r="AH178" s="2" t="str">
        <f ca="1">IFERROR(__xludf.DUMMYFUNCTION("""COMPUTED_VALUE"""),"")</f>
        <v/>
      </c>
      <c r="AI178" s="2" t="str">
        <f ca="1">IFERROR(__xludf.DUMMYFUNCTION("""COMPUTED_VALUE"""),"")</f>
        <v/>
      </c>
      <c r="AJ178" s="2" t="str">
        <f ca="1">IFERROR(__xludf.DUMMYFUNCTION("""COMPUTED_VALUE"""),"")</f>
        <v/>
      </c>
      <c r="AK178" s="2" t="str">
        <f ca="1">IFERROR(__xludf.DUMMYFUNCTION("""COMPUTED_VALUE"""),"")</f>
        <v/>
      </c>
      <c r="AL178" s="2" t="str">
        <f ca="1">IFERROR(__xludf.DUMMYFUNCTION("""COMPUTED_VALUE"""),"")</f>
        <v/>
      </c>
      <c r="AM178" s="2" t="str">
        <f ca="1">IFERROR(__xludf.DUMMYFUNCTION("""COMPUTED_VALUE"""),"")</f>
        <v/>
      </c>
      <c r="AN178" s="2" t="str">
        <f ca="1">IFERROR(__xludf.DUMMYFUNCTION("""COMPUTED_VALUE"""),"")</f>
        <v/>
      </c>
      <c r="AO178" s="2" t="str">
        <f ca="1">IFERROR(__xludf.DUMMYFUNCTION("""COMPUTED_VALUE"""),"")</f>
        <v/>
      </c>
      <c r="AP178" s="2" t="str">
        <f ca="1">IFERROR(__xludf.DUMMYFUNCTION("""COMPUTED_VALUE"""),"")</f>
        <v/>
      </c>
      <c r="AQ178" s="2" t="str">
        <f ca="1">IFERROR(__xludf.DUMMYFUNCTION("""COMPUTED_VALUE"""),"")</f>
        <v/>
      </c>
      <c r="AR178" s="2" t="str">
        <f ca="1">IFERROR(__xludf.DUMMYFUNCTION("""COMPUTED_VALUE"""),"")</f>
        <v/>
      </c>
      <c r="AS178" s="2" t="str">
        <f ca="1">IFERROR(__xludf.DUMMYFUNCTION("""COMPUTED_VALUE"""),"")</f>
        <v/>
      </c>
      <c r="AT178" s="2" t="str">
        <f ca="1">IFERROR(__xludf.DUMMYFUNCTION("""COMPUTED_VALUE"""),"")</f>
        <v/>
      </c>
      <c r="AU178" s="2" t="str">
        <f ca="1">IFERROR(__xludf.DUMMYFUNCTION("""COMPUTED_VALUE"""),"")</f>
        <v/>
      </c>
      <c r="AV178" s="2" t="str">
        <f ca="1">IFERROR(__xludf.DUMMYFUNCTION("""COMPUTED_VALUE"""),"")</f>
        <v/>
      </c>
      <c r="AW178" s="2" t="str">
        <f ca="1">IFERROR(__xludf.DUMMYFUNCTION("""COMPUTED_VALUE"""),"")</f>
        <v/>
      </c>
      <c r="AX178" s="2" t="str">
        <f ca="1">IFERROR(__xludf.DUMMYFUNCTION("""COMPUTED_VALUE"""),"")</f>
        <v/>
      </c>
      <c r="AY178" s="2" t="str">
        <f ca="1">IFERROR(__xludf.DUMMYFUNCTION("""COMPUTED_VALUE"""),"")</f>
        <v/>
      </c>
      <c r="AZ178" s="2" t="str">
        <f ca="1">IFERROR(__xludf.DUMMYFUNCTION("""COMPUTED_VALUE"""),"")</f>
        <v/>
      </c>
      <c r="BA178" s="2" t="str">
        <f ca="1">IFERROR(__xludf.DUMMYFUNCTION("""COMPUTED_VALUE"""),"")</f>
        <v/>
      </c>
      <c r="BB178" s="2" t="str">
        <f ca="1">IFERROR(__xludf.DUMMYFUNCTION("""COMPUTED_VALUE"""),"")</f>
        <v/>
      </c>
      <c r="BC178" s="2" t="str">
        <f ca="1">IFERROR(__xludf.DUMMYFUNCTION("""COMPUTED_VALUE"""),"")</f>
        <v/>
      </c>
      <c r="BD178" s="2" t="str">
        <f ca="1">IFERROR(__xludf.DUMMYFUNCTION("""COMPUTED_VALUE"""),"")</f>
        <v/>
      </c>
      <c r="BE178" s="2" t="str">
        <f ca="1">IFERROR(__xludf.DUMMYFUNCTION("""COMPUTED_VALUE"""),"")</f>
        <v/>
      </c>
      <c r="BF178" t="str">
        <f ca="1">IFERROR(__xludf.DUMMYFUNCTION("""COMPUTED_VALUE"""),"")</f>
        <v/>
      </c>
      <c r="BG178" t="str">
        <f ca="1">IFERROR(__xludf.DUMMYFUNCTION("""COMPUTED_VALUE"""),"")</f>
        <v/>
      </c>
      <c r="BH178" s="2">
        <f ca="1">IFERROR(__xludf.DUMMYFUNCTION("""COMPUTED_VALUE"""),-37.3206902)</f>
        <v>-37.320690200000001</v>
      </c>
      <c r="BI178" s="13">
        <f ca="1">IFERROR(__xludf.DUMMYFUNCTION("""COMPUTED_VALUE"""),175.4449463)</f>
        <v>175.4449463</v>
      </c>
      <c r="BJ178" s="9">
        <f ca="1">IFERROR(__xludf.DUMMYFUNCTION("""COMPUTED_VALUE"""),43380)</f>
        <v>43380</v>
      </c>
      <c r="BK178" s="4">
        <f ca="1">IFERROR(__xludf.DUMMYFUNCTION("""COMPUTED_VALUE"""),0.958518518516939)</f>
        <v>0.95851851851693903</v>
      </c>
    </row>
    <row r="179" spans="1:63" ht="12.5" x14ac:dyDescent="0.25">
      <c r="A179" s="7" t="str">
        <f ca="1">IFERROR(__xludf.DUMMYFUNCTION("""COMPUTED_VALUE"""),"")</f>
        <v/>
      </c>
      <c r="B179" s="8" t="str">
        <f ca="1">IFERROR(__xludf.DUMMYFUNCTION("""COMPUTED_VALUE"""),"Waikato")</f>
        <v>Waikato</v>
      </c>
      <c r="C179" s="2">
        <f ca="1">IFERROR(__xludf.DUMMYFUNCTION("""COMPUTED_VALUE"""),23)</f>
        <v>23</v>
      </c>
      <c r="D179" s="9" t="str">
        <f ca="1">IFERROR(__xludf.DUMMYFUNCTION("""COMPUTED_VALUE"""),"")</f>
        <v/>
      </c>
      <c r="E179" s="4" t="str">
        <f ca="1">IFERROR(__xludf.DUMMYFUNCTION("""COMPUTED_VALUE"""),"")</f>
        <v/>
      </c>
      <c r="F179" s="2" t="str">
        <f ca="1">IFERROR(__xludf.DUMMYFUNCTION("""COMPUTED_VALUE"""),"")</f>
        <v/>
      </c>
      <c r="G179" s="2" t="str">
        <f ca="1">IFERROR(__xludf.DUMMYFUNCTION("""COMPUTED_VALUE"""),"GPS: I converted data downloaded from ARGOS using Pinpoint software")</f>
        <v>GPS: I converted data downloaded from ARGOS using Pinpoint software</v>
      </c>
      <c r="H179" s="2" t="str">
        <f ca="1">IFERROR(__xludf.DUMMYFUNCTION("""COMPUTED_VALUE"""),"3D")</f>
        <v>3D</v>
      </c>
      <c r="I179" s="2" t="str">
        <f ca="1">IFERROR(__xludf.DUMMYFUNCTION("""COMPUTED_VALUE"""),"")</f>
        <v/>
      </c>
      <c r="J179" s="2" t="str">
        <f ca="1">IFERROR(__xludf.DUMMYFUNCTION("""COMPUTED_VALUE"""),"")</f>
        <v/>
      </c>
      <c r="K179" s="2" t="str">
        <f ca="1">IFERROR(__xludf.DUMMYFUNCTION("""COMPUTED_VALUE"""),"")</f>
        <v/>
      </c>
      <c r="L179" s="2" t="str">
        <f ca="1">IFERROR(__xludf.DUMMYFUNCTION("""COMPUTED_VALUE"""),"")</f>
        <v/>
      </c>
      <c r="M179" s="5" t="str">
        <f ca="1">IFERROR(__xludf.DUMMYFUNCTION("""COMPUTED_VALUE"""),"")</f>
        <v/>
      </c>
      <c r="N179" s="5" t="str">
        <f ca="1">IFERROR(__xludf.DUMMYFUNCTION("""COMPUTED_VALUE"""),"")</f>
        <v/>
      </c>
      <c r="O179" s="2" t="str">
        <f ca="1">IFERROR(__xludf.DUMMYFUNCTION("""COMPUTED_VALUE"""),"")</f>
        <v/>
      </c>
      <c r="P179" s="2" t="str">
        <f ca="1">IFERROR(__xludf.DUMMYFUNCTION("""COMPUTED_VALUE"""),"")</f>
        <v/>
      </c>
      <c r="Q179" s="2" t="str">
        <f ca="1">IFERROR(__xludf.DUMMYFUNCTION("""COMPUTED_VALUE"""),"")</f>
        <v/>
      </c>
      <c r="R179" s="2" t="str">
        <f ca="1">IFERROR(__xludf.DUMMYFUNCTION("""COMPUTED_VALUE"""),"")</f>
        <v/>
      </c>
      <c r="S179" s="2" t="str">
        <f ca="1">IFERROR(__xludf.DUMMYFUNCTION("""COMPUTED_VALUE"""),"")</f>
        <v/>
      </c>
      <c r="T179" s="2" t="str">
        <f ca="1">IFERROR(__xludf.DUMMYFUNCTION("""COMPUTED_VALUE"""),"")</f>
        <v/>
      </c>
      <c r="U179" s="2" t="str">
        <f ca="1">IFERROR(__xludf.DUMMYFUNCTION("""COMPUTED_VALUE"""),"")</f>
        <v/>
      </c>
      <c r="V179" s="2" t="str">
        <f ca="1">IFERROR(__xludf.DUMMYFUNCTION("""COMPUTED_VALUE"""),"")</f>
        <v/>
      </c>
      <c r="W179" s="2" t="str">
        <f ca="1">IFERROR(__xludf.DUMMYFUNCTION("""COMPUTED_VALUE"""),"")</f>
        <v/>
      </c>
      <c r="X179" s="2" t="str">
        <f ca="1">IFERROR(__xludf.DUMMYFUNCTION("""COMPUTED_VALUE"""),"")</f>
        <v/>
      </c>
      <c r="Y179" s="2" t="str">
        <f ca="1">IFERROR(__xludf.DUMMYFUNCTION("""COMPUTED_VALUE"""),"")</f>
        <v/>
      </c>
      <c r="Z179" s="2" t="str">
        <f ca="1">IFERROR(__xludf.DUMMYFUNCTION("""COMPUTED_VALUE"""),"")</f>
        <v/>
      </c>
      <c r="AA179" s="2" t="str">
        <f ca="1">IFERROR(__xludf.DUMMYFUNCTION("""COMPUTED_VALUE"""),"")</f>
        <v/>
      </c>
      <c r="AB179" s="2" t="str">
        <f ca="1">IFERROR(__xludf.DUMMYFUNCTION("""COMPUTED_VALUE"""),"")</f>
        <v/>
      </c>
      <c r="AC179" s="2" t="str">
        <f ca="1">IFERROR(__xludf.DUMMYFUNCTION("""COMPUTED_VALUE"""),"")</f>
        <v/>
      </c>
      <c r="AD179" s="2" t="str">
        <f ca="1">IFERROR(__xludf.DUMMYFUNCTION("""COMPUTED_VALUE"""),"")</f>
        <v/>
      </c>
      <c r="AE179" s="2" t="str">
        <f ca="1">IFERROR(__xludf.DUMMYFUNCTION("""COMPUTED_VALUE"""),"")</f>
        <v/>
      </c>
      <c r="AF179" s="2" t="str">
        <f ca="1">IFERROR(__xludf.DUMMYFUNCTION("""COMPUTED_VALUE"""),"")</f>
        <v/>
      </c>
      <c r="AG179" s="2" t="str">
        <f ca="1">IFERROR(__xludf.DUMMYFUNCTION("""COMPUTED_VALUE"""),"")</f>
        <v/>
      </c>
      <c r="AH179" s="2" t="str">
        <f ca="1">IFERROR(__xludf.DUMMYFUNCTION("""COMPUTED_VALUE"""),"")</f>
        <v/>
      </c>
      <c r="AI179" s="2" t="str">
        <f ca="1">IFERROR(__xludf.DUMMYFUNCTION("""COMPUTED_VALUE"""),"")</f>
        <v/>
      </c>
      <c r="AJ179" s="2" t="str">
        <f ca="1">IFERROR(__xludf.DUMMYFUNCTION("""COMPUTED_VALUE"""),"")</f>
        <v/>
      </c>
      <c r="AK179" s="2" t="str">
        <f ca="1">IFERROR(__xludf.DUMMYFUNCTION("""COMPUTED_VALUE"""),"")</f>
        <v/>
      </c>
      <c r="AL179" s="2" t="str">
        <f ca="1">IFERROR(__xludf.DUMMYFUNCTION("""COMPUTED_VALUE"""),"")</f>
        <v/>
      </c>
      <c r="AM179" s="2" t="str">
        <f ca="1">IFERROR(__xludf.DUMMYFUNCTION("""COMPUTED_VALUE"""),"")</f>
        <v/>
      </c>
      <c r="AN179" s="2" t="str">
        <f ca="1">IFERROR(__xludf.DUMMYFUNCTION("""COMPUTED_VALUE"""),"")</f>
        <v/>
      </c>
      <c r="AO179" s="2" t="str">
        <f ca="1">IFERROR(__xludf.DUMMYFUNCTION("""COMPUTED_VALUE"""),"")</f>
        <v/>
      </c>
      <c r="AP179" s="2" t="str">
        <f ca="1">IFERROR(__xludf.DUMMYFUNCTION("""COMPUTED_VALUE"""),"")</f>
        <v/>
      </c>
      <c r="AQ179" s="2" t="str">
        <f ca="1">IFERROR(__xludf.DUMMYFUNCTION("""COMPUTED_VALUE"""),"")</f>
        <v/>
      </c>
      <c r="AR179" s="2" t="str">
        <f ca="1">IFERROR(__xludf.DUMMYFUNCTION("""COMPUTED_VALUE"""),"")</f>
        <v/>
      </c>
      <c r="AS179" s="2" t="str">
        <f ca="1">IFERROR(__xludf.DUMMYFUNCTION("""COMPUTED_VALUE"""),"")</f>
        <v/>
      </c>
      <c r="AT179" s="2" t="str">
        <f ca="1">IFERROR(__xludf.DUMMYFUNCTION("""COMPUTED_VALUE"""),"")</f>
        <v/>
      </c>
      <c r="AU179" s="2" t="str">
        <f ca="1">IFERROR(__xludf.DUMMYFUNCTION("""COMPUTED_VALUE"""),"")</f>
        <v/>
      </c>
      <c r="AV179" s="2" t="str">
        <f ca="1">IFERROR(__xludf.DUMMYFUNCTION("""COMPUTED_VALUE"""),"")</f>
        <v/>
      </c>
      <c r="AW179" s="2" t="str">
        <f ca="1">IFERROR(__xludf.DUMMYFUNCTION("""COMPUTED_VALUE"""),"")</f>
        <v/>
      </c>
      <c r="AX179" s="2" t="str">
        <f ca="1">IFERROR(__xludf.DUMMYFUNCTION("""COMPUTED_VALUE"""),"")</f>
        <v/>
      </c>
      <c r="AY179" s="2" t="str">
        <f ca="1">IFERROR(__xludf.DUMMYFUNCTION("""COMPUTED_VALUE"""),"")</f>
        <v/>
      </c>
      <c r="AZ179" s="2" t="str">
        <f ca="1">IFERROR(__xludf.DUMMYFUNCTION("""COMPUTED_VALUE"""),"")</f>
        <v/>
      </c>
      <c r="BA179" s="2" t="str">
        <f ca="1">IFERROR(__xludf.DUMMYFUNCTION("""COMPUTED_VALUE"""),"")</f>
        <v/>
      </c>
      <c r="BB179" s="2" t="str">
        <f ca="1">IFERROR(__xludf.DUMMYFUNCTION("""COMPUTED_VALUE"""),"")</f>
        <v/>
      </c>
      <c r="BC179" s="2" t="str">
        <f ca="1">IFERROR(__xludf.DUMMYFUNCTION("""COMPUTED_VALUE"""),"")</f>
        <v/>
      </c>
      <c r="BD179" s="2" t="str">
        <f ca="1">IFERROR(__xludf.DUMMYFUNCTION("""COMPUTED_VALUE"""),"")</f>
        <v/>
      </c>
      <c r="BE179" s="2" t="str">
        <f ca="1">IFERROR(__xludf.DUMMYFUNCTION("""COMPUTED_VALUE"""),"")</f>
        <v/>
      </c>
      <c r="BF179" t="str">
        <f ca="1">IFERROR(__xludf.DUMMYFUNCTION("""COMPUTED_VALUE"""),"")</f>
        <v/>
      </c>
      <c r="BG179" t="str">
        <f ca="1">IFERROR(__xludf.DUMMYFUNCTION("""COMPUTED_VALUE"""),"")</f>
        <v/>
      </c>
      <c r="BH179" s="2">
        <f ca="1">IFERROR(__xludf.DUMMYFUNCTION("""COMPUTED_VALUE"""),-37.3254509)</f>
        <v>-37.3254509</v>
      </c>
      <c r="BI179" s="12">
        <f ca="1">IFERROR(__xludf.DUMMYFUNCTION("""COMPUTED_VALUE"""),175.4499512)</f>
        <v>175.44995119999999</v>
      </c>
      <c r="BJ179" s="9">
        <f ca="1">IFERROR(__xludf.DUMMYFUNCTION("""COMPUTED_VALUE"""),43382)</f>
        <v>43382</v>
      </c>
      <c r="BK179" s="4">
        <f ca="1">IFERROR(__xludf.DUMMYFUNCTION("""COMPUTED_VALUE"""),0.457777777777664)</f>
        <v>0.45777777777766399</v>
      </c>
    </row>
    <row r="180" spans="1:63" ht="12.5" x14ac:dyDescent="0.25">
      <c r="A180" s="7" t="str">
        <f ca="1">IFERROR(__xludf.DUMMYFUNCTION("""COMPUTED_VALUE"""),"")</f>
        <v/>
      </c>
      <c r="B180" s="8" t="str">
        <f ca="1">IFERROR(__xludf.DUMMYFUNCTION("""COMPUTED_VALUE"""),"Waikato")</f>
        <v>Waikato</v>
      </c>
      <c r="C180" s="2">
        <f ca="1">IFERROR(__xludf.DUMMYFUNCTION("""COMPUTED_VALUE"""),23)</f>
        <v>23</v>
      </c>
      <c r="D180" s="9" t="str">
        <f ca="1">IFERROR(__xludf.DUMMYFUNCTION("""COMPUTED_VALUE"""),"")</f>
        <v/>
      </c>
      <c r="E180" s="4" t="str">
        <f ca="1">IFERROR(__xludf.DUMMYFUNCTION("""COMPUTED_VALUE"""),"")</f>
        <v/>
      </c>
      <c r="F180" s="2" t="str">
        <f ca="1">IFERROR(__xludf.DUMMYFUNCTION("""COMPUTED_VALUE"""),"")</f>
        <v/>
      </c>
      <c r="G180" s="2" t="str">
        <f ca="1">IFERROR(__xludf.DUMMYFUNCTION("""COMPUTED_VALUE"""),"GPS: I converted data downloaded from ARGOS using Pinpoint software")</f>
        <v>GPS: I converted data downloaded from ARGOS using Pinpoint software</v>
      </c>
      <c r="H180" s="2" t="str">
        <f ca="1">IFERROR(__xludf.DUMMYFUNCTION("""COMPUTED_VALUE"""),"3D")</f>
        <v>3D</v>
      </c>
      <c r="I180" s="2" t="str">
        <f ca="1">IFERROR(__xludf.DUMMYFUNCTION("""COMPUTED_VALUE"""),"")</f>
        <v/>
      </c>
      <c r="J180" s="2" t="str">
        <f ca="1">IFERROR(__xludf.DUMMYFUNCTION("""COMPUTED_VALUE"""),"")</f>
        <v/>
      </c>
      <c r="K180" s="2" t="str">
        <f ca="1">IFERROR(__xludf.DUMMYFUNCTION("""COMPUTED_VALUE"""),"")</f>
        <v/>
      </c>
      <c r="L180" s="2" t="str">
        <f ca="1">IFERROR(__xludf.DUMMYFUNCTION("""COMPUTED_VALUE"""),"")</f>
        <v/>
      </c>
      <c r="M180" s="5" t="str">
        <f ca="1">IFERROR(__xludf.DUMMYFUNCTION("""COMPUTED_VALUE"""),"")</f>
        <v/>
      </c>
      <c r="N180" s="5" t="str">
        <f ca="1">IFERROR(__xludf.DUMMYFUNCTION("""COMPUTED_VALUE"""),"")</f>
        <v/>
      </c>
      <c r="O180" s="2" t="str">
        <f ca="1">IFERROR(__xludf.DUMMYFUNCTION("""COMPUTED_VALUE"""),"")</f>
        <v/>
      </c>
      <c r="P180" s="2" t="str">
        <f ca="1">IFERROR(__xludf.DUMMYFUNCTION("""COMPUTED_VALUE"""),"")</f>
        <v/>
      </c>
      <c r="Q180" s="2" t="str">
        <f ca="1">IFERROR(__xludf.DUMMYFUNCTION("""COMPUTED_VALUE"""),"")</f>
        <v/>
      </c>
      <c r="R180" s="2" t="str">
        <f ca="1">IFERROR(__xludf.DUMMYFUNCTION("""COMPUTED_VALUE"""),"")</f>
        <v/>
      </c>
      <c r="S180" s="2" t="str">
        <f ca="1">IFERROR(__xludf.DUMMYFUNCTION("""COMPUTED_VALUE"""),"")</f>
        <v/>
      </c>
      <c r="T180" s="2" t="str">
        <f ca="1">IFERROR(__xludf.DUMMYFUNCTION("""COMPUTED_VALUE"""),"")</f>
        <v/>
      </c>
      <c r="U180" s="2" t="str">
        <f ca="1">IFERROR(__xludf.DUMMYFUNCTION("""COMPUTED_VALUE"""),"")</f>
        <v/>
      </c>
      <c r="V180" s="2" t="str">
        <f ca="1">IFERROR(__xludf.DUMMYFUNCTION("""COMPUTED_VALUE"""),"")</f>
        <v/>
      </c>
      <c r="W180" s="2" t="str">
        <f ca="1">IFERROR(__xludf.DUMMYFUNCTION("""COMPUTED_VALUE"""),"")</f>
        <v/>
      </c>
      <c r="X180" s="2" t="str">
        <f ca="1">IFERROR(__xludf.DUMMYFUNCTION("""COMPUTED_VALUE"""),"")</f>
        <v/>
      </c>
      <c r="Y180" s="2" t="str">
        <f ca="1">IFERROR(__xludf.DUMMYFUNCTION("""COMPUTED_VALUE"""),"")</f>
        <v/>
      </c>
      <c r="Z180" s="2" t="str">
        <f ca="1">IFERROR(__xludf.DUMMYFUNCTION("""COMPUTED_VALUE"""),"")</f>
        <v/>
      </c>
      <c r="AA180" s="2" t="str">
        <f ca="1">IFERROR(__xludf.DUMMYFUNCTION("""COMPUTED_VALUE"""),"")</f>
        <v/>
      </c>
      <c r="AB180" s="2" t="str">
        <f ca="1">IFERROR(__xludf.DUMMYFUNCTION("""COMPUTED_VALUE"""),"")</f>
        <v/>
      </c>
      <c r="AC180" s="2" t="str">
        <f ca="1">IFERROR(__xludf.DUMMYFUNCTION("""COMPUTED_VALUE"""),"")</f>
        <v/>
      </c>
      <c r="AD180" s="2" t="str">
        <f ca="1">IFERROR(__xludf.DUMMYFUNCTION("""COMPUTED_VALUE"""),"")</f>
        <v/>
      </c>
      <c r="AE180" s="2" t="str">
        <f ca="1">IFERROR(__xludf.DUMMYFUNCTION("""COMPUTED_VALUE"""),"")</f>
        <v/>
      </c>
      <c r="AF180" s="2" t="str">
        <f ca="1">IFERROR(__xludf.DUMMYFUNCTION("""COMPUTED_VALUE"""),"")</f>
        <v/>
      </c>
      <c r="AG180" s="2" t="str">
        <f ca="1">IFERROR(__xludf.DUMMYFUNCTION("""COMPUTED_VALUE"""),"")</f>
        <v/>
      </c>
      <c r="AH180" s="2" t="str">
        <f ca="1">IFERROR(__xludf.DUMMYFUNCTION("""COMPUTED_VALUE"""),"")</f>
        <v/>
      </c>
      <c r="AI180" s="2" t="str">
        <f ca="1">IFERROR(__xludf.DUMMYFUNCTION("""COMPUTED_VALUE"""),"")</f>
        <v/>
      </c>
      <c r="AJ180" s="2" t="str">
        <f ca="1">IFERROR(__xludf.DUMMYFUNCTION("""COMPUTED_VALUE"""),"")</f>
        <v/>
      </c>
      <c r="AK180" s="2" t="str">
        <f ca="1">IFERROR(__xludf.DUMMYFUNCTION("""COMPUTED_VALUE"""),"")</f>
        <v/>
      </c>
      <c r="AL180" s="2" t="str">
        <f ca="1">IFERROR(__xludf.DUMMYFUNCTION("""COMPUTED_VALUE"""),"")</f>
        <v/>
      </c>
      <c r="AM180" s="2" t="str">
        <f ca="1">IFERROR(__xludf.DUMMYFUNCTION("""COMPUTED_VALUE"""),"")</f>
        <v/>
      </c>
      <c r="AN180" s="2" t="str">
        <f ca="1">IFERROR(__xludf.DUMMYFUNCTION("""COMPUTED_VALUE"""),"")</f>
        <v/>
      </c>
      <c r="AO180" s="2" t="str">
        <f ca="1">IFERROR(__xludf.DUMMYFUNCTION("""COMPUTED_VALUE"""),"")</f>
        <v/>
      </c>
      <c r="AP180" s="2" t="str">
        <f ca="1">IFERROR(__xludf.DUMMYFUNCTION("""COMPUTED_VALUE"""),"")</f>
        <v/>
      </c>
      <c r="AQ180" s="2" t="str">
        <f ca="1">IFERROR(__xludf.DUMMYFUNCTION("""COMPUTED_VALUE"""),"")</f>
        <v/>
      </c>
      <c r="AR180" s="2" t="str">
        <f ca="1">IFERROR(__xludf.DUMMYFUNCTION("""COMPUTED_VALUE"""),"")</f>
        <v/>
      </c>
      <c r="AS180" s="2" t="str">
        <f ca="1">IFERROR(__xludf.DUMMYFUNCTION("""COMPUTED_VALUE"""),"")</f>
        <v/>
      </c>
      <c r="AT180" s="2" t="str">
        <f ca="1">IFERROR(__xludf.DUMMYFUNCTION("""COMPUTED_VALUE"""),"")</f>
        <v/>
      </c>
      <c r="AU180" s="2" t="str">
        <f ca="1">IFERROR(__xludf.DUMMYFUNCTION("""COMPUTED_VALUE"""),"")</f>
        <v/>
      </c>
      <c r="AV180" s="2" t="str">
        <f ca="1">IFERROR(__xludf.DUMMYFUNCTION("""COMPUTED_VALUE"""),"")</f>
        <v/>
      </c>
      <c r="AW180" s="2" t="str">
        <f ca="1">IFERROR(__xludf.DUMMYFUNCTION("""COMPUTED_VALUE"""),"")</f>
        <v/>
      </c>
      <c r="AX180" s="2" t="str">
        <f ca="1">IFERROR(__xludf.DUMMYFUNCTION("""COMPUTED_VALUE"""),"")</f>
        <v/>
      </c>
      <c r="AY180" s="2" t="str">
        <f ca="1">IFERROR(__xludf.DUMMYFUNCTION("""COMPUTED_VALUE"""),"")</f>
        <v/>
      </c>
      <c r="AZ180" s="2" t="str">
        <f ca="1">IFERROR(__xludf.DUMMYFUNCTION("""COMPUTED_VALUE"""),"")</f>
        <v/>
      </c>
      <c r="BA180" s="2" t="str">
        <f ca="1">IFERROR(__xludf.DUMMYFUNCTION("""COMPUTED_VALUE"""),"")</f>
        <v/>
      </c>
      <c r="BB180" s="2" t="str">
        <f ca="1">IFERROR(__xludf.DUMMYFUNCTION("""COMPUTED_VALUE"""),"")</f>
        <v/>
      </c>
      <c r="BC180" s="2" t="str">
        <f ca="1">IFERROR(__xludf.DUMMYFUNCTION("""COMPUTED_VALUE"""),"")</f>
        <v/>
      </c>
      <c r="BD180" s="2" t="str">
        <f ca="1">IFERROR(__xludf.DUMMYFUNCTION("""COMPUTED_VALUE"""),"")</f>
        <v/>
      </c>
      <c r="BE180" s="2" t="str">
        <f ca="1">IFERROR(__xludf.DUMMYFUNCTION("""COMPUTED_VALUE"""),"")</f>
        <v/>
      </c>
      <c r="BF180" t="str">
        <f ca="1">IFERROR(__xludf.DUMMYFUNCTION("""COMPUTED_VALUE"""),"")</f>
        <v/>
      </c>
      <c r="BG180" t="str">
        <f ca="1">IFERROR(__xludf.DUMMYFUNCTION("""COMPUTED_VALUE"""),"")</f>
        <v/>
      </c>
      <c r="BH180" s="2">
        <f ca="1">IFERROR(__xludf.DUMMYFUNCTION("""COMPUTED_VALUE"""),-37.3218193)</f>
        <v>-37.321819300000001</v>
      </c>
      <c r="BI180" s="13">
        <f ca="1">IFERROR(__xludf.DUMMYFUNCTION("""COMPUTED_VALUE"""),175.4451904)</f>
        <v>175.4451904</v>
      </c>
      <c r="BJ180" s="9">
        <f ca="1">IFERROR(__xludf.DUMMYFUNCTION("""COMPUTED_VALUE"""),43382)</f>
        <v>43382</v>
      </c>
      <c r="BK180" s="4">
        <f ca="1">IFERROR(__xludf.DUMMYFUNCTION("""COMPUTED_VALUE"""),0.958518518516939)</f>
        <v>0.95851851851693903</v>
      </c>
    </row>
    <row r="181" spans="1:63" ht="12.5" x14ac:dyDescent="0.25">
      <c r="A181" s="7" t="str">
        <f ca="1">IFERROR(__xludf.DUMMYFUNCTION("""COMPUTED_VALUE"""),"")</f>
        <v/>
      </c>
      <c r="B181" s="8" t="str">
        <f ca="1">IFERROR(__xludf.DUMMYFUNCTION("""COMPUTED_VALUE"""),"Waikato")</f>
        <v>Waikato</v>
      </c>
      <c r="C181" s="2">
        <f ca="1">IFERROR(__xludf.DUMMYFUNCTION("""COMPUTED_VALUE"""),23)</f>
        <v>23</v>
      </c>
      <c r="D181" s="9" t="str">
        <f ca="1">IFERROR(__xludf.DUMMYFUNCTION("""COMPUTED_VALUE"""),"")</f>
        <v/>
      </c>
      <c r="E181" s="4" t="str">
        <f ca="1">IFERROR(__xludf.DUMMYFUNCTION("""COMPUTED_VALUE"""),"")</f>
        <v/>
      </c>
      <c r="F181" s="2" t="str">
        <f ca="1">IFERROR(__xludf.DUMMYFUNCTION("""COMPUTED_VALUE"""),"")</f>
        <v/>
      </c>
      <c r="G181" s="2" t="str">
        <f ca="1">IFERROR(__xludf.DUMMYFUNCTION("""COMPUTED_VALUE"""),"GPS: I converted data downloaded from ARGOS using Pinpoint software")</f>
        <v>GPS: I converted data downloaded from ARGOS using Pinpoint software</v>
      </c>
      <c r="H181" s="2" t="str">
        <f ca="1">IFERROR(__xludf.DUMMYFUNCTION("""COMPUTED_VALUE"""),"3D")</f>
        <v>3D</v>
      </c>
      <c r="I181" s="2" t="str">
        <f ca="1">IFERROR(__xludf.DUMMYFUNCTION("""COMPUTED_VALUE"""),"")</f>
        <v/>
      </c>
      <c r="J181" s="2" t="str">
        <f ca="1">IFERROR(__xludf.DUMMYFUNCTION("""COMPUTED_VALUE"""),"")</f>
        <v/>
      </c>
      <c r="K181" s="2" t="str">
        <f ca="1">IFERROR(__xludf.DUMMYFUNCTION("""COMPUTED_VALUE"""),"")</f>
        <v/>
      </c>
      <c r="L181" s="2" t="str">
        <f ca="1">IFERROR(__xludf.DUMMYFUNCTION("""COMPUTED_VALUE"""),"")</f>
        <v/>
      </c>
      <c r="M181" s="5" t="str">
        <f ca="1">IFERROR(__xludf.DUMMYFUNCTION("""COMPUTED_VALUE"""),"")</f>
        <v/>
      </c>
      <c r="N181" s="5" t="str">
        <f ca="1">IFERROR(__xludf.DUMMYFUNCTION("""COMPUTED_VALUE"""),"")</f>
        <v/>
      </c>
      <c r="O181" s="2" t="str">
        <f ca="1">IFERROR(__xludf.DUMMYFUNCTION("""COMPUTED_VALUE"""),"")</f>
        <v/>
      </c>
      <c r="P181" s="2" t="str">
        <f ca="1">IFERROR(__xludf.DUMMYFUNCTION("""COMPUTED_VALUE"""),"")</f>
        <v/>
      </c>
      <c r="Q181" s="2" t="str">
        <f ca="1">IFERROR(__xludf.DUMMYFUNCTION("""COMPUTED_VALUE"""),"")</f>
        <v/>
      </c>
      <c r="R181" s="2" t="str">
        <f ca="1">IFERROR(__xludf.DUMMYFUNCTION("""COMPUTED_VALUE"""),"")</f>
        <v/>
      </c>
      <c r="S181" s="2" t="str">
        <f ca="1">IFERROR(__xludf.DUMMYFUNCTION("""COMPUTED_VALUE"""),"")</f>
        <v/>
      </c>
      <c r="T181" s="2" t="str">
        <f ca="1">IFERROR(__xludf.DUMMYFUNCTION("""COMPUTED_VALUE"""),"")</f>
        <v/>
      </c>
      <c r="U181" s="2" t="str">
        <f ca="1">IFERROR(__xludf.DUMMYFUNCTION("""COMPUTED_VALUE"""),"")</f>
        <v/>
      </c>
      <c r="V181" s="2" t="str">
        <f ca="1">IFERROR(__xludf.DUMMYFUNCTION("""COMPUTED_VALUE"""),"")</f>
        <v/>
      </c>
      <c r="W181" s="2" t="str">
        <f ca="1">IFERROR(__xludf.DUMMYFUNCTION("""COMPUTED_VALUE"""),"")</f>
        <v/>
      </c>
      <c r="X181" s="2" t="str">
        <f ca="1">IFERROR(__xludf.DUMMYFUNCTION("""COMPUTED_VALUE"""),"")</f>
        <v/>
      </c>
      <c r="Y181" s="2" t="str">
        <f ca="1">IFERROR(__xludf.DUMMYFUNCTION("""COMPUTED_VALUE"""),"")</f>
        <v/>
      </c>
      <c r="Z181" s="2" t="str">
        <f ca="1">IFERROR(__xludf.DUMMYFUNCTION("""COMPUTED_VALUE"""),"")</f>
        <v/>
      </c>
      <c r="AA181" s="2" t="str">
        <f ca="1">IFERROR(__xludf.DUMMYFUNCTION("""COMPUTED_VALUE"""),"")</f>
        <v/>
      </c>
      <c r="AB181" s="2" t="str">
        <f ca="1">IFERROR(__xludf.DUMMYFUNCTION("""COMPUTED_VALUE"""),"")</f>
        <v/>
      </c>
      <c r="AC181" s="2" t="str">
        <f ca="1">IFERROR(__xludf.DUMMYFUNCTION("""COMPUTED_VALUE"""),"")</f>
        <v/>
      </c>
      <c r="AD181" s="2" t="str">
        <f ca="1">IFERROR(__xludf.DUMMYFUNCTION("""COMPUTED_VALUE"""),"")</f>
        <v/>
      </c>
      <c r="AE181" s="2" t="str">
        <f ca="1">IFERROR(__xludf.DUMMYFUNCTION("""COMPUTED_VALUE"""),"")</f>
        <v/>
      </c>
      <c r="AF181" s="2" t="str">
        <f ca="1">IFERROR(__xludf.DUMMYFUNCTION("""COMPUTED_VALUE"""),"")</f>
        <v/>
      </c>
      <c r="AG181" s="2" t="str">
        <f ca="1">IFERROR(__xludf.DUMMYFUNCTION("""COMPUTED_VALUE"""),"")</f>
        <v/>
      </c>
      <c r="AH181" s="2" t="str">
        <f ca="1">IFERROR(__xludf.DUMMYFUNCTION("""COMPUTED_VALUE"""),"")</f>
        <v/>
      </c>
      <c r="AI181" s="2" t="str">
        <f ca="1">IFERROR(__xludf.DUMMYFUNCTION("""COMPUTED_VALUE"""),"")</f>
        <v/>
      </c>
      <c r="AJ181" s="2" t="str">
        <f ca="1">IFERROR(__xludf.DUMMYFUNCTION("""COMPUTED_VALUE"""),"")</f>
        <v/>
      </c>
      <c r="AK181" s="2" t="str">
        <f ca="1">IFERROR(__xludf.DUMMYFUNCTION("""COMPUTED_VALUE"""),"")</f>
        <v/>
      </c>
      <c r="AL181" s="2" t="str">
        <f ca="1">IFERROR(__xludf.DUMMYFUNCTION("""COMPUTED_VALUE"""),"")</f>
        <v/>
      </c>
      <c r="AM181" s="2" t="str">
        <f ca="1">IFERROR(__xludf.DUMMYFUNCTION("""COMPUTED_VALUE"""),"")</f>
        <v/>
      </c>
      <c r="AN181" s="2" t="str">
        <f ca="1">IFERROR(__xludf.DUMMYFUNCTION("""COMPUTED_VALUE"""),"")</f>
        <v/>
      </c>
      <c r="AO181" s="2" t="str">
        <f ca="1">IFERROR(__xludf.DUMMYFUNCTION("""COMPUTED_VALUE"""),"")</f>
        <v/>
      </c>
      <c r="AP181" s="2" t="str">
        <f ca="1">IFERROR(__xludf.DUMMYFUNCTION("""COMPUTED_VALUE"""),"")</f>
        <v/>
      </c>
      <c r="AQ181" s="2" t="str">
        <f ca="1">IFERROR(__xludf.DUMMYFUNCTION("""COMPUTED_VALUE"""),"")</f>
        <v/>
      </c>
      <c r="AR181" s="2" t="str">
        <f ca="1">IFERROR(__xludf.DUMMYFUNCTION("""COMPUTED_VALUE"""),"")</f>
        <v/>
      </c>
      <c r="AS181" s="2" t="str">
        <f ca="1">IFERROR(__xludf.DUMMYFUNCTION("""COMPUTED_VALUE"""),"")</f>
        <v/>
      </c>
      <c r="AT181" s="2" t="str">
        <f ca="1">IFERROR(__xludf.DUMMYFUNCTION("""COMPUTED_VALUE"""),"")</f>
        <v/>
      </c>
      <c r="AU181" s="2" t="str">
        <f ca="1">IFERROR(__xludf.DUMMYFUNCTION("""COMPUTED_VALUE"""),"")</f>
        <v/>
      </c>
      <c r="AV181" s="2" t="str">
        <f ca="1">IFERROR(__xludf.DUMMYFUNCTION("""COMPUTED_VALUE"""),"")</f>
        <v/>
      </c>
      <c r="AW181" s="2" t="str">
        <f ca="1">IFERROR(__xludf.DUMMYFUNCTION("""COMPUTED_VALUE"""),"")</f>
        <v/>
      </c>
      <c r="AX181" s="2" t="str">
        <f ca="1">IFERROR(__xludf.DUMMYFUNCTION("""COMPUTED_VALUE"""),"")</f>
        <v/>
      </c>
      <c r="AY181" s="2" t="str">
        <f ca="1">IFERROR(__xludf.DUMMYFUNCTION("""COMPUTED_VALUE"""),"")</f>
        <v/>
      </c>
      <c r="AZ181" s="2" t="str">
        <f ca="1">IFERROR(__xludf.DUMMYFUNCTION("""COMPUTED_VALUE"""),"")</f>
        <v/>
      </c>
      <c r="BA181" s="2" t="str">
        <f ca="1">IFERROR(__xludf.DUMMYFUNCTION("""COMPUTED_VALUE"""),"")</f>
        <v/>
      </c>
      <c r="BB181" s="2" t="str">
        <f ca="1">IFERROR(__xludf.DUMMYFUNCTION("""COMPUTED_VALUE"""),"")</f>
        <v/>
      </c>
      <c r="BC181" s="2" t="str">
        <f ca="1">IFERROR(__xludf.DUMMYFUNCTION("""COMPUTED_VALUE"""),"")</f>
        <v/>
      </c>
      <c r="BD181" s="2" t="str">
        <f ca="1">IFERROR(__xludf.DUMMYFUNCTION("""COMPUTED_VALUE"""),"")</f>
        <v/>
      </c>
      <c r="BE181" s="2" t="str">
        <f ca="1">IFERROR(__xludf.DUMMYFUNCTION("""COMPUTED_VALUE"""),"")</f>
        <v/>
      </c>
      <c r="BF181" t="str">
        <f ca="1">IFERROR(__xludf.DUMMYFUNCTION("""COMPUTED_VALUE"""),"")</f>
        <v/>
      </c>
      <c r="BG181" t="str">
        <f ca="1">IFERROR(__xludf.DUMMYFUNCTION("""COMPUTED_VALUE"""),"")</f>
        <v/>
      </c>
      <c r="BH181" s="2">
        <f ca="1">IFERROR(__xludf.DUMMYFUNCTION("""COMPUTED_VALUE"""),-37.3294983)</f>
        <v>-37.329498299999997</v>
      </c>
      <c r="BI181" s="12">
        <f ca="1">IFERROR(__xludf.DUMMYFUNCTION("""COMPUTED_VALUE"""),175.4515076)</f>
        <v>175.45150760000001</v>
      </c>
      <c r="BJ181" s="9">
        <f ca="1">IFERROR(__xludf.DUMMYFUNCTION("""COMPUTED_VALUE"""),43384)</f>
        <v>43384</v>
      </c>
      <c r="BK181" s="4">
        <f ca="1">IFERROR(__xludf.DUMMYFUNCTION("""COMPUTED_VALUE"""),0.457777777777664)</f>
        <v>0.45777777777766399</v>
      </c>
    </row>
    <row r="182" spans="1:63" ht="12.5" x14ac:dyDescent="0.25">
      <c r="A182" s="7" t="str">
        <f ca="1">IFERROR(__xludf.DUMMYFUNCTION("""COMPUTED_VALUE"""),"")</f>
        <v/>
      </c>
      <c r="B182" s="8" t="str">
        <f ca="1">IFERROR(__xludf.DUMMYFUNCTION("""COMPUTED_VALUE"""),"Waikato")</f>
        <v>Waikato</v>
      </c>
      <c r="C182" s="2">
        <f ca="1">IFERROR(__xludf.DUMMYFUNCTION("""COMPUTED_VALUE"""),23)</f>
        <v>23</v>
      </c>
      <c r="D182" s="9" t="str">
        <f ca="1">IFERROR(__xludf.DUMMYFUNCTION("""COMPUTED_VALUE"""),"")</f>
        <v/>
      </c>
      <c r="E182" s="4" t="str">
        <f ca="1">IFERROR(__xludf.DUMMYFUNCTION("""COMPUTED_VALUE"""),"")</f>
        <v/>
      </c>
      <c r="F182" s="2" t="str">
        <f ca="1">IFERROR(__xludf.DUMMYFUNCTION("""COMPUTED_VALUE"""),"")</f>
        <v/>
      </c>
      <c r="G182" s="2" t="str">
        <f ca="1">IFERROR(__xludf.DUMMYFUNCTION("""COMPUTED_VALUE"""),"GPS: I converted data downloaded from ARGOS using Pinpoint software")</f>
        <v>GPS: I converted data downloaded from ARGOS using Pinpoint software</v>
      </c>
      <c r="H182" s="2" t="str">
        <f ca="1">IFERROR(__xludf.DUMMYFUNCTION("""COMPUTED_VALUE"""),"3D")</f>
        <v>3D</v>
      </c>
      <c r="I182" s="2" t="str">
        <f ca="1">IFERROR(__xludf.DUMMYFUNCTION("""COMPUTED_VALUE"""),"")</f>
        <v/>
      </c>
      <c r="J182" s="2" t="str">
        <f ca="1">IFERROR(__xludf.DUMMYFUNCTION("""COMPUTED_VALUE"""),"")</f>
        <v/>
      </c>
      <c r="K182" s="2" t="str">
        <f ca="1">IFERROR(__xludf.DUMMYFUNCTION("""COMPUTED_VALUE"""),"")</f>
        <v/>
      </c>
      <c r="L182" s="2" t="str">
        <f ca="1">IFERROR(__xludf.DUMMYFUNCTION("""COMPUTED_VALUE"""),"")</f>
        <v/>
      </c>
      <c r="M182" s="5" t="str">
        <f ca="1">IFERROR(__xludf.DUMMYFUNCTION("""COMPUTED_VALUE"""),"")</f>
        <v/>
      </c>
      <c r="N182" s="5" t="str">
        <f ca="1">IFERROR(__xludf.DUMMYFUNCTION("""COMPUTED_VALUE"""),"")</f>
        <v/>
      </c>
      <c r="O182" s="2" t="str">
        <f ca="1">IFERROR(__xludf.DUMMYFUNCTION("""COMPUTED_VALUE"""),"")</f>
        <v/>
      </c>
      <c r="P182" s="2" t="str">
        <f ca="1">IFERROR(__xludf.DUMMYFUNCTION("""COMPUTED_VALUE"""),"")</f>
        <v/>
      </c>
      <c r="Q182" s="2" t="str">
        <f ca="1">IFERROR(__xludf.DUMMYFUNCTION("""COMPUTED_VALUE"""),"")</f>
        <v/>
      </c>
      <c r="R182" s="2" t="str">
        <f ca="1">IFERROR(__xludf.DUMMYFUNCTION("""COMPUTED_VALUE"""),"")</f>
        <v/>
      </c>
      <c r="S182" s="2" t="str">
        <f ca="1">IFERROR(__xludf.DUMMYFUNCTION("""COMPUTED_VALUE"""),"")</f>
        <v/>
      </c>
      <c r="T182" s="2" t="str">
        <f ca="1">IFERROR(__xludf.DUMMYFUNCTION("""COMPUTED_VALUE"""),"")</f>
        <v/>
      </c>
      <c r="U182" s="2" t="str">
        <f ca="1">IFERROR(__xludf.DUMMYFUNCTION("""COMPUTED_VALUE"""),"")</f>
        <v/>
      </c>
      <c r="V182" s="2" t="str">
        <f ca="1">IFERROR(__xludf.DUMMYFUNCTION("""COMPUTED_VALUE"""),"")</f>
        <v/>
      </c>
      <c r="W182" s="2" t="str">
        <f ca="1">IFERROR(__xludf.DUMMYFUNCTION("""COMPUTED_VALUE"""),"")</f>
        <v/>
      </c>
      <c r="X182" s="2" t="str">
        <f ca="1">IFERROR(__xludf.DUMMYFUNCTION("""COMPUTED_VALUE"""),"")</f>
        <v/>
      </c>
      <c r="Y182" s="2" t="str">
        <f ca="1">IFERROR(__xludf.DUMMYFUNCTION("""COMPUTED_VALUE"""),"")</f>
        <v/>
      </c>
      <c r="Z182" s="2" t="str">
        <f ca="1">IFERROR(__xludf.DUMMYFUNCTION("""COMPUTED_VALUE"""),"")</f>
        <v/>
      </c>
      <c r="AA182" s="2" t="str">
        <f ca="1">IFERROR(__xludf.DUMMYFUNCTION("""COMPUTED_VALUE"""),"")</f>
        <v/>
      </c>
      <c r="AB182" s="2" t="str">
        <f ca="1">IFERROR(__xludf.DUMMYFUNCTION("""COMPUTED_VALUE"""),"")</f>
        <v/>
      </c>
      <c r="AC182" s="2" t="str">
        <f ca="1">IFERROR(__xludf.DUMMYFUNCTION("""COMPUTED_VALUE"""),"")</f>
        <v/>
      </c>
      <c r="AD182" s="2" t="str">
        <f ca="1">IFERROR(__xludf.DUMMYFUNCTION("""COMPUTED_VALUE"""),"")</f>
        <v/>
      </c>
      <c r="AE182" s="2" t="str">
        <f ca="1">IFERROR(__xludf.DUMMYFUNCTION("""COMPUTED_VALUE"""),"")</f>
        <v/>
      </c>
      <c r="AF182" s="2" t="str">
        <f ca="1">IFERROR(__xludf.DUMMYFUNCTION("""COMPUTED_VALUE"""),"")</f>
        <v/>
      </c>
      <c r="AG182" s="2" t="str">
        <f ca="1">IFERROR(__xludf.DUMMYFUNCTION("""COMPUTED_VALUE"""),"")</f>
        <v/>
      </c>
      <c r="AH182" s="2" t="str">
        <f ca="1">IFERROR(__xludf.DUMMYFUNCTION("""COMPUTED_VALUE"""),"")</f>
        <v/>
      </c>
      <c r="AI182" s="2" t="str">
        <f ca="1">IFERROR(__xludf.DUMMYFUNCTION("""COMPUTED_VALUE"""),"")</f>
        <v/>
      </c>
      <c r="AJ182" s="2" t="str">
        <f ca="1">IFERROR(__xludf.DUMMYFUNCTION("""COMPUTED_VALUE"""),"")</f>
        <v/>
      </c>
      <c r="AK182" s="2" t="str">
        <f ca="1">IFERROR(__xludf.DUMMYFUNCTION("""COMPUTED_VALUE"""),"")</f>
        <v/>
      </c>
      <c r="AL182" s="2" t="str">
        <f ca="1">IFERROR(__xludf.DUMMYFUNCTION("""COMPUTED_VALUE"""),"")</f>
        <v/>
      </c>
      <c r="AM182" s="2" t="str">
        <f ca="1">IFERROR(__xludf.DUMMYFUNCTION("""COMPUTED_VALUE"""),"")</f>
        <v/>
      </c>
      <c r="AN182" s="2" t="str">
        <f ca="1">IFERROR(__xludf.DUMMYFUNCTION("""COMPUTED_VALUE"""),"")</f>
        <v/>
      </c>
      <c r="AO182" s="2" t="str">
        <f ca="1">IFERROR(__xludf.DUMMYFUNCTION("""COMPUTED_VALUE"""),"")</f>
        <v/>
      </c>
      <c r="AP182" s="2" t="str">
        <f ca="1">IFERROR(__xludf.DUMMYFUNCTION("""COMPUTED_VALUE"""),"")</f>
        <v/>
      </c>
      <c r="AQ182" s="2" t="str">
        <f ca="1">IFERROR(__xludf.DUMMYFUNCTION("""COMPUTED_VALUE"""),"")</f>
        <v/>
      </c>
      <c r="AR182" s="2" t="str">
        <f ca="1">IFERROR(__xludf.DUMMYFUNCTION("""COMPUTED_VALUE"""),"")</f>
        <v/>
      </c>
      <c r="AS182" s="2" t="str">
        <f ca="1">IFERROR(__xludf.DUMMYFUNCTION("""COMPUTED_VALUE"""),"")</f>
        <v/>
      </c>
      <c r="AT182" s="2" t="str">
        <f ca="1">IFERROR(__xludf.DUMMYFUNCTION("""COMPUTED_VALUE"""),"")</f>
        <v/>
      </c>
      <c r="AU182" s="2" t="str">
        <f ca="1">IFERROR(__xludf.DUMMYFUNCTION("""COMPUTED_VALUE"""),"")</f>
        <v/>
      </c>
      <c r="AV182" s="2" t="str">
        <f ca="1">IFERROR(__xludf.DUMMYFUNCTION("""COMPUTED_VALUE"""),"")</f>
        <v/>
      </c>
      <c r="AW182" s="2" t="str">
        <f ca="1">IFERROR(__xludf.DUMMYFUNCTION("""COMPUTED_VALUE"""),"")</f>
        <v/>
      </c>
      <c r="AX182" s="2" t="str">
        <f ca="1">IFERROR(__xludf.DUMMYFUNCTION("""COMPUTED_VALUE"""),"")</f>
        <v/>
      </c>
      <c r="AY182" s="2" t="str">
        <f ca="1">IFERROR(__xludf.DUMMYFUNCTION("""COMPUTED_VALUE"""),"")</f>
        <v/>
      </c>
      <c r="AZ182" s="2" t="str">
        <f ca="1">IFERROR(__xludf.DUMMYFUNCTION("""COMPUTED_VALUE"""),"")</f>
        <v/>
      </c>
      <c r="BA182" s="2" t="str">
        <f ca="1">IFERROR(__xludf.DUMMYFUNCTION("""COMPUTED_VALUE"""),"")</f>
        <v/>
      </c>
      <c r="BB182" s="2" t="str">
        <f ca="1">IFERROR(__xludf.DUMMYFUNCTION("""COMPUTED_VALUE"""),"")</f>
        <v/>
      </c>
      <c r="BC182" s="2" t="str">
        <f ca="1">IFERROR(__xludf.DUMMYFUNCTION("""COMPUTED_VALUE"""),"")</f>
        <v/>
      </c>
      <c r="BD182" s="2" t="str">
        <f ca="1">IFERROR(__xludf.DUMMYFUNCTION("""COMPUTED_VALUE"""),"")</f>
        <v/>
      </c>
      <c r="BE182" s="2" t="str">
        <f ca="1">IFERROR(__xludf.DUMMYFUNCTION("""COMPUTED_VALUE"""),"")</f>
        <v/>
      </c>
      <c r="BF182" t="str">
        <f ca="1">IFERROR(__xludf.DUMMYFUNCTION("""COMPUTED_VALUE"""),"")</f>
        <v/>
      </c>
      <c r="BG182" t="str">
        <f ca="1">IFERROR(__xludf.DUMMYFUNCTION("""COMPUTED_VALUE"""),"")</f>
        <v/>
      </c>
      <c r="BH182" s="2">
        <f ca="1">IFERROR(__xludf.DUMMYFUNCTION("""COMPUTED_VALUE"""),-37.3102226)</f>
        <v>-37.310222600000003</v>
      </c>
      <c r="BI182" s="13">
        <f ca="1">IFERROR(__xludf.DUMMYFUNCTION("""COMPUTED_VALUE"""),175.4225769)</f>
        <v>175.4225769</v>
      </c>
      <c r="BJ182" s="9">
        <f ca="1">IFERROR(__xludf.DUMMYFUNCTION("""COMPUTED_VALUE"""),43384)</f>
        <v>43384</v>
      </c>
      <c r="BK182" s="4">
        <f ca="1">IFERROR(__xludf.DUMMYFUNCTION("""COMPUTED_VALUE"""),0.958518518516939)</f>
        <v>0.95851851851693903</v>
      </c>
    </row>
    <row r="183" spans="1:63" ht="12.5" x14ac:dyDescent="0.25">
      <c r="A183" s="7" t="str">
        <f ca="1">IFERROR(__xludf.DUMMYFUNCTION("""COMPUTED_VALUE"""),"")</f>
        <v/>
      </c>
      <c r="B183" s="8" t="str">
        <f ca="1">IFERROR(__xludf.DUMMYFUNCTION("""COMPUTED_VALUE"""),"Waikato")</f>
        <v>Waikato</v>
      </c>
      <c r="C183" s="2">
        <f ca="1">IFERROR(__xludf.DUMMYFUNCTION("""COMPUTED_VALUE"""),23)</f>
        <v>23</v>
      </c>
      <c r="D183" s="9" t="str">
        <f ca="1">IFERROR(__xludf.DUMMYFUNCTION("""COMPUTED_VALUE"""),"")</f>
        <v/>
      </c>
      <c r="E183" s="4" t="str">
        <f ca="1">IFERROR(__xludf.DUMMYFUNCTION("""COMPUTED_VALUE"""),"")</f>
        <v/>
      </c>
      <c r="F183" s="2" t="str">
        <f ca="1">IFERROR(__xludf.DUMMYFUNCTION("""COMPUTED_VALUE"""),"")</f>
        <v/>
      </c>
      <c r="G183" s="2" t="str">
        <f ca="1">IFERROR(__xludf.DUMMYFUNCTION("""COMPUTED_VALUE"""),"GPS: I converted data downloaded from ARGOS using Pinpoint software")</f>
        <v>GPS: I converted data downloaded from ARGOS using Pinpoint software</v>
      </c>
      <c r="H183" s="2" t="str">
        <f ca="1">IFERROR(__xludf.DUMMYFUNCTION("""COMPUTED_VALUE"""),"3D")</f>
        <v>3D</v>
      </c>
      <c r="I183" s="2" t="str">
        <f ca="1">IFERROR(__xludf.DUMMYFUNCTION("""COMPUTED_VALUE"""),"")</f>
        <v/>
      </c>
      <c r="J183" s="2" t="str">
        <f ca="1">IFERROR(__xludf.DUMMYFUNCTION("""COMPUTED_VALUE"""),"")</f>
        <v/>
      </c>
      <c r="K183" s="2" t="str">
        <f ca="1">IFERROR(__xludf.DUMMYFUNCTION("""COMPUTED_VALUE"""),"")</f>
        <v/>
      </c>
      <c r="L183" s="2" t="str">
        <f ca="1">IFERROR(__xludf.DUMMYFUNCTION("""COMPUTED_VALUE"""),"")</f>
        <v/>
      </c>
      <c r="M183" s="5" t="str">
        <f ca="1">IFERROR(__xludf.DUMMYFUNCTION("""COMPUTED_VALUE"""),"")</f>
        <v/>
      </c>
      <c r="N183" s="5" t="str">
        <f ca="1">IFERROR(__xludf.DUMMYFUNCTION("""COMPUTED_VALUE"""),"")</f>
        <v/>
      </c>
      <c r="O183" s="2" t="str">
        <f ca="1">IFERROR(__xludf.DUMMYFUNCTION("""COMPUTED_VALUE"""),"")</f>
        <v/>
      </c>
      <c r="P183" s="2" t="str">
        <f ca="1">IFERROR(__xludf.DUMMYFUNCTION("""COMPUTED_VALUE"""),"")</f>
        <v/>
      </c>
      <c r="Q183" s="2" t="str">
        <f ca="1">IFERROR(__xludf.DUMMYFUNCTION("""COMPUTED_VALUE"""),"")</f>
        <v/>
      </c>
      <c r="R183" s="2" t="str">
        <f ca="1">IFERROR(__xludf.DUMMYFUNCTION("""COMPUTED_VALUE"""),"")</f>
        <v/>
      </c>
      <c r="S183" s="2" t="str">
        <f ca="1">IFERROR(__xludf.DUMMYFUNCTION("""COMPUTED_VALUE"""),"")</f>
        <v/>
      </c>
      <c r="T183" s="2" t="str">
        <f ca="1">IFERROR(__xludf.DUMMYFUNCTION("""COMPUTED_VALUE"""),"")</f>
        <v/>
      </c>
      <c r="U183" s="2" t="str">
        <f ca="1">IFERROR(__xludf.DUMMYFUNCTION("""COMPUTED_VALUE"""),"")</f>
        <v/>
      </c>
      <c r="V183" s="2" t="str">
        <f ca="1">IFERROR(__xludf.DUMMYFUNCTION("""COMPUTED_VALUE"""),"")</f>
        <v/>
      </c>
      <c r="W183" s="2" t="str">
        <f ca="1">IFERROR(__xludf.DUMMYFUNCTION("""COMPUTED_VALUE"""),"")</f>
        <v/>
      </c>
      <c r="X183" s="2" t="str">
        <f ca="1">IFERROR(__xludf.DUMMYFUNCTION("""COMPUTED_VALUE"""),"")</f>
        <v/>
      </c>
      <c r="Y183" s="2" t="str">
        <f ca="1">IFERROR(__xludf.DUMMYFUNCTION("""COMPUTED_VALUE"""),"")</f>
        <v/>
      </c>
      <c r="Z183" s="2" t="str">
        <f ca="1">IFERROR(__xludf.DUMMYFUNCTION("""COMPUTED_VALUE"""),"")</f>
        <v/>
      </c>
      <c r="AA183" s="2" t="str">
        <f ca="1">IFERROR(__xludf.DUMMYFUNCTION("""COMPUTED_VALUE"""),"")</f>
        <v/>
      </c>
      <c r="AB183" s="2" t="str">
        <f ca="1">IFERROR(__xludf.DUMMYFUNCTION("""COMPUTED_VALUE"""),"")</f>
        <v/>
      </c>
      <c r="AC183" s="2" t="str">
        <f ca="1">IFERROR(__xludf.DUMMYFUNCTION("""COMPUTED_VALUE"""),"")</f>
        <v/>
      </c>
      <c r="AD183" s="2" t="str">
        <f ca="1">IFERROR(__xludf.DUMMYFUNCTION("""COMPUTED_VALUE"""),"")</f>
        <v/>
      </c>
      <c r="AE183" s="2" t="str">
        <f ca="1">IFERROR(__xludf.DUMMYFUNCTION("""COMPUTED_VALUE"""),"")</f>
        <v/>
      </c>
      <c r="AF183" s="2" t="str">
        <f ca="1">IFERROR(__xludf.DUMMYFUNCTION("""COMPUTED_VALUE"""),"")</f>
        <v/>
      </c>
      <c r="AG183" s="2" t="str">
        <f ca="1">IFERROR(__xludf.DUMMYFUNCTION("""COMPUTED_VALUE"""),"")</f>
        <v/>
      </c>
      <c r="AH183" s="2" t="str">
        <f ca="1">IFERROR(__xludf.DUMMYFUNCTION("""COMPUTED_VALUE"""),"")</f>
        <v/>
      </c>
      <c r="AI183" s="2" t="str">
        <f ca="1">IFERROR(__xludf.DUMMYFUNCTION("""COMPUTED_VALUE"""),"")</f>
        <v/>
      </c>
      <c r="AJ183" s="2" t="str">
        <f ca="1">IFERROR(__xludf.DUMMYFUNCTION("""COMPUTED_VALUE"""),"")</f>
        <v/>
      </c>
      <c r="AK183" s="2" t="str">
        <f ca="1">IFERROR(__xludf.DUMMYFUNCTION("""COMPUTED_VALUE"""),"")</f>
        <v/>
      </c>
      <c r="AL183" s="2" t="str">
        <f ca="1">IFERROR(__xludf.DUMMYFUNCTION("""COMPUTED_VALUE"""),"")</f>
        <v/>
      </c>
      <c r="AM183" s="2" t="str">
        <f ca="1">IFERROR(__xludf.DUMMYFUNCTION("""COMPUTED_VALUE"""),"")</f>
        <v/>
      </c>
      <c r="AN183" s="2" t="str">
        <f ca="1">IFERROR(__xludf.DUMMYFUNCTION("""COMPUTED_VALUE"""),"")</f>
        <v/>
      </c>
      <c r="AO183" s="2" t="str">
        <f ca="1">IFERROR(__xludf.DUMMYFUNCTION("""COMPUTED_VALUE"""),"")</f>
        <v/>
      </c>
      <c r="AP183" s="2" t="str">
        <f ca="1">IFERROR(__xludf.DUMMYFUNCTION("""COMPUTED_VALUE"""),"")</f>
        <v/>
      </c>
      <c r="AQ183" s="2" t="str">
        <f ca="1">IFERROR(__xludf.DUMMYFUNCTION("""COMPUTED_VALUE"""),"")</f>
        <v/>
      </c>
      <c r="AR183" s="2" t="str">
        <f ca="1">IFERROR(__xludf.DUMMYFUNCTION("""COMPUTED_VALUE"""),"")</f>
        <v/>
      </c>
      <c r="AS183" s="2" t="str">
        <f ca="1">IFERROR(__xludf.DUMMYFUNCTION("""COMPUTED_VALUE"""),"")</f>
        <v/>
      </c>
      <c r="AT183" s="2" t="str">
        <f ca="1">IFERROR(__xludf.DUMMYFUNCTION("""COMPUTED_VALUE"""),"")</f>
        <v/>
      </c>
      <c r="AU183" s="2" t="str">
        <f ca="1">IFERROR(__xludf.DUMMYFUNCTION("""COMPUTED_VALUE"""),"")</f>
        <v/>
      </c>
      <c r="AV183" s="2" t="str">
        <f ca="1">IFERROR(__xludf.DUMMYFUNCTION("""COMPUTED_VALUE"""),"")</f>
        <v/>
      </c>
      <c r="AW183" s="2" t="str">
        <f ca="1">IFERROR(__xludf.DUMMYFUNCTION("""COMPUTED_VALUE"""),"")</f>
        <v/>
      </c>
      <c r="AX183" s="2" t="str">
        <f ca="1">IFERROR(__xludf.DUMMYFUNCTION("""COMPUTED_VALUE"""),"")</f>
        <v/>
      </c>
      <c r="AY183" s="2" t="str">
        <f ca="1">IFERROR(__xludf.DUMMYFUNCTION("""COMPUTED_VALUE"""),"")</f>
        <v/>
      </c>
      <c r="AZ183" s="2" t="str">
        <f ca="1">IFERROR(__xludf.DUMMYFUNCTION("""COMPUTED_VALUE"""),"")</f>
        <v/>
      </c>
      <c r="BA183" s="2" t="str">
        <f ca="1">IFERROR(__xludf.DUMMYFUNCTION("""COMPUTED_VALUE"""),"")</f>
        <v/>
      </c>
      <c r="BB183" s="2" t="str">
        <f ca="1">IFERROR(__xludf.DUMMYFUNCTION("""COMPUTED_VALUE"""),"")</f>
        <v/>
      </c>
      <c r="BC183" s="2" t="str">
        <f ca="1">IFERROR(__xludf.DUMMYFUNCTION("""COMPUTED_VALUE"""),"")</f>
        <v/>
      </c>
      <c r="BD183" s="2" t="str">
        <f ca="1">IFERROR(__xludf.DUMMYFUNCTION("""COMPUTED_VALUE"""),"")</f>
        <v/>
      </c>
      <c r="BE183" s="2" t="str">
        <f ca="1">IFERROR(__xludf.DUMMYFUNCTION("""COMPUTED_VALUE"""),"")</f>
        <v/>
      </c>
      <c r="BF183" t="str">
        <f ca="1">IFERROR(__xludf.DUMMYFUNCTION("""COMPUTED_VALUE"""),"")</f>
        <v/>
      </c>
      <c r="BG183" t="str">
        <f ca="1">IFERROR(__xludf.DUMMYFUNCTION("""COMPUTED_VALUE"""),"")</f>
        <v/>
      </c>
      <c r="BH183" s="2">
        <f ca="1">IFERROR(__xludf.DUMMYFUNCTION("""COMPUTED_VALUE"""),-37.3203583)</f>
        <v>-37.320358300000002</v>
      </c>
      <c r="BI183" s="12">
        <f ca="1">IFERROR(__xludf.DUMMYFUNCTION("""COMPUTED_VALUE"""),175.4447174)</f>
        <v>175.4447174</v>
      </c>
      <c r="BJ183" s="9">
        <f ca="1">IFERROR(__xludf.DUMMYFUNCTION("""COMPUTED_VALUE"""),43385)</f>
        <v>43385</v>
      </c>
      <c r="BK183" s="4">
        <f ca="1">IFERROR(__xludf.DUMMYFUNCTION("""COMPUTED_VALUE"""),0.877037037036643)</f>
        <v>0.87703703703664304</v>
      </c>
    </row>
    <row r="184" spans="1:63" ht="12.5" x14ac:dyDescent="0.25">
      <c r="A184" s="7" t="str">
        <f ca="1">IFERROR(__xludf.DUMMYFUNCTION("""COMPUTED_VALUE"""),"")</f>
        <v/>
      </c>
      <c r="B184" s="8" t="str">
        <f ca="1">IFERROR(__xludf.DUMMYFUNCTION("""COMPUTED_VALUE"""),"Waikato")</f>
        <v>Waikato</v>
      </c>
      <c r="C184" s="2">
        <f ca="1">IFERROR(__xludf.DUMMYFUNCTION("""COMPUTED_VALUE"""),23)</f>
        <v>23</v>
      </c>
      <c r="D184" s="9" t="str">
        <f ca="1">IFERROR(__xludf.DUMMYFUNCTION("""COMPUTED_VALUE"""),"")</f>
        <v/>
      </c>
      <c r="E184" s="4" t="str">
        <f ca="1">IFERROR(__xludf.DUMMYFUNCTION("""COMPUTED_VALUE"""),"")</f>
        <v/>
      </c>
      <c r="F184" s="2" t="str">
        <f ca="1">IFERROR(__xludf.DUMMYFUNCTION("""COMPUTED_VALUE"""),"")</f>
        <v/>
      </c>
      <c r="G184" s="2" t="str">
        <f ca="1">IFERROR(__xludf.DUMMYFUNCTION("""COMPUTED_VALUE"""),"GPS: I converted data downloaded from ARGOS using Pinpoint software")</f>
        <v>GPS: I converted data downloaded from ARGOS using Pinpoint software</v>
      </c>
      <c r="H184" s="2" t="str">
        <f ca="1">IFERROR(__xludf.DUMMYFUNCTION("""COMPUTED_VALUE"""),"3D")</f>
        <v>3D</v>
      </c>
      <c r="I184" s="2" t="str">
        <f ca="1">IFERROR(__xludf.DUMMYFUNCTION("""COMPUTED_VALUE"""),"")</f>
        <v/>
      </c>
      <c r="J184" s="2" t="str">
        <f ca="1">IFERROR(__xludf.DUMMYFUNCTION("""COMPUTED_VALUE"""),"")</f>
        <v/>
      </c>
      <c r="K184" s="2" t="str">
        <f ca="1">IFERROR(__xludf.DUMMYFUNCTION("""COMPUTED_VALUE"""),"")</f>
        <v/>
      </c>
      <c r="L184" s="2" t="str">
        <f ca="1">IFERROR(__xludf.DUMMYFUNCTION("""COMPUTED_VALUE"""),"")</f>
        <v/>
      </c>
      <c r="M184" s="5" t="str">
        <f ca="1">IFERROR(__xludf.DUMMYFUNCTION("""COMPUTED_VALUE"""),"")</f>
        <v/>
      </c>
      <c r="N184" s="5" t="str">
        <f ca="1">IFERROR(__xludf.DUMMYFUNCTION("""COMPUTED_VALUE"""),"")</f>
        <v/>
      </c>
      <c r="O184" s="2" t="str">
        <f ca="1">IFERROR(__xludf.DUMMYFUNCTION("""COMPUTED_VALUE"""),"")</f>
        <v/>
      </c>
      <c r="P184" s="2" t="str">
        <f ca="1">IFERROR(__xludf.DUMMYFUNCTION("""COMPUTED_VALUE"""),"")</f>
        <v/>
      </c>
      <c r="Q184" s="2" t="str">
        <f ca="1">IFERROR(__xludf.DUMMYFUNCTION("""COMPUTED_VALUE"""),"")</f>
        <v/>
      </c>
      <c r="R184" s="2" t="str">
        <f ca="1">IFERROR(__xludf.DUMMYFUNCTION("""COMPUTED_VALUE"""),"")</f>
        <v/>
      </c>
      <c r="S184" s="2" t="str">
        <f ca="1">IFERROR(__xludf.DUMMYFUNCTION("""COMPUTED_VALUE"""),"")</f>
        <v/>
      </c>
      <c r="T184" s="2" t="str">
        <f ca="1">IFERROR(__xludf.DUMMYFUNCTION("""COMPUTED_VALUE"""),"")</f>
        <v/>
      </c>
      <c r="U184" s="2" t="str">
        <f ca="1">IFERROR(__xludf.DUMMYFUNCTION("""COMPUTED_VALUE"""),"")</f>
        <v/>
      </c>
      <c r="V184" s="2" t="str">
        <f ca="1">IFERROR(__xludf.DUMMYFUNCTION("""COMPUTED_VALUE"""),"")</f>
        <v/>
      </c>
      <c r="W184" s="2" t="str">
        <f ca="1">IFERROR(__xludf.DUMMYFUNCTION("""COMPUTED_VALUE"""),"")</f>
        <v/>
      </c>
      <c r="X184" s="2" t="str">
        <f ca="1">IFERROR(__xludf.DUMMYFUNCTION("""COMPUTED_VALUE"""),"")</f>
        <v/>
      </c>
      <c r="Y184" s="2" t="str">
        <f ca="1">IFERROR(__xludf.DUMMYFUNCTION("""COMPUTED_VALUE"""),"")</f>
        <v/>
      </c>
      <c r="Z184" s="2" t="str">
        <f ca="1">IFERROR(__xludf.DUMMYFUNCTION("""COMPUTED_VALUE"""),"")</f>
        <v/>
      </c>
      <c r="AA184" s="2" t="str">
        <f ca="1">IFERROR(__xludf.DUMMYFUNCTION("""COMPUTED_VALUE"""),"")</f>
        <v/>
      </c>
      <c r="AB184" s="2" t="str">
        <f ca="1">IFERROR(__xludf.DUMMYFUNCTION("""COMPUTED_VALUE"""),"")</f>
        <v/>
      </c>
      <c r="AC184" s="2" t="str">
        <f ca="1">IFERROR(__xludf.DUMMYFUNCTION("""COMPUTED_VALUE"""),"")</f>
        <v/>
      </c>
      <c r="AD184" s="2" t="str">
        <f ca="1">IFERROR(__xludf.DUMMYFUNCTION("""COMPUTED_VALUE"""),"")</f>
        <v/>
      </c>
      <c r="AE184" s="2" t="str">
        <f ca="1">IFERROR(__xludf.DUMMYFUNCTION("""COMPUTED_VALUE"""),"")</f>
        <v/>
      </c>
      <c r="AF184" s="2" t="str">
        <f ca="1">IFERROR(__xludf.DUMMYFUNCTION("""COMPUTED_VALUE"""),"")</f>
        <v/>
      </c>
      <c r="AG184" s="2" t="str">
        <f ca="1">IFERROR(__xludf.DUMMYFUNCTION("""COMPUTED_VALUE"""),"")</f>
        <v/>
      </c>
      <c r="AH184" s="2" t="str">
        <f ca="1">IFERROR(__xludf.DUMMYFUNCTION("""COMPUTED_VALUE"""),"")</f>
        <v/>
      </c>
      <c r="AI184" s="2" t="str">
        <f ca="1">IFERROR(__xludf.DUMMYFUNCTION("""COMPUTED_VALUE"""),"")</f>
        <v/>
      </c>
      <c r="AJ184" s="2" t="str">
        <f ca="1">IFERROR(__xludf.DUMMYFUNCTION("""COMPUTED_VALUE"""),"")</f>
        <v/>
      </c>
      <c r="AK184" s="2" t="str">
        <f ca="1">IFERROR(__xludf.DUMMYFUNCTION("""COMPUTED_VALUE"""),"")</f>
        <v/>
      </c>
      <c r="AL184" s="2" t="str">
        <f ca="1">IFERROR(__xludf.DUMMYFUNCTION("""COMPUTED_VALUE"""),"")</f>
        <v/>
      </c>
      <c r="AM184" s="2" t="str">
        <f ca="1">IFERROR(__xludf.DUMMYFUNCTION("""COMPUTED_VALUE"""),"")</f>
        <v/>
      </c>
      <c r="AN184" s="2" t="str">
        <f ca="1">IFERROR(__xludf.DUMMYFUNCTION("""COMPUTED_VALUE"""),"")</f>
        <v/>
      </c>
      <c r="AO184" s="2" t="str">
        <f ca="1">IFERROR(__xludf.DUMMYFUNCTION("""COMPUTED_VALUE"""),"")</f>
        <v/>
      </c>
      <c r="AP184" s="2" t="str">
        <f ca="1">IFERROR(__xludf.DUMMYFUNCTION("""COMPUTED_VALUE"""),"")</f>
        <v/>
      </c>
      <c r="AQ184" s="2" t="str">
        <f ca="1">IFERROR(__xludf.DUMMYFUNCTION("""COMPUTED_VALUE"""),"")</f>
        <v/>
      </c>
      <c r="AR184" s="2" t="str">
        <f ca="1">IFERROR(__xludf.DUMMYFUNCTION("""COMPUTED_VALUE"""),"")</f>
        <v/>
      </c>
      <c r="AS184" s="2" t="str">
        <f ca="1">IFERROR(__xludf.DUMMYFUNCTION("""COMPUTED_VALUE"""),"")</f>
        <v/>
      </c>
      <c r="AT184" s="2" t="str">
        <f ca="1">IFERROR(__xludf.DUMMYFUNCTION("""COMPUTED_VALUE"""),"")</f>
        <v/>
      </c>
      <c r="AU184" s="2" t="str">
        <f ca="1">IFERROR(__xludf.DUMMYFUNCTION("""COMPUTED_VALUE"""),"")</f>
        <v/>
      </c>
      <c r="AV184" s="2" t="str">
        <f ca="1">IFERROR(__xludf.DUMMYFUNCTION("""COMPUTED_VALUE"""),"")</f>
        <v/>
      </c>
      <c r="AW184" s="2" t="str">
        <f ca="1">IFERROR(__xludf.DUMMYFUNCTION("""COMPUTED_VALUE"""),"")</f>
        <v/>
      </c>
      <c r="AX184" s="2" t="str">
        <f ca="1">IFERROR(__xludf.DUMMYFUNCTION("""COMPUTED_VALUE"""),"")</f>
        <v/>
      </c>
      <c r="AY184" s="2" t="str">
        <f ca="1">IFERROR(__xludf.DUMMYFUNCTION("""COMPUTED_VALUE"""),"")</f>
        <v/>
      </c>
      <c r="AZ184" s="2" t="str">
        <f ca="1">IFERROR(__xludf.DUMMYFUNCTION("""COMPUTED_VALUE"""),"")</f>
        <v/>
      </c>
      <c r="BA184" s="2" t="str">
        <f ca="1">IFERROR(__xludf.DUMMYFUNCTION("""COMPUTED_VALUE"""),"")</f>
        <v/>
      </c>
      <c r="BB184" s="2" t="str">
        <f ca="1">IFERROR(__xludf.DUMMYFUNCTION("""COMPUTED_VALUE"""),"")</f>
        <v/>
      </c>
      <c r="BC184" s="2" t="str">
        <f ca="1">IFERROR(__xludf.DUMMYFUNCTION("""COMPUTED_VALUE"""),"")</f>
        <v/>
      </c>
      <c r="BD184" s="2" t="str">
        <f ca="1">IFERROR(__xludf.DUMMYFUNCTION("""COMPUTED_VALUE"""),"")</f>
        <v/>
      </c>
      <c r="BE184" s="2" t="str">
        <f ca="1">IFERROR(__xludf.DUMMYFUNCTION("""COMPUTED_VALUE"""),"")</f>
        <v/>
      </c>
      <c r="BF184" t="str">
        <f ca="1">IFERROR(__xludf.DUMMYFUNCTION("""COMPUTED_VALUE"""),"")</f>
        <v/>
      </c>
      <c r="BG184" t="str">
        <f ca="1">IFERROR(__xludf.DUMMYFUNCTION("""COMPUTED_VALUE"""),"")</f>
        <v/>
      </c>
      <c r="BH184" s="2">
        <f ca="1">IFERROR(__xludf.DUMMYFUNCTION("""COMPUTED_VALUE"""),-37.3248367)</f>
        <v>-37.324836699999999</v>
      </c>
      <c r="BI184" s="13">
        <f ca="1">IFERROR(__xludf.DUMMYFUNCTION("""COMPUTED_VALUE"""),175.4502563)</f>
        <v>175.45025630000001</v>
      </c>
      <c r="BJ184" s="9">
        <f ca="1">IFERROR(__xludf.DUMMYFUNCTION("""COMPUTED_VALUE"""),43386)</f>
        <v>43386</v>
      </c>
      <c r="BK184" s="4">
        <f ca="1">IFERROR(__xludf.DUMMYFUNCTION("""COMPUTED_VALUE"""),0.457777777777664)</f>
        <v>0.45777777777766399</v>
      </c>
    </row>
    <row r="185" spans="1:63" ht="12.5" x14ac:dyDescent="0.25">
      <c r="A185" s="7" t="str">
        <f ca="1">IFERROR(__xludf.DUMMYFUNCTION("""COMPUTED_VALUE"""),"")</f>
        <v/>
      </c>
      <c r="B185" s="8" t="str">
        <f ca="1">IFERROR(__xludf.DUMMYFUNCTION("""COMPUTED_VALUE"""),"Waikato")</f>
        <v>Waikato</v>
      </c>
      <c r="C185" s="2">
        <f ca="1">IFERROR(__xludf.DUMMYFUNCTION("""COMPUTED_VALUE"""),23)</f>
        <v>23</v>
      </c>
      <c r="D185" s="9" t="str">
        <f ca="1">IFERROR(__xludf.DUMMYFUNCTION("""COMPUTED_VALUE"""),"")</f>
        <v/>
      </c>
      <c r="E185" s="4" t="str">
        <f ca="1">IFERROR(__xludf.DUMMYFUNCTION("""COMPUTED_VALUE"""),"")</f>
        <v/>
      </c>
      <c r="F185" s="2" t="str">
        <f ca="1">IFERROR(__xludf.DUMMYFUNCTION("""COMPUTED_VALUE"""),"")</f>
        <v/>
      </c>
      <c r="G185" s="2" t="str">
        <f ca="1">IFERROR(__xludf.DUMMYFUNCTION("""COMPUTED_VALUE"""),"GPS: I converted data downloaded from ARGOS using Pinpoint software")</f>
        <v>GPS: I converted data downloaded from ARGOS using Pinpoint software</v>
      </c>
      <c r="H185" s="2" t="str">
        <f ca="1">IFERROR(__xludf.DUMMYFUNCTION("""COMPUTED_VALUE"""),"3D")</f>
        <v>3D</v>
      </c>
      <c r="I185" s="2" t="str">
        <f ca="1">IFERROR(__xludf.DUMMYFUNCTION("""COMPUTED_VALUE"""),"")</f>
        <v/>
      </c>
      <c r="J185" s="2" t="str">
        <f ca="1">IFERROR(__xludf.DUMMYFUNCTION("""COMPUTED_VALUE"""),"")</f>
        <v/>
      </c>
      <c r="K185" s="2" t="str">
        <f ca="1">IFERROR(__xludf.DUMMYFUNCTION("""COMPUTED_VALUE"""),"")</f>
        <v/>
      </c>
      <c r="L185" s="2" t="str">
        <f ca="1">IFERROR(__xludf.DUMMYFUNCTION("""COMPUTED_VALUE"""),"")</f>
        <v/>
      </c>
      <c r="M185" s="5" t="str">
        <f ca="1">IFERROR(__xludf.DUMMYFUNCTION("""COMPUTED_VALUE"""),"")</f>
        <v/>
      </c>
      <c r="N185" s="5" t="str">
        <f ca="1">IFERROR(__xludf.DUMMYFUNCTION("""COMPUTED_VALUE"""),"")</f>
        <v/>
      </c>
      <c r="O185" s="2" t="str">
        <f ca="1">IFERROR(__xludf.DUMMYFUNCTION("""COMPUTED_VALUE"""),"")</f>
        <v/>
      </c>
      <c r="P185" s="2" t="str">
        <f ca="1">IFERROR(__xludf.DUMMYFUNCTION("""COMPUTED_VALUE"""),"")</f>
        <v/>
      </c>
      <c r="Q185" s="2" t="str">
        <f ca="1">IFERROR(__xludf.DUMMYFUNCTION("""COMPUTED_VALUE"""),"")</f>
        <v/>
      </c>
      <c r="R185" s="2" t="str">
        <f ca="1">IFERROR(__xludf.DUMMYFUNCTION("""COMPUTED_VALUE"""),"")</f>
        <v/>
      </c>
      <c r="S185" s="2" t="str">
        <f ca="1">IFERROR(__xludf.DUMMYFUNCTION("""COMPUTED_VALUE"""),"")</f>
        <v/>
      </c>
      <c r="T185" s="2" t="str">
        <f ca="1">IFERROR(__xludf.DUMMYFUNCTION("""COMPUTED_VALUE"""),"")</f>
        <v/>
      </c>
      <c r="U185" s="2" t="str">
        <f ca="1">IFERROR(__xludf.DUMMYFUNCTION("""COMPUTED_VALUE"""),"")</f>
        <v/>
      </c>
      <c r="V185" s="2" t="str">
        <f ca="1">IFERROR(__xludf.DUMMYFUNCTION("""COMPUTED_VALUE"""),"")</f>
        <v/>
      </c>
      <c r="W185" s="2" t="str">
        <f ca="1">IFERROR(__xludf.DUMMYFUNCTION("""COMPUTED_VALUE"""),"")</f>
        <v/>
      </c>
      <c r="X185" s="2" t="str">
        <f ca="1">IFERROR(__xludf.DUMMYFUNCTION("""COMPUTED_VALUE"""),"")</f>
        <v/>
      </c>
      <c r="Y185" s="2" t="str">
        <f ca="1">IFERROR(__xludf.DUMMYFUNCTION("""COMPUTED_VALUE"""),"")</f>
        <v/>
      </c>
      <c r="Z185" s="2" t="str">
        <f ca="1">IFERROR(__xludf.DUMMYFUNCTION("""COMPUTED_VALUE"""),"")</f>
        <v/>
      </c>
      <c r="AA185" s="2" t="str">
        <f ca="1">IFERROR(__xludf.DUMMYFUNCTION("""COMPUTED_VALUE"""),"")</f>
        <v/>
      </c>
      <c r="AB185" s="2" t="str">
        <f ca="1">IFERROR(__xludf.DUMMYFUNCTION("""COMPUTED_VALUE"""),"")</f>
        <v/>
      </c>
      <c r="AC185" s="2" t="str">
        <f ca="1">IFERROR(__xludf.DUMMYFUNCTION("""COMPUTED_VALUE"""),"")</f>
        <v/>
      </c>
      <c r="AD185" s="2" t="str">
        <f ca="1">IFERROR(__xludf.DUMMYFUNCTION("""COMPUTED_VALUE"""),"")</f>
        <v/>
      </c>
      <c r="AE185" s="2" t="str">
        <f ca="1">IFERROR(__xludf.DUMMYFUNCTION("""COMPUTED_VALUE"""),"")</f>
        <v/>
      </c>
      <c r="AF185" s="2" t="str">
        <f ca="1">IFERROR(__xludf.DUMMYFUNCTION("""COMPUTED_VALUE"""),"")</f>
        <v/>
      </c>
      <c r="AG185" s="2" t="str">
        <f ca="1">IFERROR(__xludf.DUMMYFUNCTION("""COMPUTED_VALUE"""),"")</f>
        <v/>
      </c>
      <c r="AH185" s="2" t="str">
        <f ca="1">IFERROR(__xludf.DUMMYFUNCTION("""COMPUTED_VALUE"""),"")</f>
        <v/>
      </c>
      <c r="AI185" s="2" t="str">
        <f ca="1">IFERROR(__xludf.DUMMYFUNCTION("""COMPUTED_VALUE"""),"")</f>
        <v/>
      </c>
      <c r="AJ185" s="2" t="str">
        <f ca="1">IFERROR(__xludf.DUMMYFUNCTION("""COMPUTED_VALUE"""),"")</f>
        <v/>
      </c>
      <c r="AK185" s="2" t="str">
        <f ca="1">IFERROR(__xludf.DUMMYFUNCTION("""COMPUTED_VALUE"""),"")</f>
        <v/>
      </c>
      <c r="AL185" s="2" t="str">
        <f ca="1">IFERROR(__xludf.DUMMYFUNCTION("""COMPUTED_VALUE"""),"")</f>
        <v/>
      </c>
      <c r="AM185" s="2" t="str">
        <f ca="1">IFERROR(__xludf.DUMMYFUNCTION("""COMPUTED_VALUE"""),"")</f>
        <v/>
      </c>
      <c r="AN185" s="2" t="str">
        <f ca="1">IFERROR(__xludf.DUMMYFUNCTION("""COMPUTED_VALUE"""),"")</f>
        <v/>
      </c>
      <c r="AO185" s="2" t="str">
        <f ca="1">IFERROR(__xludf.DUMMYFUNCTION("""COMPUTED_VALUE"""),"")</f>
        <v/>
      </c>
      <c r="AP185" s="2" t="str">
        <f ca="1">IFERROR(__xludf.DUMMYFUNCTION("""COMPUTED_VALUE"""),"")</f>
        <v/>
      </c>
      <c r="AQ185" s="2" t="str">
        <f ca="1">IFERROR(__xludf.DUMMYFUNCTION("""COMPUTED_VALUE"""),"")</f>
        <v/>
      </c>
      <c r="AR185" s="2" t="str">
        <f ca="1">IFERROR(__xludf.DUMMYFUNCTION("""COMPUTED_VALUE"""),"")</f>
        <v/>
      </c>
      <c r="AS185" s="2" t="str">
        <f ca="1">IFERROR(__xludf.DUMMYFUNCTION("""COMPUTED_VALUE"""),"")</f>
        <v/>
      </c>
      <c r="AT185" s="2" t="str">
        <f ca="1">IFERROR(__xludf.DUMMYFUNCTION("""COMPUTED_VALUE"""),"")</f>
        <v/>
      </c>
      <c r="AU185" s="2" t="str">
        <f ca="1">IFERROR(__xludf.DUMMYFUNCTION("""COMPUTED_VALUE"""),"")</f>
        <v/>
      </c>
      <c r="AV185" s="2" t="str">
        <f ca="1">IFERROR(__xludf.DUMMYFUNCTION("""COMPUTED_VALUE"""),"")</f>
        <v/>
      </c>
      <c r="AW185" s="2" t="str">
        <f ca="1">IFERROR(__xludf.DUMMYFUNCTION("""COMPUTED_VALUE"""),"")</f>
        <v/>
      </c>
      <c r="AX185" s="2" t="str">
        <f ca="1">IFERROR(__xludf.DUMMYFUNCTION("""COMPUTED_VALUE"""),"")</f>
        <v/>
      </c>
      <c r="AY185" s="2" t="str">
        <f ca="1">IFERROR(__xludf.DUMMYFUNCTION("""COMPUTED_VALUE"""),"")</f>
        <v/>
      </c>
      <c r="AZ185" s="2" t="str">
        <f ca="1">IFERROR(__xludf.DUMMYFUNCTION("""COMPUTED_VALUE"""),"")</f>
        <v/>
      </c>
      <c r="BA185" s="2" t="str">
        <f ca="1">IFERROR(__xludf.DUMMYFUNCTION("""COMPUTED_VALUE"""),"")</f>
        <v/>
      </c>
      <c r="BB185" s="2" t="str">
        <f ca="1">IFERROR(__xludf.DUMMYFUNCTION("""COMPUTED_VALUE"""),"")</f>
        <v/>
      </c>
      <c r="BC185" s="2" t="str">
        <f ca="1">IFERROR(__xludf.DUMMYFUNCTION("""COMPUTED_VALUE"""),"")</f>
        <v/>
      </c>
      <c r="BD185" s="2" t="str">
        <f ca="1">IFERROR(__xludf.DUMMYFUNCTION("""COMPUTED_VALUE"""),"")</f>
        <v/>
      </c>
      <c r="BE185" s="2" t="str">
        <f ca="1">IFERROR(__xludf.DUMMYFUNCTION("""COMPUTED_VALUE"""),"")</f>
        <v/>
      </c>
      <c r="BF185" t="str">
        <f ca="1">IFERROR(__xludf.DUMMYFUNCTION("""COMPUTED_VALUE"""),"")</f>
        <v/>
      </c>
      <c r="BG185" t="str">
        <f ca="1">IFERROR(__xludf.DUMMYFUNCTION("""COMPUTED_VALUE"""),"")</f>
        <v/>
      </c>
      <c r="BH185" s="2">
        <f ca="1">IFERROR(__xludf.DUMMYFUNCTION("""COMPUTED_VALUE"""),-37.341938)</f>
        <v>-37.341937999999999</v>
      </c>
      <c r="BI185" s="12">
        <f ca="1">IFERROR(__xludf.DUMMYFUNCTION("""COMPUTED_VALUE"""),175.1743927)</f>
        <v>175.1743927</v>
      </c>
      <c r="BJ185" s="9">
        <f ca="1">IFERROR(__xludf.DUMMYFUNCTION("""COMPUTED_VALUE"""),43386)</f>
        <v>43386</v>
      </c>
      <c r="BK185" s="4">
        <f ca="1">IFERROR(__xludf.DUMMYFUNCTION("""COMPUTED_VALUE"""),0.958518518516939)</f>
        <v>0.95851851851693903</v>
      </c>
    </row>
    <row r="186" spans="1:63" ht="12.5" x14ac:dyDescent="0.25">
      <c r="A186" s="7" t="str">
        <f ca="1">IFERROR(__xludf.DUMMYFUNCTION("""COMPUTED_VALUE"""),"")</f>
        <v/>
      </c>
      <c r="B186" s="8" t="str">
        <f ca="1">IFERROR(__xludf.DUMMYFUNCTION("""COMPUTED_VALUE"""),"Waikato")</f>
        <v>Waikato</v>
      </c>
      <c r="C186" s="2">
        <f ca="1">IFERROR(__xludf.DUMMYFUNCTION("""COMPUTED_VALUE"""),23)</f>
        <v>23</v>
      </c>
      <c r="D186" s="9" t="str">
        <f ca="1">IFERROR(__xludf.DUMMYFUNCTION("""COMPUTED_VALUE"""),"")</f>
        <v/>
      </c>
      <c r="E186" s="4" t="str">
        <f ca="1">IFERROR(__xludf.DUMMYFUNCTION("""COMPUTED_VALUE"""),"")</f>
        <v/>
      </c>
      <c r="F186" s="2" t="str">
        <f ca="1">IFERROR(__xludf.DUMMYFUNCTION("""COMPUTED_VALUE"""),"")</f>
        <v/>
      </c>
      <c r="G186" s="2" t="str">
        <f ca="1">IFERROR(__xludf.DUMMYFUNCTION("""COMPUTED_VALUE"""),"GPS: I converted data downloaded from ARGOS using Pinpoint software")</f>
        <v>GPS: I converted data downloaded from ARGOS using Pinpoint software</v>
      </c>
      <c r="H186" s="2" t="str">
        <f ca="1">IFERROR(__xludf.DUMMYFUNCTION("""COMPUTED_VALUE"""),"3D")</f>
        <v>3D</v>
      </c>
      <c r="I186" s="2" t="str">
        <f ca="1">IFERROR(__xludf.DUMMYFUNCTION("""COMPUTED_VALUE"""),"")</f>
        <v/>
      </c>
      <c r="J186" s="2" t="str">
        <f ca="1">IFERROR(__xludf.DUMMYFUNCTION("""COMPUTED_VALUE"""),"")</f>
        <v/>
      </c>
      <c r="K186" s="2" t="str">
        <f ca="1">IFERROR(__xludf.DUMMYFUNCTION("""COMPUTED_VALUE"""),"")</f>
        <v/>
      </c>
      <c r="L186" s="2" t="str">
        <f ca="1">IFERROR(__xludf.DUMMYFUNCTION("""COMPUTED_VALUE"""),"")</f>
        <v/>
      </c>
      <c r="M186" s="5" t="str">
        <f ca="1">IFERROR(__xludf.DUMMYFUNCTION("""COMPUTED_VALUE"""),"")</f>
        <v/>
      </c>
      <c r="N186" s="5" t="str">
        <f ca="1">IFERROR(__xludf.DUMMYFUNCTION("""COMPUTED_VALUE"""),"")</f>
        <v/>
      </c>
      <c r="O186" s="2" t="str">
        <f ca="1">IFERROR(__xludf.DUMMYFUNCTION("""COMPUTED_VALUE"""),"")</f>
        <v/>
      </c>
      <c r="P186" s="2" t="str">
        <f ca="1">IFERROR(__xludf.DUMMYFUNCTION("""COMPUTED_VALUE"""),"")</f>
        <v/>
      </c>
      <c r="Q186" s="2" t="str">
        <f ca="1">IFERROR(__xludf.DUMMYFUNCTION("""COMPUTED_VALUE"""),"")</f>
        <v/>
      </c>
      <c r="R186" s="2" t="str">
        <f ca="1">IFERROR(__xludf.DUMMYFUNCTION("""COMPUTED_VALUE"""),"")</f>
        <v/>
      </c>
      <c r="S186" s="2" t="str">
        <f ca="1">IFERROR(__xludf.DUMMYFUNCTION("""COMPUTED_VALUE"""),"")</f>
        <v/>
      </c>
      <c r="T186" s="2" t="str">
        <f ca="1">IFERROR(__xludf.DUMMYFUNCTION("""COMPUTED_VALUE"""),"")</f>
        <v/>
      </c>
      <c r="U186" s="2" t="str">
        <f ca="1">IFERROR(__xludf.DUMMYFUNCTION("""COMPUTED_VALUE"""),"")</f>
        <v/>
      </c>
      <c r="V186" s="2" t="str">
        <f ca="1">IFERROR(__xludf.DUMMYFUNCTION("""COMPUTED_VALUE"""),"")</f>
        <v/>
      </c>
      <c r="W186" s="2" t="str">
        <f ca="1">IFERROR(__xludf.DUMMYFUNCTION("""COMPUTED_VALUE"""),"")</f>
        <v/>
      </c>
      <c r="X186" s="2" t="str">
        <f ca="1">IFERROR(__xludf.DUMMYFUNCTION("""COMPUTED_VALUE"""),"")</f>
        <v/>
      </c>
      <c r="Y186" s="2" t="str">
        <f ca="1">IFERROR(__xludf.DUMMYFUNCTION("""COMPUTED_VALUE"""),"")</f>
        <v/>
      </c>
      <c r="Z186" s="2" t="str">
        <f ca="1">IFERROR(__xludf.DUMMYFUNCTION("""COMPUTED_VALUE"""),"")</f>
        <v/>
      </c>
      <c r="AA186" s="2" t="str">
        <f ca="1">IFERROR(__xludf.DUMMYFUNCTION("""COMPUTED_VALUE"""),"")</f>
        <v/>
      </c>
      <c r="AB186" s="2" t="str">
        <f ca="1">IFERROR(__xludf.DUMMYFUNCTION("""COMPUTED_VALUE"""),"")</f>
        <v/>
      </c>
      <c r="AC186" s="2" t="str">
        <f ca="1">IFERROR(__xludf.DUMMYFUNCTION("""COMPUTED_VALUE"""),"")</f>
        <v/>
      </c>
      <c r="AD186" s="2" t="str">
        <f ca="1">IFERROR(__xludf.DUMMYFUNCTION("""COMPUTED_VALUE"""),"")</f>
        <v/>
      </c>
      <c r="AE186" s="2" t="str">
        <f ca="1">IFERROR(__xludf.DUMMYFUNCTION("""COMPUTED_VALUE"""),"")</f>
        <v/>
      </c>
      <c r="AF186" s="2" t="str">
        <f ca="1">IFERROR(__xludf.DUMMYFUNCTION("""COMPUTED_VALUE"""),"")</f>
        <v/>
      </c>
      <c r="AG186" s="2" t="str">
        <f ca="1">IFERROR(__xludf.DUMMYFUNCTION("""COMPUTED_VALUE"""),"")</f>
        <v/>
      </c>
      <c r="AH186" s="2" t="str">
        <f ca="1">IFERROR(__xludf.DUMMYFUNCTION("""COMPUTED_VALUE"""),"")</f>
        <v/>
      </c>
      <c r="AI186" s="2" t="str">
        <f ca="1">IFERROR(__xludf.DUMMYFUNCTION("""COMPUTED_VALUE"""),"")</f>
        <v/>
      </c>
      <c r="AJ186" s="2" t="str">
        <f ca="1">IFERROR(__xludf.DUMMYFUNCTION("""COMPUTED_VALUE"""),"")</f>
        <v/>
      </c>
      <c r="AK186" s="2" t="str">
        <f ca="1">IFERROR(__xludf.DUMMYFUNCTION("""COMPUTED_VALUE"""),"")</f>
        <v/>
      </c>
      <c r="AL186" s="2" t="str">
        <f ca="1">IFERROR(__xludf.DUMMYFUNCTION("""COMPUTED_VALUE"""),"")</f>
        <v/>
      </c>
      <c r="AM186" s="2" t="str">
        <f ca="1">IFERROR(__xludf.DUMMYFUNCTION("""COMPUTED_VALUE"""),"")</f>
        <v/>
      </c>
      <c r="AN186" s="2" t="str">
        <f ca="1">IFERROR(__xludf.DUMMYFUNCTION("""COMPUTED_VALUE"""),"")</f>
        <v/>
      </c>
      <c r="AO186" s="2" t="str">
        <f ca="1">IFERROR(__xludf.DUMMYFUNCTION("""COMPUTED_VALUE"""),"")</f>
        <v/>
      </c>
      <c r="AP186" s="2" t="str">
        <f ca="1">IFERROR(__xludf.DUMMYFUNCTION("""COMPUTED_VALUE"""),"")</f>
        <v/>
      </c>
      <c r="AQ186" s="2" t="str">
        <f ca="1">IFERROR(__xludf.DUMMYFUNCTION("""COMPUTED_VALUE"""),"")</f>
        <v/>
      </c>
      <c r="AR186" s="2" t="str">
        <f ca="1">IFERROR(__xludf.DUMMYFUNCTION("""COMPUTED_VALUE"""),"")</f>
        <v/>
      </c>
      <c r="AS186" s="2" t="str">
        <f ca="1">IFERROR(__xludf.DUMMYFUNCTION("""COMPUTED_VALUE"""),"")</f>
        <v/>
      </c>
      <c r="AT186" s="2" t="str">
        <f ca="1">IFERROR(__xludf.DUMMYFUNCTION("""COMPUTED_VALUE"""),"")</f>
        <v/>
      </c>
      <c r="AU186" s="2" t="str">
        <f ca="1">IFERROR(__xludf.DUMMYFUNCTION("""COMPUTED_VALUE"""),"")</f>
        <v/>
      </c>
      <c r="AV186" s="2" t="str">
        <f ca="1">IFERROR(__xludf.DUMMYFUNCTION("""COMPUTED_VALUE"""),"")</f>
        <v/>
      </c>
      <c r="AW186" s="2" t="str">
        <f ca="1">IFERROR(__xludf.DUMMYFUNCTION("""COMPUTED_VALUE"""),"")</f>
        <v/>
      </c>
      <c r="AX186" s="2" t="str">
        <f ca="1">IFERROR(__xludf.DUMMYFUNCTION("""COMPUTED_VALUE"""),"")</f>
        <v/>
      </c>
      <c r="AY186" s="2" t="str">
        <f ca="1">IFERROR(__xludf.DUMMYFUNCTION("""COMPUTED_VALUE"""),"")</f>
        <v/>
      </c>
      <c r="AZ186" s="2" t="str">
        <f ca="1">IFERROR(__xludf.DUMMYFUNCTION("""COMPUTED_VALUE"""),"")</f>
        <v/>
      </c>
      <c r="BA186" s="2" t="str">
        <f ca="1">IFERROR(__xludf.DUMMYFUNCTION("""COMPUTED_VALUE"""),"")</f>
        <v/>
      </c>
      <c r="BB186" s="2" t="str">
        <f ca="1">IFERROR(__xludf.DUMMYFUNCTION("""COMPUTED_VALUE"""),"")</f>
        <v/>
      </c>
      <c r="BC186" s="2" t="str">
        <f ca="1">IFERROR(__xludf.DUMMYFUNCTION("""COMPUTED_VALUE"""),"")</f>
        <v/>
      </c>
      <c r="BD186" s="2" t="str">
        <f ca="1">IFERROR(__xludf.DUMMYFUNCTION("""COMPUTED_VALUE"""),"")</f>
        <v/>
      </c>
      <c r="BE186" s="2" t="str">
        <f ca="1">IFERROR(__xludf.DUMMYFUNCTION("""COMPUTED_VALUE"""),"")</f>
        <v/>
      </c>
      <c r="BF186" t="str">
        <f ca="1">IFERROR(__xludf.DUMMYFUNCTION("""COMPUTED_VALUE"""),"")</f>
        <v/>
      </c>
      <c r="BG186" t="str">
        <f ca="1">IFERROR(__xludf.DUMMYFUNCTION("""COMPUTED_VALUE"""),"")</f>
        <v/>
      </c>
      <c r="BH186" s="2">
        <f ca="1">IFERROR(__xludf.DUMMYFUNCTION("""COMPUTED_VALUE"""),-37.3396873)</f>
        <v>-37.339687300000001</v>
      </c>
      <c r="BI186" s="13">
        <f ca="1">IFERROR(__xludf.DUMMYFUNCTION("""COMPUTED_VALUE"""),175.165863)</f>
        <v>175.165863</v>
      </c>
      <c r="BJ186" s="9">
        <f ca="1">IFERROR(__xludf.DUMMYFUNCTION("""COMPUTED_VALUE"""),43388)</f>
        <v>43388</v>
      </c>
      <c r="BK186" s="4">
        <f ca="1">IFERROR(__xludf.DUMMYFUNCTION("""COMPUTED_VALUE"""),0.457777777777664)</f>
        <v>0.45777777777766399</v>
      </c>
    </row>
    <row r="187" spans="1:63" ht="12.5" x14ac:dyDescent="0.25">
      <c r="A187" s="7" t="str">
        <f ca="1">IFERROR(__xludf.DUMMYFUNCTION("""COMPUTED_VALUE"""),"")</f>
        <v/>
      </c>
      <c r="B187" s="8" t="str">
        <f ca="1">IFERROR(__xludf.DUMMYFUNCTION("""COMPUTED_VALUE"""),"Waikato")</f>
        <v>Waikato</v>
      </c>
      <c r="C187" s="2">
        <f ca="1">IFERROR(__xludf.DUMMYFUNCTION("""COMPUTED_VALUE"""),23)</f>
        <v>23</v>
      </c>
      <c r="D187" s="9" t="str">
        <f ca="1">IFERROR(__xludf.DUMMYFUNCTION("""COMPUTED_VALUE"""),"")</f>
        <v/>
      </c>
      <c r="E187" s="4" t="str">
        <f ca="1">IFERROR(__xludf.DUMMYFUNCTION("""COMPUTED_VALUE"""),"")</f>
        <v/>
      </c>
      <c r="F187" s="2" t="str">
        <f ca="1">IFERROR(__xludf.DUMMYFUNCTION("""COMPUTED_VALUE"""),"")</f>
        <v/>
      </c>
      <c r="G187" s="2" t="str">
        <f ca="1">IFERROR(__xludf.DUMMYFUNCTION("""COMPUTED_VALUE"""),"GPS: I converted data downloaded from ARGOS using Pinpoint software")</f>
        <v>GPS: I converted data downloaded from ARGOS using Pinpoint software</v>
      </c>
      <c r="H187" s="2" t="str">
        <f ca="1">IFERROR(__xludf.DUMMYFUNCTION("""COMPUTED_VALUE"""),"2D")</f>
        <v>2D</v>
      </c>
      <c r="I187" s="2" t="str">
        <f ca="1">IFERROR(__xludf.DUMMYFUNCTION("""COMPUTED_VALUE"""),"")</f>
        <v/>
      </c>
      <c r="J187" s="2" t="str">
        <f ca="1">IFERROR(__xludf.DUMMYFUNCTION("""COMPUTED_VALUE"""),"")</f>
        <v/>
      </c>
      <c r="K187" s="2" t="str">
        <f ca="1">IFERROR(__xludf.DUMMYFUNCTION("""COMPUTED_VALUE"""),"")</f>
        <v/>
      </c>
      <c r="L187" s="2" t="str">
        <f ca="1">IFERROR(__xludf.DUMMYFUNCTION("""COMPUTED_VALUE"""),"")</f>
        <v/>
      </c>
      <c r="M187" s="5" t="str">
        <f ca="1">IFERROR(__xludf.DUMMYFUNCTION("""COMPUTED_VALUE"""),"")</f>
        <v/>
      </c>
      <c r="N187" s="5" t="str">
        <f ca="1">IFERROR(__xludf.DUMMYFUNCTION("""COMPUTED_VALUE"""),"")</f>
        <v/>
      </c>
      <c r="O187" s="2" t="str">
        <f ca="1">IFERROR(__xludf.DUMMYFUNCTION("""COMPUTED_VALUE"""),"")</f>
        <v/>
      </c>
      <c r="P187" s="2" t="str">
        <f ca="1">IFERROR(__xludf.DUMMYFUNCTION("""COMPUTED_VALUE"""),"")</f>
        <v/>
      </c>
      <c r="Q187" s="2" t="str">
        <f ca="1">IFERROR(__xludf.DUMMYFUNCTION("""COMPUTED_VALUE"""),"")</f>
        <v/>
      </c>
      <c r="R187" s="2" t="str">
        <f ca="1">IFERROR(__xludf.DUMMYFUNCTION("""COMPUTED_VALUE"""),"")</f>
        <v/>
      </c>
      <c r="S187" s="2" t="str">
        <f ca="1">IFERROR(__xludf.DUMMYFUNCTION("""COMPUTED_VALUE"""),"")</f>
        <v/>
      </c>
      <c r="T187" s="2" t="str">
        <f ca="1">IFERROR(__xludf.DUMMYFUNCTION("""COMPUTED_VALUE"""),"")</f>
        <v/>
      </c>
      <c r="U187" s="2" t="str">
        <f ca="1">IFERROR(__xludf.DUMMYFUNCTION("""COMPUTED_VALUE"""),"")</f>
        <v/>
      </c>
      <c r="V187" s="2" t="str">
        <f ca="1">IFERROR(__xludf.DUMMYFUNCTION("""COMPUTED_VALUE"""),"")</f>
        <v/>
      </c>
      <c r="W187" s="2" t="str">
        <f ca="1">IFERROR(__xludf.DUMMYFUNCTION("""COMPUTED_VALUE"""),"")</f>
        <v/>
      </c>
      <c r="X187" s="2" t="str">
        <f ca="1">IFERROR(__xludf.DUMMYFUNCTION("""COMPUTED_VALUE"""),"")</f>
        <v/>
      </c>
      <c r="Y187" s="2" t="str">
        <f ca="1">IFERROR(__xludf.DUMMYFUNCTION("""COMPUTED_VALUE"""),"")</f>
        <v/>
      </c>
      <c r="Z187" s="2" t="str">
        <f ca="1">IFERROR(__xludf.DUMMYFUNCTION("""COMPUTED_VALUE"""),"")</f>
        <v/>
      </c>
      <c r="AA187" s="2" t="str">
        <f ca="1">IFERROR(__xludf.DUMMYFUNCTION("""COMPUTED_VALUE"""),"")</f>
        <v/>
      </c>
      <c r="AB187" s="2" t="str">
        <f ca="1">IFERROR(__xludf.DUMMYFUNCTION("""COMPUTED_VALUE"""),"")</f>
        <v/>
      </c>
      <c r="AC187" s="2" t="str">
        <f ca="1">IFERROR(__xludf.DUMMYFUNCTION("""COMPUTED_VALUE"""),"")</f>
        <v/>
      </c>
      <c r="AD187" s="2" t="str">
        <f ca="1">IFERROR(__xludf.DUMMYFUNCTION("""COMPUTED_VALUE"""),"")</f>
        <v/>
      </c>
      <c r="AE187" s="2" t="str">
        <f ca="1">IFERROR(__xludf.DUMMYFUNCTION("""COMPUTED_VALUE"""),"")</f>
        <v/>
      </c>
      <c r="AF187" s="2" t="str">
        <f ca="1">IFERROR(__xludf.DUMMYFUNCTION("""COMPUTED_VALUE"""),"")</f>
        <v/>
      </c>
      <c r="AG187" s="2" t="str">
        <f ca="1">IFERROR(__xludf.DUMMYFUNCTION("""COMPUTED_VALUE"""),"")</f>
        <v/>
      </c>
      <c r="AH187" s="2" t="str">
        <f ca="1">IFERROR(__xludf.DUMMYFUNCTION("""COMPUTED_VALUE"""),"")</f>
        <v/>
      </c>
      <c r="AI187" s="2" t="str">
        <f ca="1">IFERROR(__xludf.DUMMYFUNCTION("""COMPUTED_VALUE"""),"")</f>
        <v/>
      </c>
      <c r="AJ187" s="2" t="str">
        <f ca="1">IFERROR(__xludf.DUMMYFUNCTION("""COMPUTED_VALUE"""),"")</f>
        <v/>
      </c>
      <c r="AK187" s="2" t="str">
        <f ca="1">IFERROR(__xludf.DUMMYFUNCTION("""COMPUTED_VALUE"""),"")</f>
        <v/>
      </c>
      <c r="AL187" s="2" t="str">
        <f ca="1">IFERROR(__xludf.DUMMYFUNCTION("""COMPUTED_VALUE"""),"")</f>
        <v/>
      </c>
      <c r="AM187" s="2" t="str">
        <f ca="1">IFERROR(__xludf.DUMMYFUNCTION("""COMPUTED_VALUE"""),"")</f>
        <v/>
      </c>
      <c r="AN187" s="2" t="str">
        <f ca="1">IFERROR(__xludf.DUMMYFUNCTION("""COMPUTED_VALUE"""),"")</f>
        <v/>
      </c>
      <c r="AO187" s="2" t="str">
        <f ca="1">IFERROR(__xludf.DUMMYFUNCTION("""COMPUTED_VALUE"""),"")</f>
        <v/>
      </c>
      <c r="AP187" s="2" t="str">
        <f ca="1">IFERROR(__xludf.DUMMYFUNCTION("""COMPUTED_VALUE"""),"")</f>
        <v/>
      </c>
      <c r="AQ187" s="2" t="str">
        <f ca="1">IFERROR(__xludf.DUMMYFUNCTION("""COMPUTED_VALUE"""),"")</f>
        <v/>
      </c>
      <c r="AR187" s="2" t="str">
        <f ca="1">IFERROR(__xludf.DUMMYFUNCTION("""COMPUTED_VALUE"""),"")</f>
        <v/>
      </c>
      <c r="AS187" s="2" t="str">
        <f ca="1">IFERROR(__xludf.DUMMYFUNCTION("""COMPUTED_VALUE"""),"")</f>
        <v/>
      </c>
      <c r="AT187" s="2" t="str">
        <f ca="1">IFERROR(__xludf.DUMMYFUNCTION("""COMPUTED_VALUE"""),"")</f>
        <v/>
      </c>
      <c r="AU187" s="2" t="str">
        <f ca="1">IFERROR(__xludf.DUMMYFUNCTION("""COMPUTED_VALUE"""),"")</f>
        <v/>
      </c>
      <c r="AV187" s="2" t="str">
        <f ca="1">IFERROR(__xludf.DUMMYFUNCTION("""COMPUTED_VALUE"""),"")</f>
        <v/>
      </c>
      <c r="AW187" s="2" t="str">
        <f ca="1">IFERROR(__xludf.DUMMYFUNCTION("""COMPUTED_VALUE"""),"")</f>
        <v/>
      </c>
      <c r="AX187" s="2" t="str">
        <f ca="1">IFERROR(__xludf.DUMMYFUNCTION("""COMPUTED_VALUE"""),"")</f>
        <v/>
      </c>
      <c r="AY187" s="2" t="str">
        <f ca="1">IFERROR(__xludf.DUMMYFUNCTION("""COMPUTED_VALUE"""),"")</f>
        <v/>
      </c>
      <c r="AZ187" s="2" t="str">
        <f ca="1">IFERROR(__xludf.DUMMYFUNCTION("""COMPUTED_VALUE"""),"")</f>
        <v/>
      </c>
      <c r="BA187" s="2" t="str">
        <f ca="1">IFERROR(__xludf.DUMMYFUNCTION("""COMPUTED_VALUE"""),"")</f>
        <v/>
      </c>
      <c r="BB187" s="2" t="str">
        <f ca="1">IFERROR(__xludf.DUMMYFUNCTION("""COMPUTED_VALUE"""),"")</f>
        <v/>
      </c>
      <c r="BC187" s="2" t="str">
        <f ca="1">IFERROR(__xludf.DUMMYFUNCTION("""COMPUTED_VALUE"""),"")</f>
        <v/>
      </c>
      <c r="BD187" s="2" t="str">
        <f ca="1">IFERROR(__xludf.DUMMYFUNCTION("""COMPUTED_VALUE"""),"")</f>
        <v/>
      </c>
      <c r="BE187" s="2" t="str">
        <f ca="1">IFERROR(__xludf.DUMMYFUNCTION("""COMPUTED_VALUE"""),"")</f>
        <v/>
      </c>
      <c r="BF187" t="str">
        <f ca="1">IFERROR(__xludf.DUMMYFUNCTION("""COMPUTED_VALUE"""),"")</f>
        <v/>
      </c>
      <c r="BG187" t="str">
        <f ca="1">IFERROR(__xludf.DUMMYFUNCTION("""COMPUTED_VALUE"""),"")</f>
        <v/>
      </c>
      <c r="BH187" s="2">
        <f ca="1">IFERROR(__xludf.DUMMYFUNCTION("""COMPUTED_VALUE"""),-37.3409424)</f>
        <v>-37.340942400000003</v>
      </c>
      <c r="BI187" s="12">
        <f ca="1">IFERROR(__xludf.DUMMYFUNCTION("""COMPUTED_VALUE"""),175.1683655)</f>
        <v>175.16836549999999</v>
      </c>
      <c r="BJ187" s="9">
        <f ca="1">IFERROR(__xludf.DUMMYFUNCTION("""COMPUTED_VALUE"""),43388)</f>
        <v>43388</v>
      </c>
      <c r="BK187" s="4">
        <f ca="1">IFERROR(__xludf.DUMMYFUNCTION("""COMPUTED_VALUE"""),0.958518518516939)</f>
        <v>0.95851851851693903</v>
      </c>
    </row>
    <row r="188" spans="1:63" ht="12.5" x14ac:dyDescent="0.25">
      <c r="A188" s="7" t="str">
        <f ca="1">IFERROR(__xludf.DUMMYFUNCTION("""COMPUTED_VALUE"""),"")</f>
        <v/>
      </c>
      <c r="B188" s="8" t="str">
        <f ca="1">IFERROR(__xludf.DUMMYFUNCTION("""COMPUTED_VALUE"""),"Waikato")</f>
        <v>Waikato</v>
      </c>
      <c r="C188" s="2">
        <f ca="1">IFERROR(__xludf.DUMMYFUNCTION("""COMPUTED_VALUE"""),23)</f>
        <v>23</v>
      </c>
      <c r="D188" s="9" t="str">
        <f ca="1">IFERROR(__xludf.DUMMYFUNCTION("""COMPUTED_VALUE"""),"")</f>
        <v/>
      </c>
      <c r="E188" s="4" t="str">
        <f ca="1">IFERROR(__xludf.DUMMYFUNCTION("""COMPUTED_VALUE"""),"")</f>
        <v/>
      </c>
      <c r="F188" s="2" t="str">
        <f ca="1">IFERROR(__xludf.DUMMYFUNCTION("""COMPUTED_VALUE"""),"")</f>
        <v/>
      </c>
      <c r="G188" s="2" t="str">
        <f ca="1">IFERROR(__xludf.DUMMYFUNCTION("""COMPUTED_VALUE"""),"GPS: I converted data downloaded from ARGOS using Pinpoint software")</f>
        <v>GPS: I converted data downloaded from ARGOS using Pinpoint software</v>
      </c>
      <c r="H188" s="2" t="str">
        <f ca="1">IFERROR(__xludf.DUMMYFUNCTION("""COMPUTED_VALUE"""),"3D")</f>
        <v>3D</v>
      </c>
      <c r="I188" s="2" t="str">
        <f ca="1">IFERROR(__xludf.DUMMYFUNCTION("""COMPUTED_VALUE"""),"")</f>
        <v/>
      </c>
      <c r="J188" s="2" t="str">
        <f ca="1">IFERROR(__xludf.DUMMYFUNCTION("""COMPUTED_VALUE"""),"")</f>
        <v/>
      </c>
      <c r="K188" s="2" t="str">
        <f ca="1">IFERROR(__xludf.DUMMYFUNCTION("""COMPUTED_VALUE"""),"")</f>
        <v/>
      </c>
      <c r="L188" s="2" t="str">
        <f ca="1">IFERROR(__xludf.DUMMYFUNCTION("""COMPUTED_VALUE"""),"")</f>
        <v/>
      </c>
      <c r="M188" s="5" t="str">
        <f ca="1">IFERROR(__xludf.DUMMYFUNCTION("""COMPUTED_VALUE"""),"")</f>
        <v/>
      </c>
      <c r="N188" s="5" t="str">
        <f ca="1">IFERROR(__xludf.DUMMYFUNCTION("""COMPUTED_VALUE"""),"")</f>
        <v/>
      </c>
      <c r="O188" s="2" t="str">
        <f ca="1">IFERROR(__xludf.DUMMYFUNCTION("""COMPUTED_VALUE"""),"")</f>
        <v/>
      </c>
      <c r="P188" s="2" t="str">
        <f ca="1">IFERROR(__xludf.DUMMYFUNCTION("""COMPUTED_VALUE"""),"")</f>
        <v/>
      </c>
      <c r="Q188" s="2" t="str">
        <f ca="1">IFERROR(__xludf.DUMMYFUNCTION("""COMPUTED_VALUE"""),"")</f>
        <v/>
      </c>
      <c r="R188" s="2" t="str">
        <f ca="1">IFERROR(__xludf.DUMMYFUNCTION("""COMPUTED_VALUE"""),"")</f>
        <v/>
      </c>
      <c r="S188" s="2" t="str">
        <f ca="1">IFERROR(__xludf.DUMMYFUNCTION("""COMPUTED_VALUE"""),"")</f>
        <v/>
      </c>
      <c r="T188" s="2" t="str">
        <f ca="1">IFERROR(__xludf.DUMMYFUNCTION("""COMPUTED_VALUE"""),"")</f>
        <v/>
      </c>
      <c r="U188" s="2" t="str">
        <f ca="1">IFERROR(__xludf.DUMMYFUNCTION("""COMPUTED_VALUE"""),"")</f>
        <v/>
      </c>
      <c r="V188" s="2" t="str">
        <f ca="1">IFERROR(__xludf.DUMMYFUNCTION("""COMPUTED_VALUE"""),"")</f>
        <v/>
      </c>
      <c r="W188" s="2" t="str">
        <f ca="1">IFERROR(__xludf.DUMMYFUNCTION("""COMPUTED_VALUE"""),"")</f>
        <v/>
      </c>
      <c r="X188" s="2" t="str">
        <f ca="1">IFERROR(__xludf.DUMMYFUNCTION("""COMPUTED_VALUE"""),"")</f>
        <v/>
      </c>
      <c r="Y188" s="2" t="str">
        <f ca="1">IFERROR(__xludf.DUMMYFUNCTION("""COMPUTED_VALUE"""),"")</f>
        <v/>
      </c>
      <c r="Z188" s="2" t="str">
        <f ca="1">IFERROR(__xludf.DUMMYFUNCTION("""COMPUTED_VALUE"""),"")</f>
        <v/>
      </c>
      <c r="AA188" s="2" t="str">
        <f ca="1">IFERROR(__xludf.DUMMYFUNCTION("""COMPUTED_VALUE"""),"")</f>
        <v/>
      </c>
      <c r="AB188" s="2" t="str">
        <f ca="1">IFERROR(__xludf.DUMMYFUNCTION("""COMPUTED_VALUE"""),"")</f>
        <v/>
      </c>
      <c r="AC188" s="2" t="str">
        <f ca="1">IFERROR(__xludf.DUMMYFUNCTION("""COMPUTED_VALUE"""),"")</f>
        <v/>
      </c>
      <c r="AD188" s="2" t="str">
        <f ca="1">IFERROR(__xludf.DUMMYFUNCTION("""COMPUTED_VALUE"""),"")</f>
        <v/>
      </c>
      <c r="AE188" s="2" t="str">
        <f ca="1">IFERROR(__xludf.DUMMYFUNCTION("""COMPUTED_VALUE"""),"")</f>
        <v/>
      </c>
      <c r="AF188" s="2" t="str">
        <f ca="1">IFERROR(__xludf.DUMMYFUNCTION("""COMPUTED_VALUE"""),"")</f>
        <v/>
      </c>
      <c r="AG188" s="2" t="str">
        <f ca="1">IFERROR(__xludf.DUMMYFUNCTION("""COMPUTED_VALUE"""),"")</f>
        <v/>
      </c>
      <c r="AH188" s="2" t="str">
        <f ca="1">IFERROR(__xludf.DUMMYFUNCTION("""COMPUTED_VALUE"""),"")</f>
        <v/>
      </c>
      <c r="AI188" s="2" t="str">
        <f ca="1">IFERROR(__xludf.DUMMYFUNCTION("""COMPUTED_VALUE"""),"")</f>
        <v/>
      </c>
      <c r="AJ188" s="2" t="str">
        <f ca="1">IFERROR(__xludf.DUMMYFUNCTION("""COMPUTED_VALUE"""),"")</f>
        <v/>
      </c>
      <c r="AK188" s="2" t="str">
        <f ca="1">IFERROR(__xludf.DUMMYFUNCTION("""COMPUTED_VALUE"""),"")</f>
        <v/>
      </c>
      <c r="AL188" s="2" t="str">
        <f ca="1">IFERROR(__xludf.DUMMYFUNCTION("""COMPUTED_VALUE"""),"")</f>
        <v/>
      </c>
      <c r="AM188" s="2" t="str">
        <f ca="1">IFERROR(__xludf.DUMMYFUNCTION("""COMPUTED_VALUE"""),"")</f>
        <v/>
      </c>
      <c r="AN188" s="2" t="str">
        <f ca="1">IFERROR(__xludf.DUMMYFUNCTION("""COMPUTED_VALUE"""),"")</f>
        <v/>
      </c>
      <c r="AO188" s="2" t="str">
        <f ca="1">IFERROR(__xludf.DUMMYFUNCTION("""COMPUTED_VALUE"""),"")</f>
        <v/>
      </c>
      <c r="AP188" s="2" t="str">
        <f ca="1">IFERROR(__xludf.DUMMYFUNCTION("""COMPUTED_VALUE"""),"")</f>
        <v/>
      </c>
      <c r="AQ188" s="2" t="str">
        <f ca="1">IFERROR(__xludf.DUMMYFUNCTION("""COMPUTED_VALUE"""),"")</f>
        <v/>
      </c>
      <c r="AR188" s="2" t="str">
        <f ca="1">IFERROR(__xludf.DUMMYFUNCTION("""COMPUTED_VALUE"""),"")</f>
        <v/>
      </c>
      <c r="AS188" s="2" t="str">
        <f ca="1">IFERROR(__xludf.DUMMYFUNCTION("""COMPUTED_VALUE"""),"")</f>
        <v/>
      </c>
      <c r="AT188" s="2" t="str">
        <f ca="1">IFERROR(__xludf.DUMMYFUNCTION("""COMPUTED_VALUE"""),"")</f>
        <v/>
      </c>
      <c r="AU188" s="2" t="str">
        <f ca="1">IFERROR(__xludf.DUMMYFUNCTION("""COMPUTED_VALUE"""),"")</f>
        <v/>
      </c>
      <c r="AV188" s="2" t="str">
        <f ca="1">IFERROR(__xludf.DUMMYFUNCTION("""COMPUTED_VALUE"""),"")</f>
        <v/>
      </c>
      <c r="AW188" s="2" t="str">
        <f ca="1">IFERROR(__xludf.DUMMYFUNCTION("""COMPUTED_VALUE"""),"")</f>
        <v/>
      </c>
      <c r="AX188" s="2" t="str">
        <f ca="1">IFERROR(__xludf.DUMMYFUNCTION("""COMPUTED_VALUE"""),"")</f>
        <v/>
      </c>
      <c r="AY188" s="2" t="str">
        <f ca="1">IFERROR(__xludf.DUMMYFUNCTION("""COMPUTED_VALUE"""),"")</f>
        <v/>
      </c>
      <c r="AZ188" s="2" t="str">
        <f ca="1">IFERROR(__xludf.DUMMYFUNCTION("""COMPUTED_VALUE"""),"")</f>
        <v/>
      </c>
      <c r="BA188" s="2" t="str">
        <f ca="1">IFERROR(__xludf.DUMMYFUNCTION("""COMPUTED_VALUE"""),"")</f>
        <v/>
      </c>
      <c r="BB188" s="2" t="str">
        <f ca="1">IFERROR(__xludf.DUMMYFUNCTION("""COMPUTED_VALUE"""),"")</f>
        <v/>
      </c>
      <c r="BC188" s="2" t="str">
        <f ca="1">IFERROR(__xludf.DUMMYFUNCTION("""COMPUTED_VALUE"""),"")</f>
        <v/>
      </c>
      <c r="BD188" s="2" t="str">
        <f ca="1">IFERROR(__xludf.DUMMYFUNCTION("""COMPUTED_VALUE"""),"")</f>
        <v/>
      </c>
      <c r="BE188" s="2" t="str">
        <f ca="1">IFERROR(__xludf.DUMMYFUNCTION("""COMPUTED_VALUE"""),"")</f>
        <v/>
      </c>
      <c r="BF188" t="str">
        <f ca="1">IFERROR(__xludf.DUMMYFUNCTION("""COMPUTED_VALUE"""),"")</f>
        <v/>
      </c>
      <c r="BG188" t="str">
        <f ca="1">IFERROR(__xludf.DUMMYFUNCTION("""COMPUTED_VALUE"""),"")</f>
        <v/>
      </c>
      <c r="BH188" s="2">
        <f ca="1">IFERROR(__xludf.DUMMYFUNCTION("""COMPUTED_VALUE"""),-37.3393288)</f>
        <v>-37.339328799999997</v>
      </c>
      <c r="BI188" s="13">
        <f ca="1">IFERROR(__xludf.DUMMYFUNCTION("""COMPUTED_VALUE"""),175.166275)</f>
        <v>175.16627500000001</v>
      </c>
      <c r="BJ188" s="9">
        <f ca="1">IFERROR(__xludf.DUMMYFUNCTION("""COMPUTED_VALUE"""),43390)</f>
        <v>43390</v>
      </c>
      <c r="BK188" s="4">
        <f ca="1">IFERROR(__xludf.DUMMYFUNCTION("""COMPUTED_VALUE"""),0.457777777777664)</f>
        <v>0.45777777777766399</v>
      </c>
    </row>
    <row r="189" spans="1:63" ht="12.5" x14ac:dyDescent="0.25">
      <c r="A189" s="7" t="str">
        <f ca="1">IFERROR(__xludf.DUMMYFUNCTION("""COMPUTED_VALUE"""),"")</f>
        <v/>
      </c>
      <c r="B189" s="8" t="str">
        <f ca="1">IFERROR(__xludf.DUMMYFUNCTION("""COMPUTED_VALUE"""),"Waikato")</f>
        <v>Waikato</v>
      </c>
      <c r="C189" s="2">
        <f ca="1">IFERROR(__xludf.DUMMYFUNCTION("""COMPUTED_VALUE"""),23)</f>
        <v>23</v>
      </c>
      <c r="D189" s="9" t="str">
        <f ca="1">IFERROR(__xludf.DUMMYFUNCTION("""COMPUTED_VALUE"""),"")</f>
        <v/>
      </c>
      <c r="E189" s="4" t="str">
        <f ca="1">IFERROR(__xludf.DUMMYFUNCTION("""COMPUTED_VALUE"""),"")</f>
        <v/>
      </c>
      <c r="F189" s="2" t="str">
        <f ca="1">IFERROR(__xludf.DUMMYFUNCTION("""COMPUTED_VALUE"""),"")</f>
        <v/>
      </c>
      <c r="G189" s="2" t="str">
        <f ca="1">IFERROR(__xludf.DUMMYFUNCTION("""COMPUTED_VALUE"""),"GPS: I converted data downloaded from ARGOS using Pinpoint software")</f>
        <v>GPS: I converted data downloaded from ARGOS using Pinpoint software</v>
      </c>
      <c r="H189" s="2" t="str">
        <f ca="1">IFERROR(__xludf.DUMMYFUNCTION("""COMPUTED_VALUE"""),"3D")</f>
        <v>3D</v>
      </c>
      <c r="I189" s="2" t="str">
        <f ca="1">IFERROR(__xludf.DUMMYFUNCTION("""COMPUTED_VALUE"""),"")</f>
        <v/>
      </c>
      <c r="J189" s="2" t="str">
        <f ca="1">IFERROR(__xludf.DUMMYFUNCTION("""COMPUTED_VALUE"""),"")</f>
        <v/>
      </c>
      <c r="K189" s="2" t="str">
        <f ca="1">IFERROR(__xludf.DUMMYFUNCTION("""COMPUTED_VALUE"""),"")</f>
        <v/>
      </c>
      <c r="L189" s="2" t="str">
        <f ca="1">IFERROR(__xludf.DUMMYFUNCTION("""COMPUTED_VALUE"""),"")</f>
        <v/>
      </c>
      <c r="M189" s="5" t="str">
        <f ca="1">IFERROR(__xludf.DUMMYFUNCTION("""COMPUTED_VALUE"""),"")</f>
        <v/>
      </c>
      <c r="N189" s="5" t="str">
        <f ca="1">IFERROR(__xludf.DUMMYFUNCTION("""COMPUTED_VALUE"""),"")</f>
        <v/>
      </c>
      <c r="O189" s="2" t="str">
        <f ca="1">IFERROR(__xludf.DUMMYFUNCTION("""COMPUTED_VALUE"""),"")</f>
        <v/>
      </c>
      <c r="P189" s="2" t="str">
        <f ca="1">IFERROR(__xludf.DUMMYFUNCTION("""COMPUTED_VALUE"""),"")</f>
        <v/>
      </c>
      <c r="Q189" s="2" t="str">
        <f ca="1">IFERROR(__xludf.DUMMYFUNCTION("""COMPUTED_VALUE"""),"")</f>
        <v/>
      </c>
      <c r="R189" s="2" t="str">
        <f ca="1">IFERROR(__xludf.DUMMYFUNCTION("""COMPUTED_VALUE"""),"")</f>
        <v/>
      </c>
      <c r="S189" s="2" t="str">
        <f ca="1">IFERROR(__xludf.DUMMYFUNCTION("""COMPUTED_VALUE"""),"")</f>
        <v/>
      </c>
      <c r="T189" s="2" t="str">
        <f ca="1">IFERROR(__xludf.DUMMYFUNCTION("""COMPUTED_VALUE"""),"")</f>
        <v/>
      </c>
      <c r="U189" s="2" t="str">
        <f ca="1">IFERROR(__xludf.DUMMYFUNCTION("""COMPUTED_VALUE"""),"")</f>
        <v/>
      </c>
      <c r="V189" s="2" t="str">
        <f ca="1">IFERROR(__xludf.DUMMYFUNCTION("""COMPUTED_VALUE"""),"")</f>
        <v/>
      </c>
      <c r="W189" s="2" t="str">
        <f ca="1">IFERROR(__xludf.DUMMYFUNCTION("""COMPUTED_VALUE"""),"")</f>
        <v/>
      </c>
      <c r="X189" s="2" t="str">
        <f ca="1">IFERROR(__xludf.DUMMYFUNCTION("""COMPUTED_VALUE"""),"")</f>
        <v/>
      </c>
      <c r="Y189" s="2" t="str">
        <f ca="1">IFERROR(__xludf.DUMMYFUNCTION("""COMPUTED_VALUE"""),"")</f>
        <v/>
      </c>
      <c r="Z189" s="2" t="str">
        <f ca="1">IFERROR(__xludf.DUMMYFUNCTION("""COMPUTED_VALUE"""),"")</f>
        <v/>
      </c>
      <c r="AA189" s="2" t="str">
        <f ca="1">IFERROR(__xludf.DUMMYFUNCTION("""COMPUTED_VALUE"""),"")</f>
        <v/>
      </c>
      <c r="AB189" s="2" t="str">
        <f ca="1">IFERROR(__xludf.DUMMYFUNCTION("""COMPUTED_VALUE"""),"")</f>
        <v/>
      </c>
      <c r="AC189" s="2" t="str">
        <f ca="1">IFERROR(__xludf.DUMMYFUNCTION("""COMPUTED_VALUE"""),"")</f>
        <v/>
      </c>
      <c r="AD189" s="2" t="str">
        <f ca="1">IFERROR(__xludf.DUMMYFUNCTION("""COMPUTED_VALUE"""),"")</f>
        <v/>
      </c>
      <c r="AE189" s="2" t="str">
        <f ca="1">IFERROR(__xludf.DUMMYFUNCTION("""COMPUTED_VALUE"""),"")</f>
        <v/>
      </c>
      <c r="AF189" s="2" t="str">
        <f ca="1">IFERROR(__xludf.DUMMYFUNCTION("""COMPUTED_VALUE"""),"")</f>
        <v/>
      </c>
      <c r="AG189" s="2" t="str">
        <f ca="1">IFERROR(__xludf.DUMMYFUNCTION("""COMPUTED_VALUE"""),"")</f>
        <v/>
      </c>
      <c r="AH189" s="2" t="str">
        <f ca="1">IFERROR(__xludf.DUMMYFUNCTION("""COMPUTED_VALUE"""),"")</f>
        <v/>
      </c>
      <c r="AI189" s="2" t="str">
        <f ca="1">IFERROR(__xludf.DUMMYFUNCTION("""COMPUTED_VALUE"""),"")</f>
        <v/>
      </c>
      <c r="AJ189" s="2" t="str">
        <f ca="1">IFERROR(__xludf.DUMMYFUNCTION("""COMPUTED_VALUE"""),"")</f>
        <v/>
      </c>
      <c r="AK189" s="2" t="str">
        <f ca="1">IFERROR(__xludf.DUMMYFUNCTION("""COMPUTED_VALUE"""),"")</f>
        <v/>
      </c>
      <c r="AL189" s="2" t="str">
        <f ca="1">IFERROR(__xludf.DUMMYFUNCTION("""COMPUTED_VALUE"""),"")</f>
        <v/>
      </c>
      <c r="AM189" s="2" t="str">
        <f ca="1">IFERROR(__xludf.DUMMYFUNCTION("""COMPUTED_VALUE"""),"")</f>
        <v/>
      </c>
      <c r="AN189" s="2" t="str">
        <f ca="1">IFERROR(__xludf.DUMMYFUNCTION("""COMPUTED_VALUE"""),"")</f>
        <v/>
      </c>
      <c r="AO189" s="2" t="str">
        <f ca="1">IFERROR(__xludf.DUMMYFUNCTION("""COMPUTED_VALUE"""),"")</f>
        <v/>
      </c>
      <c r="AP189" s="2" t="str">
        <f ca="1">IFERROR(__xludf.DUMMYFUNCTION("""COMPUTED_VALUE"""),"")</f>
        <v/>
      </c>
      <c r="AQ189" s="2" t="str">
        <f ca="1">IFERROR(__xludf.DUMMYFUNCTION("""COMPUTED_VALUE"""),"")</f>
        <v/>
      </c>
      <c r="AR189" s="2" t="str">
        <f ca="1">IFERROR(__xludf.DUMMYFUNCTION("""COMPUTED_VALUE"""),"")</f>
        <v/>
      </c>
      <c r="AS189" s="2" t="str">
        <f ca="1">IFERROR(__xludf.DUMMYFUNCTION("""COMPUTED_VALUE"""),"")</f>
        <v/>
      </c>
      <c r="AT189" s="2" t="str">
        <f ca="1">IFERROR(__xludf.DUMMYFUNCTION("""COMPUTED_VALUE"""),"")</f>
        <v/>
      </c>
      <c r="AU189" s="2" t="str">
        <f ca="1">IFERROR(__xludf.DUMMYFUNCTION("""COMPUTED_VALUE"""),"")</f>
        <v/>
      </c>
      <c r="AV189" s="2" t="str">
        <f ca="1">IFERROR(__xludf.DUMMYFUNCTION("""COMPUTED_VALUE"""),"")</f>
        <v/>
      </c>
      <c r="AW189" s="2" t="str">
        <f ca="1">IFERROR(__xludf.DUMMYFUNCTION("""COMPUTED_VALUE"""),"")</f>
        <v/>
      </c>
      <c r="AX189" s="2" t="str">
        <f ca="1">IFERROR(__xludf.DUMMYFUNCTION("""COMPUTED_VALUE"""),"")</f>
        <v/>
      </c>
      <c r="AY189" s="2" t="str">
        <f ca="1">IFERROR(__xludf.DUMMYFUNCTION("""COMPUTED_VALUE"""),"")</f>
        <v/>
      </c>
      <c r="AZ189" s="2" t="str">
        <f ca="1">IFERROR(__xludf.DUMMYFUNCTION("""COMPUTED_VALUE"""),"")</f>
        <v/>
      </c>
      <c r="BA189" s="2" t="str">
        <f ca="1">IFERROR(__xludf.DUMMYFUNCTION("""COMPUTED_VALUE"""),"")</f>
        <v/>
      </c>
      <c r="BB189" s="2" t="str">
        <f ca="1">IFERROR(__xludf.DUMMYFUNCTION("""COMPUTED_VALUE"""),"")</f>
        <v/>
      </c>
      <c r="BC189" s="2" t="str">
        <f ca="1">IFERROR(__xludf.DUMMYFUNCTION("""COMPUTED_VALUE"""),"")</f>
        <v/>
      </c>
      <c r="BD189" s="2" t="str">
        <f ca="1">IFERROR(__xludf.DUMMYFUNCTION("""COMPUTED_VALUE"""),"")</f>
        <v/>
      </c>
      <c r="BE189" s="2" t="str">
        <f ca="1">IFERROR(__xludf.DUMMYFUNCTION("""COMPUTED_VALUE"""),"")</f>
        <v/>
      </c>
      <c r="BF189" t="str">
        <f ca="1">IFERROR(__xludf.DUMMYFUNCTION("""COMPUTED_VALUE"""),"")</f>
        <v/>
      </c>
      <c r="BG189" t="str">
        <f ca="1">IFERROR(__xludf.DUMMYFUNCTION("""COMPUTED_VALUE"""),"")</f>
        <v/>
      </c>
      <c r="BH189" s="2">
        <f ca="1">IFERROR(__xludf.DUMMYFUNCTION("""COMPUTED_VALUE"""),-37.3395309)</f>
        <v>-37.3395309</v>
      </c>
      <c r="BI189" s="12">
        <f ca="1">IFERROR(__xludf.DUMMYFUNCTION("""COMPUTED_VALUE"""),175.1659393)</f>
        <v>175.16593929999999</v>
      </c>
      <c r="BJ189" s="9">
        <f ca="1">IFERROR(__xludf.DUMMYFUNCTION("""COMPUTED_VALUE"""),43392)</f>
        <v>43392</v>
      </c>
      <c r="BK189" s="4">
        <f ca="1">IFERROR(__xludf.DUMMYFUNCTION("""COMPUTED_VALUE"""),0.457777777777664)</f>
        <v>0.45777777777766399</v>
      </c>
    </row>
    <row r="190" spans="1:63" ht="12.5" x14ac:dyDescent="0.25">
      <c r="A190" s="7" t="str">
        <f ca="1">IFERROR(__xludf.DUMMYFUNCTION("""COMPUTED_VALUE"""),"")</f>
        <v/>
      </c>
      <c r="B190" s="8" t="str">
        <f ca="1">IFERROR(__xludf.DUMMYFUNCTION("""COMPUTED_VALUE"""),"Waikato")</f>
        <v>Waikato</v>
      </c>
      <c r="C190" s="2">
        <f ca="1">IFERROR(__xludf.DUMMYFUNCTION("""COMPUTED_VALUE"""),23)</f>
        <v>23</v>
      </c>
      <c r="D190" s="9" t="str">
        <f ca="1">IFERROR(__xludf.DUMMYFUNCTION("""COMPUTED_VALUE"""),"")</f>
        <v/>
      </c>
      <c r="E190" s="4" t="str">
        <f ca="1">IFERROR(__xludf.DUMMYFUNCTION("""COMPUTED_VALUE"""),"")</f>
        <v/>
      </c>
      <c r="F190" s="2" t="str">
        <f ca="1">IFERROR(__xludf.DUMMYFUNCTION("""COMPUTED_VALUE"""),"")</f>
        <v/>
      </c>
      <c r="G190" s="2" t="str">
        <f ca="1">IFERROR(__xludf.DUMMYFUNCTION("""COMPUTED_VALUE"""),"GPS: I converted data downloaded from ARGOS using Pinpoint software")</f>
        <v>GPS: I converted data downloaded from ARGOS using Pinpoint software</v>
      </c>
      <c r="H190" s="2" t="str">
        <f ca="1">IFERROR(__xludf.DUMMYFUNCTION("""COMPUTED_VALUE"""),"3D")</f>
        <v>3D</v>
      </c>
      <c r="I190" s="2" t="str">
        <f ca="1">IFERROR(__xludf.DUMMYFUNCTION("""COMPUTED_VALUE"""),"")</f>
        <v/>
      </c>
      <c r="J190" s="2" t="str">
        <f ca="1">IFERROR(__xludf.DUMMYFUNCTION("""COMPUTED_VALUE"""),"")</f>
        <v/>
      </c>
      <c r="K190" s="2" t="str">
        <f ca="1">IFERROR(__xludf.DUMMYFUNCTION("""COMPUTED_VALUE"""),"")</f>
        <v/>
      </c>
      <c r="L190" s="2" t="str">
        <f ca="1">IFERROR(__xludf.DUMMYFUNCTION("""COMPUTED_VALUE"""),"")</f>
        <v/>
      </c>
      <c r="M190" s="5" t="str">
        <f ca="1">IFERROR(__xludf.DUMMYFUNCTION("""COMPUTED_VALUE"""),"")</f>
        <v/>
      </c>
      <c r="N190" s="5" t="str">
        <f ca="1">IFERROR(__xludf.DUMMYFUNCTION("""COMPUTED_VALUE"""),"")</f>
        <v/>
      </c>
      <c r="O190" s="2" t="str">
        <f ca="1">IFERROR(__xludf.DUMMYFUNCTION("""COMPUTED_VALUE"""),"")</f>
        <v/>
      </c>
      <c r="P190" s="2" t="str">
        <f ca="1">IFERROR(__xludf.DUMMYFUNCTION("""COMPUTED_VALUE"""),"")</f>
        <v/>
      </c>
      <c r="Q190" s="2" t="str">
        <f ca="1">IFERROR(__xludf.DUMMYFUNCTION("""COMPUTED_VALUE"""),"")</f>
        <v/>
      </c>
      <c r="R190" s="2" t="str">
        <f ca="1">IFERROR(__xludf.DUMMYFUNCTION("""COMPUTED_VALUE"""),"")</f>
        <v/>
      </c>
      <c r="S190" s="2" t="str">
        <f ca="1">IFERROR(__xludf.DUMMYFUNCTION("""COMPUTED_VALUE"""),"")</f>
        <v/>
      </c>
      <c r="T190" s="2" t="str">
        <f ca="1">IFERROR(__xludf.DUMMYFUNCTION("""COMPUTED_VALUE"""),"")</f>
        <v/>
      </c>
      <c r="U190" s="2" t="str">
        <f ca="1">IFERROR(__xludf.DUMMYFUNCTION("""COMPUTED_VALUE"""),"")</f>
        <v/>
      </c>
      <c r="V190" s="2" t="str">
        <f ca="1">IFERROR(__xludf.DUMMYFUNCTION("""COMPUTED_VALUE"""),"")</f>
        <v/>
      </c>
      <c r="W190" s="2" t="str">
        <f ca="1">IFERROR(__xludf.DUMMYFUNCTION("""COMPUTED_VALUE"""),"")</f>
        <v/>
      </c>
      <c r="X190" s="2" t="str">
        <f ca="1">IFERROR(__xludf.DUMMYFUNCTION("""COMPUTED_VALUE"""),"")</f>
        <v/>
      </c>
      <c r="Y190" s="2" t="str">
        <f ca="1">IFERROR(__xludf.DUMMYFUNCTION("""COMPUTED_VALUE"""),"")</f>
        <v/>
      </c>
      <c r="Z190" s="2" t="str">
        <f ca="1">IFERROR(__xludf.DUMMYFUNCTION("""COMPUTED_VALUE"""),"")</f>
        <v/>
      </c>
      <c r="AA190" s="2" t="str">
        <f ca="1">IFERROR(__xludf.DUMMYFUNCTION("""COMPUTED_VALUE"""),"")</f>
        <v/>
      </c>
      <c r="AB190" s="2" t="str">
        <f ca="1">IFERROR(__xludf.DUMMYFUNCTION("""COMPUTED_VALUE"""),"")</f>
        <v/>
      </c>
      <c r="AC190" s="2" t="str">
        <f ca="1">IFERROR(__xludf.DUMMYFUNCTION("""COMPUTED_VALUE"""),"")</f>
        <v/>
      </c>
      <c r="AD190" s="2" t="str">
        <f ca="1">IFERROR(__xludf.DUMMYFUNCTION("""COMPUTED_VALUE"""),"")</f>
        <v/>
      </c>
      <c r="AE190" s="2" t="str">
        <f ca="1">IFERROR(__xludf.DUMMYFUNCTION("""COMPUTED_VALUE"""),"")</f>
        <v/>
      </c>
      <c r="AF190" s="2" t="str">
        <f ca="1">IFERROR(__xludf.DUMMYFUNCTION("""COMPUTED_VALUE"""),"")</f>
        <v/>
      </c>
      <c r="AG190" s="2" t="str">
        <f ca="1">IFERROR(__xludf.DUMMYFUNCTION("""COMPUTED_VALUE"""),"")</f>
        <v/>
      </c>
      <c r="AH190" s="2" t="str">
        <f ca="1">IFERROR(__xludf.DUMMYFUNCTION("""COMPUTED_VALUE"""),"")</f>
        <v/>
      </c>
      <c r="AI190" s="2" t="str">
        <f ca="1">IFERROR(__xludf.DUMMYFUNCTION("""COMPUTED_VALUE"""),"")</f>
        <v/>
      </c>
      <c r="AJ190" s="2" t="str">
        <f ca="1">IFERROR(__xludf.DUMMYFUNCTION("""COMPUTED_VALUE"""),"")</f>
        <v/>
      </c>
      <c r="AK190" s="2" t="str">
        <f ca="1">IFERROR(__xludf.DUMMYFUNCTION("""COMPUTED_VALUE"""),"")</f>
        <v/>
      </c>
      <c r="AL190" s="2" t="str">
        <f ca="1">IFERROR(__xludf.DUMMYFUNCTION("""COMPUTED_VALUE"""),"")</f>
        <v/>
      </c>
      <c r="AM190" s="2" t="str">
        <f ca="1">IFERROR(__xludf.DUMMYFUNCTION("""COMPUTED_VALUE"""),"")</f>
        <v/>
      </c>
      <c r="AN190" s="2" t="str">
        <f ca="1">IFERROR(__xludf.DUMMYFUNCTION("""COMPUTED_VALUE"""),"")</f>
        <v/>
      </c>
      <c r="AO190" s="2" t="str">
        <f ca="1">IFERROR(__xludf.DUMMYFUNCTION("""COMPUTED_VALUE"""),"")</f>
        <v/>
      </c>
      <c r="AP190" s="2" t="str">
        <f ca="1">IFERROR(__xludf.DUMMYFUNCTION("""COMPUTED_VALUE"""),"")</f>
        <v/>
      </c>
      <c r="AQ190" s="2" t="str">
        <f ca="1">IFERROR(__xludf.DUMMYFUNCTION("""COMPUTED_VALUE"""),"")</f>
        <v/>
      </c>
      <c r="AR190" s="2" t="str">
        <f ca="1">IFERROR(__xludf.DUMMYFUNCTION("""COMPUTED_VALUE"""),"")</f>
        <v/>
      </c>
      <c r="AS190" s="2" t="str">
        <f ca="1">IFERROR(__xludf.DUMMYFUNCTION("""COMPUTED_VALUE"""),"")</f>
        <v/>
      </c>
      <c r="AT190" s="2" t="str">
        <f ca="1">IFERROR(__xludf.DUMMYFUNCTION("""COMPUTED_VALUE"""),"")</f>
        <v/>
      </c>
      <c r="AU190" s="2" t="str">
        <f ca="1">IFERROR(__xludf.DUMMYFUNCTION("""COMPUTED_VALUE"""),"")</f>
        <v/>
      </c>
      <c r="AV190" s="2" t="str">
        <f ca="1">IFERROR(__xludf.DUMMYFUNCTION("""COMPUTED_VALUE"""),"")</f>
        <v/>
      </c>
      <c r="AW190" s="2" t="str">
        <f ca="1">IFERROR(__xludf.DUMMYFUNCTION("""COMPUTED_VALUE"""),"")</f>
        <v/>
      </c>
      <c r="AX190" s="2" t="str">
        <f ca="1">IFERROR(__xludf.DUMMYFUNCTION("""COMPUTED_VALUE"""),"")</f>
        <v/>
      </c>
      <c r="AY190" s="2" t="str">
        <f ca="1">IFERROR(__xludf.DUMMYFUNCTION("""COMPUTED_VALUE"""),"")</f>
        <v/>
      </c>
      <c r="AZ190" s="2" t="str">
        <f ca="1">IFERROR(__xludf.DUMMYFUNCTION("""COMPUTED_VALUE"""),"")</f>
        <v/>
      </c>
      <c r="BA190" s="2" t="str">
        <f ca="1">IFERROR(__xludf.DUMMYFUNCTION("""COMPUTED_VALUE"""),"")</f>
        <v/>
      </c>
      <c r="BB190" s="2" t="str">
        <f ca="1">IFERROR(__xludf.DUMMYFUNCTION("""COMPUTED_VALUE"""),"")</f>
        <v/>
      </c>
      <c r="BC190" s="2" t="str">
        <f ca="1">IFERROR(__xludf.DUMMYFUNCTION("""COMPUTED_VALUE"""),"")</f>
        <v/>
      </c>
      <c r="BD190" s="2" t="str">
        <f ca="1">IFERROR(__xludf.DUMMYFUNCTION("""COMPUTED_VALUE"""),"")</f>
        <v/>
      </c>
      <c r="BE190" s="2" t="str">
        <f ca="1">IFERROR(__xludf.DUMMYFUNCTION("""COMPUTED_VALUE"""),"")</f>
        <v/>
      </c>
      <c r="BF190" t="str">
        <f ca="1">IFERROR(__xludf.DUMMYFUNCTION("""COMPUTED_VALUE"""),"")</f>
        <v/>
      </c>
      <c r="BG190" t="str">
        <f ca="1">IFERROR(__xludf.DUMMYFUNCTION("""COMPUTED_VALUE"""),"")</f>
        <v/>
      </c>
      <c r="BH190" s="2">
        <f ca="1">IFERROR(__xludf.DUMMYFUNCTION("""COMPUTED_VALUE"""),-37.3436813)</f>
        <v>-37.3436813</v>
      </c>
      <c r="BI190" s="13">
        <f ca="1">IFERROR(__xludf.DUMMYFUNCTION("""COMPUTED_VALUE"""),175.1746368)</f>
        <v>175.1746368</v>
      </c>
      <c r="BJ190" s="9">
        <f ca="1">IFERROR(__xludf.DUMMYFUNCTION("""COMPUTED_VALUE"""),43392)</f>
        <v>43392</v>
      </c>
      <c r="BK190" s="4">
        <f ca="1">IFERROR(__xludf.DUMMYFUNCTION("""COMPUTED_VALUE"""),0.875555555554456)</f>
        <v>0.87555555555445597</v>
      </c>
    </row>
    <row r="191" spans="1:63" ht="12.5" x14ac:dyDescent="0.25">
      <c r="A191" s="7" t="str">
        <f ca="1">IFERROR(__xludf.DUMMYFUNCTION("""COMPUTED_VALUE"""),"")</f>
        <v/>
      </c>
      <c r="B191" s="8" t="str">
        <f ca="1">IFERROR(__xludf.DUMMYFUNCTION("""COMPUTED_VALUE"""),"Waikato")</f>
        <v>Waikato</v>
      </c>
      <c r="C191" s="2">
        <f ca="1">IFERROR(__xludf.DUMMYFUNCTION("""COMPUTED_VALUE"""),23)</f>
        <v>23</v>
      </c>
      <c r="D191" s="9" t="str">
        <f ca="1">IFERROR(__xludf.DUMMYFUNCTION("""COMPUTED_VALUE"""),"")</f>
        <v/>
      </c>
      <c r="E191" s="4" t="str">
        <f ca="1">IFERROR(__xludf.DUMMYFUNCTION("""COMPUTED_VALUE"""),"")</f>
        <v/>
      </c>
      <c r="F191" s="2" t="str">
        <f ca="1">IFERROR(__xludf.DUMMYFUNCTION("""COMPUTED_VALUE"""),"")</f>
        <v/>
      </c>
      <c r="G191" s="2" t="str">
        <f ca="1">IFERROR(__xludf.DUMMYFUNCTION("""COMPUTED_VALUE"""),"GPS: I converted data downloaded from ARGOS using Pinpoint software")</f>
        <v>GPS: I converted data downloaded from ARGOS using Pinpoint software</v>
      </c>
      <c r="H191" s="2" t="str">
        <f ca="1">IFERROR(__xludf.DUMMYFUNCTION("""COMPUTED_VALUE"""),"3D")</f>
        <v>3D</v>
      </c>
      <c r="I191" s="2" t="str">
        <f ca="1">IFERROR(__xludf.DUMMYFUNCTION("""COMPUTED_VALUE"""),"")</f>
        <v/>
      </c>
      <c r="J191" s="2" t="str">
        <f ca="1">IFERROR(__xludf.DUMMYFUNCTION("""COMPUTED_VALUE"""),"")</f>
        <v/>
      </c>
      <c r="K191" s="2" t="str">
        <f ca="1">IFERROR(__xludf.DUMMYFUNCTION("""COMPUTED_VALUE"""),"")</f>
        <v/>
      </c>
      <c r="L191" s="2" t="str">
        <f ca="1">IFERROR(__xludf.DUMMYFUNCTION("""COMPUTED_VALUE"""),"")</f>
        <v/>
      </c>
      <c r="M191" s="5" t="str">
        <f ca="1">IFERROR(__xludf.DUMMYFUNCTION("""COMPUTED_VALUE"""),"")</f>
        <v/>
      </c>
      <c r="N191" s="5" t="str">
        <f ca="1">IFERROR(__xludf.DUMMYFUNCTION("""COMPUTED_VALUE"""),"")</f>
        <v/>
      </c>
      <c r="O191" s="2" t="str">
        <f ca="1">IFERROR(__xludf.DUMMYFUNCTION("""COMPUTED_VALUE"""),"")</f>
        <v/>
      </c>
      <c r="P191" s="2" t="str">
        <f ca="1">IFERROR(__xludf.DUMMYFUNCTION("""COMPUTED_VALUE"""),"")</f>
        <v/>
      </c>
      <c r="Q191" s="2" t="str">
        <f ca="1">IFERROR(__xludf.DUMMYFUNCTION("""COMPUTED_VALUE"""),"")</f>
        <v/>
      </c>
      <c r="R191" s="2" t="str">
        <f ca="1">IFERROR(__xludf.DUMMYFUNCTION("""COMPUTED_VALUE"""),"")</f>
        <v/>
      </c>
      <c r="S191" s="2" t="str">
        <f ca="1">IFERROR(__xludf.DUMMYFUNCTION("""COMPUTED_VALUE"""),"")</f>
        <v/>
      </c>
      <c r="T191" s="2" t="str">
        <f ca="1">IFERROR(__xludf.DUMMYFUNCTION("""COMPUTED_VALUE"""),"")</f>
        <v/>
      </c>
      <c r="U191" s="2" t="str">
        <f ca="1">IFERROR(__xludf.DUMMYFUNCTION("""COMPUTED_VALUE"""),"")</f>
        <v/>
      </c>
      <c r="V191" s="2" t="str">
        <f ca="1">IFERROR(__xludf.DUMMYFUNCTION("""COMPUTED_VALUE"""),"")</f>
        <v/>
      </c>
      <c r="W191" s="2" t="str">
        <f ca="1">IFERROR(__xludf.DUMMYFUNCTION("""COMPUTED_VALUE"""),"")</f>
        <v/>
      </c>
      <c r="X191" s="2" t="str">
        <f ca="1">IFERROR(__xludf.DUMMYFUNCTION("""COMPUTED_VALUE"""),"")</f>
        <v/>
      </c>
      <c r="Y191" s="2" t="str">
        <f ca="1">IFERROR(__xludf.DUMMYFUNCTION("""COMPUTED_VALUE"""),"")</f>
        <v/>
      </c>
      <c r="Z191" s="2" t="str">
        <f ca="1">IFERROR(__xludf.DUMMYFUNCTION("""COMPUTED_VALUE"""),"")</f>
        <v/>
      </c>
      <c r="AA191" s="2" t="str">
        <f ca="1">IFERROR(__xludf.DUMMYFUNCTION("""COMPUTED_VALUE"""),"")</f>
        <v/>
      </c>
      <c r="AB191" s="2" t="str">
        <f ca="1">IFERROR(__xludf.DUMMYFUNCTION("""COMPUTED_VALUE"""),"")</f>
        <v/>
      </c>
      <c r="AC191" s="2" t="str">
        <f ca="1">IFERROR(__xludf.DUMMYFUNCTION("""COMPUTED_VALUE"""),"")</f>
        <v/>
      </c>
      <c r="AD191" s="2" t="str">
        <f ca="1">IFERROR(__xludf.DUMMYFUNCTION("""COMPUTED_VALUE"""),"")</f>
        <v/>
      </c>
      <c r="AE191" s="2" t="str">
        <f ca="1">IFERROR(__xludf.DUMMYFUNCTION("""COMPUTED_VALUE"""),"")</f>
        <v/>
      </c>
      <c r="AF191" s="2" t="str">
        <f ca="1">IFERROR(__xludf.DUMMYFUNCTION("""COMPUTED_VALUE"""),"")</f>
        <v/>
      </c>
      <c r="AG191" s="2" t="str">
        <f ca="1">IFERROR(__xludf.DUMMYFUNCTION("""COMPUTED_VALUE"""),"")</f>
        <v/>
      </c>
      <c r="AH191" s="2" t="str">
        <f ca="1">IFERROR(__xludf.DUMMYFUNCTION("""COMPUTED_VALUE"""),"")</f>
        <v/>
      </c>
      <c r="AI191" s="2" t="str">
        <f ca="1">IFERROR(__xludf.DUMMYFUNCTION("""COMPUTED_VALUE"""),"")</f>
        <v/>
      </c>
      <c r="AJ191" s="2" t="str">
        <f ca="1">IFERROR(__xludf.DUMMYFUNCTION("""COMPUTED_VALUE"""),"")</f>
        <v/>
      </c>
      <c r="AK191" s="2" t="str">
        <f ca="1">IFERROR(__xludf.DUMMYFUNCTION("""COMPUTED_VALUE"""),"")</f>
        <v/>
      </c>
      <c r="AL191" s="2" t="str">
        <f ca="1">IFERROR(__xludf.DUMMYFUNCTION("""COMPUTED_VALUE"""),"")</f>
        <v/>
      </c>
      <c r="AM191" s="2" t="str">
        <f ca="1">IFERROR(__xludf.DUMMYFUNCTION("""COMPUTED_VALUE"""),"")</f>
        <v/>
      </c>
      <c r="AN191" s="2" t="str">
        <f ca="1">IFERROR(__xludf.DUMMYFUNCTION("""COMPUTED_VALUE"""),"")</f>
        <v/>
      </c>
      <c r="AO191" s="2" t="str">
        <f ca="1">IFERROR(__xludf.DUMMYFUNCTION("""COMPUTED_VALUE"""),"")</f>
        <v/>
      </c>
      <c r="AP191" s="2" t="str">
        <f ca="1">IFERROR(__xludf.DUMMYFUNCTION("""COMPUTED_VALUE"""),"")</f>
        <v/>
      </c>
      <c r="AQ191" s="2" t="str">
        <f ca="1">IFERROR(__xludf.DUMMYFUNCTION("""COMPUTED_VALUE"""),"")</f>
        <v/>
      </c>
      <c r="AR191" s="2" t="str">
        <f ca="1">IFERROR(__xludf.DUMMYFUNCTION("""COMPUTED_VALUE"""),"")</f>
        <v/>
      </c>
      <c r="AS191" s="2" t="str">
        <f ca="1">IFERROR(__xludf.DUMMYFUNCTION("""COMPUTED_VALUE"""),"")</f>
        <v/>
      </c>
      <c r="AT191" s="2" t="str">
        <f ca="1">IFERROR(__xludf.DUMMYFUNCTION("""COMPUTED_VALUE"""),"")</f>
        <v/>
      </c>
      <c r="AU191" s="2" t="str">
        <f ca="1">IFERROR(__xludf.DUMMYFUNCTION("""COMPUTED_VALUE"""),"")</f>
        <v/>
      </c>
      <c r="AV191" s="2" t="str">
        <f ca="1">IFERROR(__xludf.DUMMYFUNCTION("""COMPUTED_VALUE"""),"")</f>
        <v/>
      </c>
      <c r="AW191" s="2" t="str">
        <f ca="1">IFERROR(__xludf.DUMMYFUNCTION("""COMPUTED_VALUE"""),"")</f>
        <v/>
      </c>
      <c r="AX191" s="2" t="str">
        <f ca="1">IFERROR(__xludf.DUMMYFUNCTION("""COMPUTED_VALUE"""),"")</f>
        <v/>
      </c>
      <c r="AY191" s="2" t="str">
        <f ca="1">IFERROR(__xludf.DUMMYFUNCTION("""COMPUTED_VALUE"""),"")</f>
        <v/>
      </c>
      <c r="AZ191" s="2" t="str">
        <f ca="1">IFERROR(__xludf.DUMMYFUNCTION("""COMPUTED_VALUE"""),"")</f>
        <v/>
      </c>
      <c r="BA191" s="2" t="str">
        <f ca="1">IFERROR(__xludf.DUMMYFUNCTION("""COMPUTED_VALUE"""),"")</f>
        <v/>
      </c>
      <c r="BB191" s="2" t="str">
        <f ca="1">IFERROR(__xludf.DUMMYFUNCTION("""COMPUTED_VALUE"""),"")</f>
        <v/>
      </c>
      <c r="BC191" s="2" t="str">
        <f ca="1">IFERROR(__xludf.DUMMYFUNCTION("""COMPUTED_VALUE"""),"")</f>
        <v/>
      </c>
      <c r="BD191" s="2" t="str">
        <f ca="1">IFERROR(__xludf.DUMMYFUNCTION("""COMPUTED_VALUE"""),"")</f>
        <v/>
      </c>
      <c r="BE191" s="2" t="str">
        <f ca="1">IFERROR(__xludf.DUMMYFUNCTION("""COMPUTED_VALUE"""),"")</f>
        <v/>
      </c>
      <c r="BF191" t="str">
        <f ca="1">IFERROR(__xludf.DUMMYFUNCTION("""COMPUTED_VALUE"""),"")</f>
        <v/>
      </c>
      <c r="BG191" t="str">
        <f ca="1">IFERROR(__xludf.DUMMYFUNCTION("""COMPUTED_VALUE"""),"")</f>
        <v/>
      </c>
      <c r="BH191" s="2">
        <f ca="1">IFERROR(__xludf.DUMMYFUNCTION("""COMPUTED_VALUE"""),-37.3435249)</f>
        <v>-37.343524899999998</v>
      </c>
      <c r="BI191" s="12">
        <f ca="1">IFERROR(__xludf.DUMMYFUNCTION("""COMPUTED_VALUE"""),175.1747894)</f>
        <v>175.17478940000001</v>
      </c>
      <c r="BJ191" s="9">
        <f ca="1">IFERROR(__xludf.DUMMYFUNCTION("""COMPUTED_VALUE"""),43392)</f>
        <v>43392</v>
      </c>
      <c r="BK191" s="4">
        <f ca="1">IFERROR(__xludf.DUMMYFUNCTION("""COMPUTED_VALUE"""),0.958518518516939)</f>
        <v>0.95851851851693903</v>
      </c>
    </row>
    <row r="192" spans="1:63" ht="12.5" x14ac:dyDescent="0.25">
      <c r="A192" s="7" t="str">
        <f ca="1">IFERROR(__xludf.DUMMYFUNCTION("""COMPUTED_VALUE"""),"")</f>
        <v/>
      </c>
      <c r="B192" s="8" t="str">
        <f ca="1">IFERROR(__xludf.DUMMYFUNCTION("""COMPUTED_VALUE"""),"Waikato")</f>
        <v>Waikato</v>
      </c>
      <c r="C192" s="2">
        <f ca="1">IFERROR(__xludf.DUMMYFUNCTION("""COMPUTED_VALUE"""),23)</f>
        <v>23</v>
      </c>
      <c r="D192" s="9" t="str">
        <f ca="1">IFERROR(__xludf.DUMMYFUNCTION("""COMPUTED_VALUE"""),"")</f>
        <v/>
      </c>
      <c r="E192" s="4" t="str">
        <f ca="1">IFERROR(__xludf.DUMMYFUNCTION("""COMPUTED_VALUE"""),"")</f>
        <v/>
      </c>
      <c r="F192" s="2" t="str">
        <f ca="1">IFERROR(__xludf.DUMMYFUNCTION("""COMPUTED_VALUE"""),"")</f>
        <v/>
      </c>
      <c r="G192" s="2" t="str">
        <f ca="1">IFERROR(__xludf.DUMMYFUNCTION("""COMPUTED_VALUE"""),"GPS: I converted data downloaded from ARGOS using Pinpoint software")</f>
        <v>GPS: I converted data downloaded from ARGOS using Pinpoint software</v>
      </c>
      <c r="H192" s="2" t="str">
        <f ca="1">IFERROR(__xludf.DUMMYFUNCTION("""COMPUTED_VALUE"""),"3D")</f>
        <v>3D</v>
      </c>
      <c r="I192" s="2" t="str">
        <f ca="1">IFERROR(__xludf.DUMMYFUNCTION("""COMPUTED_VALUE"""),"")</f>
        <v/>
      </c>
      <c r="J192" s="2" t="str">
        <f ca="1">IFERROR(__xludf.DUMMYFUNCTION("""COMPUTED_VALUE"""),"")</f>
        <v/>
      </c>
      <c r="K192" s="2" t="str">
        <f ca="1">IFERROR(__xludf.DUMMYFUNCTION("""COMPUTED_VALUE"""),"")</f>
        <v/>
      </c>
      <c r="L192" s="2" t="str">
        <f ca="1">IFERROR(__xludf.DUMMYFUNCTION("""COMPUTED_VALUE"""),"")</f>
        <v/>
      </c>
      <c r="M192" s="5" t="str">
        <f ca="1">IFERROR(__xludf.DUMMYFUNCTION("""COMPUTED_VALUE"""),"")</f>
        <v/>
      </c>
      <c r="N192" s="5" t="str">
        <f ca="1">IFERROR(__xludf.DUMMYFUNCTION("""COMPUTED_VALUE"""),"")</f>
        <v/>
      </c>
      <c r="O192" s="2" t="str">
        <f ca="1">IFERROR(__xludf.DUMMYFUNCTION("""COMPUTED_VALUE"""),"")</f>
        <v/>
      </c>
      <c r="P192" s="2" t="str">
        <f ca="1">IFERROR(__xludf.DUMMYFUNCTION("""COMPUTED_VALUE"""),"")</f>
        <v/>
      </c>
      <c r="Q192" s="2" t="str">
        <f ca="1">IFERROR(__xludf.DUMMYFUNCTION("""COMPUTED_VALUE"""),"")</f>
        <v/>
      </c>
      <c r="R192" s="2" t="str">
        <f ca="1">IFERROR(__xludf.DUMMYFUNCTION("""COMPUTED_VALUE"""),"")</f>
        <v/>
      </c>
      <c r="S192" s="2" t="str">
        <f ca="1">IFERROR(__xludf.DUMMYFUNCTION("""COMPUTED_VALUE"""),"")</f>
        <v/>
      </c>
      <c r="T192" s="2" t="str">
        <f ca="1">IFERROR(__xludf.DUMMYFUNCTION("""COMPUTED_VALUE"""),"")</f>
        <v/>
      </c>
      <c r="U192" s="2" t="str">
        <f ca="1">IFERROR(__xludf.DUMMYFUNCTION("""COMPUTED_VALUE"""),"")</f>
        <v/>
      </c>
      <c r="V192" s="2" t="str">
        <f ca="1">IFERROR(__xludf.DUMMYFUNCTION("""COMPUTED_VALUE"""),"")</f>
        <v/>
      </c>
      <c r="W192" s="2" t="str">
        <f ca="1">IFERROR(__xludf.DUMMYFUNCTION("""COMPUTED_VALUE"""),"")</f>
        <v/>
      </c>
      <c r="X192" s="2" t="str">
        <f ca="1">IFERROR(__xludf.DUMMYFUNCTION("""COMPUTED_VALUE"""),"")</f>
        <v/>
      </c>
      <c r="Y192" s="2" t="str">
        <f ca="1">IFERROR(__xludf.DUMMYFUNCTION("""COMPUTED_VALUE"""),"")</f>
        <v/>
      </c>
      <c r="Z192" s="2" t="str">
        <f ca="1">IFERROR(__xludf.DUMMYFUNCTION("""COMPUTED_VALUE"""),"")</f>
        <v/>
      </c>
      <c r="AA192" s="2" t="str">
        <f ca="1">IFERROR(__xludf.DUMMYFUNCTION("""COMPUTED_VALUE"""),"")</f>
        <v/>
      </c>
      <c r="AB192" s="2" t="str">
        <f ca="1">IFERROR(__xludf.DUMMYFUNCTION("""COMPUTED_VALUE"""),"")</f>
        <v/>
      </c>
      <c r="AC192" s="2" t="str">
        <f ca="1">IFERROR(__xludf.DUMMYFUNCTION("""COMPUTED_VALUE"""),"")</f>
        <v/>
      </c>
      <c r="AD192" s="2" t="str">
        <f ca="1">IFERROR(__xludf.DUMMYFUNCTION("""COMPUTED_VALUE"""),"")</f>
        <v/>
      </c>
      <c r="AE192" s="2" t="str">
        <f ca="1">IFERROR(__xludf.DUMMYFUNCTION("""COMPUTED_VALUE"""),"")</f>
        <v/>
      </c>
      <c r="AF192" s="2" t="str">
        <f ca="1">IFERROR(__xludf.DUMMYFUNCTION("""COMPUTED_VALUE"""),"")</f>
        <v/>
      </c>
      <c r="AG192" s="2" t="str">
        <f ca="1">IFERROR(__xludf.DUMMYFUNCTION("""COMPUTED_VALUE"""),"")</f>
        <v/>
      </c>
      <c r="AH192" s="2" t="str">
        <f ca="1">IFERROR(__xludf.DUMMYFUNCTION("""COMPUTED_VALUE"""),"")</f>
        <v/>
      </c>
      <c r="AI192" s="2" t="str">
        <f ca="1">IFERROR(__xludf.DUMMYFUNCTION("""COMPUTED_VALUE"""),"")</f>
        <v/>
      </c>
      <c r="AJ192" s="2" t="str">
        <f ca="1">IFERROR(__xludf.DUMMYFUNCTION("""COMPUTED_VALUE"""),"")</f>
        <v/>
      </c>
      <c r="AK192" s="2" t="str">
        <f ca="1">IFERROR(__xludf.DUMMYFUNCTION("""COMPUTED_VALUE"""),"")</f>
        <v/>
      </c>
      <c r="AL192" s="2" t="str">
        <f ca="1">IFERROR(__xludf.DUMMYFUNCTION("""COMPUTED_VALUE"""),"")</f>
        <v/>
      </c>
      <c r="AM192" s="2" t="str">
        <f ca="1">IFERROR(__xludf.DUMMYFUNCTION("""COMPUTED_VALUE"""),"")</f>
        <v/>
      </c>
      <c r="AN192" s="2" t="str">
        <f ca="1">IFERROR(__xludf.DUMMYFUNCTION("""COMPUTED_VALUE"""),"")</f>
        <v/>
      </c>
      <c r="AO192" s="2" t="str">
        <f ca="1">IFERROR(__xludf.DUMMYFUNCTION("""COMPUTED_VALUE"""),"")</f>
        <v/>
      </c>
      <c r="AP192" s="2" t="str">
        <f ca="1">IFERROR(__xludf.DUMMYFUNCTION("""COMPUTED_VALUE"""),"")</f>
        <v/>
      </c>
      <c r="AQ192" s="2" t="str">
        <f ca="1">IFERROR(__xludf.DUMMYFUNCTION("""COMPUTED_VALUE"""),"")</f>
        <v/>
      </c>
      <c r="AR192" s="2" t="str">
        <f ca="1">IFERROR(__xludf.DUMMYFUNCTION("""COMPUTED_VALUE"""),"")</f>
        <v/>
      </c>
      <c r="AS192" s="2" t="str">
        <f ca="1">IFERROR(__xludf.DUMMYFUNCTION("""COMPUTED_VALUE"""),"")</f>
        <v/>
      </c>
      <c r="AT192" s="2" t="str">
        <f ca="1">IFERROR(__xludf.DUMMYFUNCTION("""COMPUTED_VALUE"""),"")</f>
        <v/>
      </c>
      <c r="AU192" s="2" t="str">
        <f ca="1">IFERROR(__xludf.DUMMYFUNCTION("""COMPUTED_VALUE"""),"")</f>
        <v/>
      </c>
      <c r="AV192" s="2" t="str">
        <f ca="1">IFERROR(__xludf.DUMMYFUNCTION("""COMPUTED_VALUE"""),"")</f>
        <v/>
      </c>
      <c r="AW192" s="2" t="str">
        <f ca="1">IFERROR(__xludf.DUMMYFUNCTION("""COMPUTED_VALUE"""),"")</f>
        <v/>
      </c>
      <c r="AX192" s="2" t="str">
        <f ca="1">IFERROR(__xludf.DUMMYFUNCTION("""COMPUTED_VALUE"""),"")</f>
        <v/>
      </c>
      <c r="AY192" s="2" t="str">
        <f ca="1">IFERROR(__xludf.DUMMYFUNCTION("""COMPUTED_VALUE"""),"")</f>
        <v/>
      </c>
      <c r="AZ192" s="2" t="str">
        <f ca="1">IFERROR(__xludf.DUMMYFUNCTION("""COMPUTED_VALUE"""),"")</f>
        <v/>
      </c>
      <c r="BA192" s="2" t="str">
        <f ca="1">IFERROR(__xludf.DUMMYFUNCTION("""COMPUTED_VALUE"""),"")</f>
        <v/>
      </c>
      <c r="BB192" s="2" t="str">
        <f ca="1">IFERROR(__xludf.DUMMYFUNCTION("""COMPUTED_VALUE"""),"")</f>
        <v/>
      </c>
      <c r="BC192" s="2" t="str">
        <f ca="1">IFERROR(__xludf.DUMMYFUNCTION("""COMPUTED_VALUE"""),"")</f>
        <v/>
      </c>
      <c r="BD192" s="2" t="str">
        <f ca="1">IFERROR(__xludf.DUMMYFUNCTION("""COMPUTED_VALUE"""),"")</f>
        <v/>
      </c>
      <c r="BE192" s="2" t="str">
        <f ca="1">IFERROR(__xludf.DUMMYFUNCTION("""COMPUTED_VALUE"""),"")</f>
        <v/>
      </c>
      <c r="BF192" t="str">
        <f ca="1">IFERROR(__xludf.DUMMYFUNCTION("""COMPUTED_VALUE"""),"")</f>
        <v/>
      </c>
      <c r="BG192" t="str">
        <f ca="1">IFERROR(__xludf.DUMMYFUNCTION("""COMPUTED_VALUE"""),"")</f>
        <v/>
      </c>
      <c r="BH192" s="2">
        <f ca="1">IFERROR(__xludf.DUMMYFUNCTION("""COMPUTED_VALUE"""),-37.3398399)</f>
        <v>-37.339839900000001</v>
      </c>
      <c r="BI192" s="13">
        <f ca="1">IFERROR(__xludf.DUMMYFUNCTION("""COMPUTED_VALUE"""),175.1656799)</f>
        <v>175.16567989999999</v>
      </c>
      <c r="BJ192" s="9">
        <f ca="1">IFERROR(__xludf.DUMMYFUNCTION("""COMPUTED_VALUE"""),43394)</f>
        <v>43394</v>
      </c>
      <c r="BK192" s="4">
        <f ca="1">IFERROR(__xludf.DUMMYFUNCTION("""COMPUTED_VALUE"""),0.457777777777664)</f>
        <v>0.45777777777766399</v>
      </c>
    </row>
    <row r="193" spans="1:63" ht="12.5" x14ac:dyDescent="0.25">
      <c r="A193" s="7" t="str">
        <f ca="1">IFERROR(__xludf.DUMMYFUNCTION("""COMPUTED_VALUE"""),"")</f>
        <v/>
      </c>
      <c r="B193" s="8" t="str">
        <f ca="1">IFERROR(__xludf.DUMMYFUNCTION("""COMPUTED_VALUE"""),"Waikato")</f>
        <v>Waikato</v>
      </c>
      <c r="C193" s="2">
        <f ca="1">IFERROR(__xludf.DUMMYFUNCTION("""COMPUTED_VALUE"""),23)</f>
        <v>23</v>
      </c>
      <c r="D193" s="9" t="str">
        <f ca="1">IFERROR(__xludf.DUMMYFUNCTION("""COMPUTED_VALUE"""),"")</f>
        <v/>
      </c>
      <c r="E193" s="4" t="str">
        <f ca="1">IFERROR(__xludf.DUMMYFUNCTION("""COMPUTED_VALUE"""),"")</f>
        <v/>
      </c>
      <c r="F193" s="2" t="str">
        <f ca="1">IFERROR(__xludf.DUMMYFUNCTION("""COMPUTED_VALUE"""),"")</f>
        <v/>
      </c>
      <c r="G193" s="2" t="str">
        <f ca="1">IFERROR(__xludf.DUMMYFUNCTION("""COMPUTED_VALUE"""),"GPS: I converted data downloaded from ARGOS using Pinpoint software")</f>
        <v>GPS: I converted data downloaded from ARGOS using Pinpoint software</v>
      </c>
      <c r="H193" s="2" t="str">
        <f ca="1">IFERROR(__xludf.DUMMYFUNCTION("""COMPUTED_VALUE"""),"3D")</f>
        <v>3D</v>
      </c>
      <c r="I193" s="2" t="str">
        <f ca="1">IFERROR(__xludf.DUMMYFUNCTION("""COMPUTED_VALUE"""),"")</f>
        <v/>
      </c>
      <c r="J193" s="2" t="str">
        <f ca="1">IFERROR(__xludf.DUMMYFUNCTION("""COMPUTED_VALUE"""),"")</f>
        <v/>
      </c>
      <c r="K193" s="2" t="str">
        <f ca="1">IFERROR(__xludf.DUMMYFUNCTION("""COMPUTED_VALUE"""),"")</f>
        <v/>
      </c>
      <c r="L193" s="2" t="str">
        <f ca="1">IFERROR(__xludf.DUMMYFUNCTION("""COMPUTED_VALUE"""),"")</f>
        <v/>
      </c>
      <c r="M193" s="5" t="str">
        <f ca="1">IFERROR(__xludf.DUMMYFUNCTION("""COMPUTED_VALUE"""),"")</f>
        <v/>
      </c>
      <c r="N193" s="5" t="str">
        <f ca="1">IFERROR(__xludf.DUMMYFUNCTION("""COMPUTED_VALUE"""),"")</f>
        <v/>
      </c>
      <c r="O193" s="2" t="str">
        <f ca="1">IFERROR(__xludf.DUMMYFUNCTION("""COMPUTED_VALUE"""),"")</f>
        <v/>
      </c>
      <c r="P193" s="2" t="str">
        <f ca="1">IFERROR(__xludf.DUMMYFUNCTION("""COMPUTED_VALUE"""),"")</f>
        <v/>
      </c>
      <c r="Q193" s="2" t="str">
        <f ca="1">IFERROR(__xludf.DUMMYFUNCTION("""COMPUTED_VALUE"""),"")</f>
        <v/>
      </c>
      <c r="R193" s="2" t="str">
        <f ca="1">IFERROR(__xludf.DUMMYFUNCTION("""COMPUTED_VALUE"""),"")</f>
        <v/>
      </c>
      <c r="S193" s="2" t="str">
        <f ca="1">IFERROR(__xludf.DUMMYFUNCTION("""COMPUTED_VALUE"""),"")</f>
        <v/>
      </c>
      <c r="T193" s="2" t="str">
        <f ca="1">IFERROR(__xludf.DUMMYFUNCTION("""COMPUTED_VALUE"""),"")</f>
        <v/>
      </c>
      <c r="U193" s="2" t="str">
        <f ca="1">IFERROR(__xludf.DUMMYFUNCTION("""COMPUTED_VALUE"""),"")</f>
        <v/>
      </c>
      <c r="V193" s="2" t="str">
        <f ca="1">IFERROR(__xludf.DUMMYFUNCTION("""COMPUTED_VALUE"""),"")</f>
        <v/>
      </c>
      <c r="W193" s="2" t="str">
        <f ca="1">IFERROR(__xludf.DUMMYFUNCTION("""COMPUTED_VALUE"""),"")</f>
        <v/>
      </c>
      <c r="X193" s="2" t="str">
        <f ca="1">IFERROR(__xludf.DUMMYFUNCTION("""COMPUTED_VALUE"""),"")</f>
        <v/>
      </c>
      <c r="Y193" s="2" t="str">
        <f ca="1">IFERROR(__xludf.DUMMYFUNCTION("""COMPUTED_VALUE"""),"")</f>
        <v/>
      </c>
      <c r="Z193" s="2" t="str">
        <f ca="1">IFERROR(__xludf.DUMMYFUNCTION("""COMPUTED_VALUE"""),"")</f>
        <v/>
      </c>
      <c r="AA193" s="2" t="str">
        <f ca="1">IFERROR(__xludf.DUMMYFUNCTION("""COMPUTED_VALUE"""),"")</f>
        <v/>
      </c>
      <c r="AB193" s="2" t="str">
        <f ca="1">IFERROR(__xludf.DUMMYFUNCTION("""COMPUTED_VALUE"""),"")</f>
        <v/>
      </c>
      <c r="AC193" s="2" t="str">
        <f ca="1">IFERROR(__xludf.DUMMYFUNCTION("""COMPUTED_VALUE"""),"")</f>
        <v/>
      </c>
      <c r="AD193" s="2" t="str">
        <f ca="1">IFERROR(__xludf.DUMMYFUNCTION("""COMPUTED_VALUE"""),"")</f>
        <v/>
      </c>
      <c r="AE193" s="2" t="str">
        <f ca="1">IFERROR(__xludf.DUMMYFUNCTION("""COMPUTED_VALUE"""),"")</f>
        <v/>
      </c>
      <c r="AF193" s="2" t="str">
        <f ca="1">IFERROR(__xludf.DUMMYFUNCTION("""COMPUTED_VALUE"""),"")</f>
        <v/>
      </c>
      <c r="AG193" s="2" t="str">
        <f ca="1">IFERROR(__xludf.DUMMYFUNCTION("""COMPUTED_VALUE"""),"")</f>
        <v/>
      </c>
      <c r="AH193" s="2" t="str">
        <f ca="1">IFERROR(__xludf.DUMMYFUNCTION("""COMPUTED_VALUE"""),"")</f>
        <v/>
      </c>
      <c r="AI193" s="2" t="str">
        <f ca="1">IFERROR(__xludf.DUMMYFUNCTION("""COMPUTED_VALUE"""),"")</f>
        <v/>
      </c>
      <c r="AJ193" s="2" t="str">
        <f ca="1">IFERROR(__xludf.DUMMYFUNCTION("""COMPUTED_VALUE"""),"")</f>
        <v/>
      </c>
      <c r="AK193" s="2" t="str">
        <f ca="1">IFERROR(__xludf.DUMMYFUNCTION("""COMPUTED_VALUE"""),"")</f>
        <v/>
      </c>
      <c r="AL193" s="2" t="str">
        <f ca="1">IFERROR(__xludf.DUMMYFUNCTION("""COMPUTED_VALUE"""),"")</f>
        <v/>
      </c>
      <c r="AM193" s="2" t="str">
        <f ca="1">IFERROR(__xludf.DUMMYFUNCTION("""COMPUTED_VALUE"""),"")</f>
        <v/>
      </c>
      <c r="AN193" s="2" t="str">
        <f ca="1">IFERROR(__xludf.DUMMYFUNCTION("""COMPUTED_VALUE"""),"")</f>
        <v/>
      </c>
      <c r="AO193" s="2" t="str">
        <f ca="1">IFERROR(__xludf.DUMMYFUNCTION("""COMPUTED_VALUE"""),"")</f>
        <v/>
      </c>
      <c r="AP193" s="2" t="str">
        <f ca="1">IFERROR(__xludf.DUMMYFUNCTION("""COMPUTED_VALUE"""),"")</f>
        <v/>
      </c>
      <c r="AQ193" s="2" t="str">
        <f ca="1">IFERROR(__xludf.DUMMYFUNCTION("""COMPUTED_VALUE"""),"")</f>
        <v/>
      </c>
      <c r="AR193" s="2" t="str">
        <f ca="1">IFERROR(__xludf.DUMMYFUNCTION("""COMPUTED_VALUE"""),"")</f>
        <v/>
      </c>
      <c r="AS193" s="2" t="str">
        <f ca="1">IFERROR(__xludf.DUMMYFUNCTION("""COMPUTED_VALUE"""),"")</f>
        <v/>
      </c>
      <c r="AT193" s="2" t="str">
        <f ca="1">IFERROR(__xludf.DUMMYFUNCTION("""COMPUTED_VALUE"""),"")</f>
        <v/>
      </c>
      <c r="AU193" s="2" t="str">
        <f ca="1">IFERROR(__xludf.DUMMYFUNCTION("""COMPUTED_VALUE"""),"")</f>
        <v/>
      </c>
      <c r="AV193" s="2" t="str">
        <f ca="1">IFERROR(__xludf.DUMMYFUNCTION("""COMPUTED_VALUE"""),"")</f>
        <v/>
      </c>
      <c r="AW193" s="2" t="str">
        <f ca="1">IFERROR(__xludf.DUMMYFUNCTION("""COMPUTED_VALUE"""),"")</f>
        <v/>
      </c>
      <c r="AX193" s="2" t="str">
        <f ca="1">IFERROR(__xludf.DUMMYFUNCTION("""COMPUTED_VALUE"""),"")</f>
        <v/>
      </c>
      <c r="AY193" s="2" t="str">
        <f ca="1">IFERROR(__xludf.DUMMYFUNCTION("""COMPUTED_VALUE"""),"")</f>
        <v/>
      </c>
      <c r="AZ193" s="2" t="str">
        <f ca="1">IFERROR(__xludf.DUMMYFUNCTION("""COMPUTED_VALUE"""),"")</f>
        <v/>
      </c>
      <c r="BA193" s="2" t="str">
        <f ca="1">IFERROR(__xludf.DUMMYFUNCTION("""COMPUTED_VALUE"""),"")</f>
        <v/>
      </c>
      <c r="BB193" s="2" t="str">
        <f ca="1">IFERROR(__xludf.DUMMYFUNCTION("""COMPUTED_VALUE"""),"")</f>
        <v/>
      </c>
      <c r="BC193" s="2" t="str">
        <f ca="1">IFERROR(__xludf.DUMMYFUNCTION("""COMPUTED_VALUE"""),"")</f>
        <v/>
      </c>
      <c r="BD193" s="2" t="str">
        <f ca="1">IFERROR(__xludf.DUMMYFUNCTION("""COMPUTED_VALUE"""),"")</f>
        <v/>
      </c>
      <c r="BE193" s="2" t="str">
        <f ca="1">IFERROR(__xludf.DUMMYFUNCTION("""COMPUTED_VALUE"""),"")</f>
        <v/>
      </c>
      <c r="BF193" t="str">
        <f ca="1">IFERROR(__xludf.DUMMYFUNCTION("""COMPUTED_VALUE"""),"")</f>
        <v/>
      </c>
      <c r="BG193" t="str">
        <f ca="1">IFERROR(__xludf.DUMMYFUNCTION("""COMPUTED_VALUE"""),"")</f>
        <v/>
      </c>
      <c r="BH193" s="2">
        <f ca="1">IFERROR(__xludf.DUMMYFUNCTION("""COMPUTED_VALUE"""),-37.3425293)</f>
        <v>-37.342529300000002</v>
      </c>
      <c r="BI193" s="12">
        <f ca="1">IFERROR(__xludf.DUMMYFUNCTION("""COMPUTED_VALUE"""),175.1639099)</f>
        <v>175.16390989999999</v>
      </c>
      <c r="BJ193" s="9">
        <f ca="1">IFERROR(__xludf.DUMMYFUNCTION("""COMPUTED_VALUE"""),43394)</f>
        <v>43394</v>
      </c>
      <c r="BK193" s="4">
        <f ca="1">IFERROR(__xludf.DUMMYFUNCTION("""COMPUTED_VALUE"""),0.958518518516939)</f>
        <v>0.95851851851693903</v>
      </c>
    </row>
    <row r="194" spans="1:63" ht="12.5" x14ac:dyDescent="0.25">
      <c r="A194" s="7" t="str">
        <f ca="1">IFERROR(__xludf.DUMMYFUNCTION("""COMPUTED_VALUE"""),"")</f>
        <v/>
      </c>
      <c r="B194" s="8" t="str">
        <f ca="1">IFERROR(__xludf.DUMMYFUNCTION("""COMPUTED_VALUE"""),"Waikato")</f>
        <v>Waikato</v>
      </c>
      <c r="C194" s="2">
        <f ca="1">IFERROR(__xludf.DUMMYFUNCTION("""COMPUTED_VALUE"""),23)</f>
        <v>23</v>
      </c>
      <c r="D194" s="9" t="str">
        <f ca="1">IFERROR(__xludf.DUMMYFUNCTION("""COMPUTED_VALUE"""),"")</f>
        <v/>
      </c>
      <c r="E194" s="4" t="str">
        <f ca="1">IFERROR(__xludf.DUMMYFUNCTION("""COMPUTED_VALUE"""),"")</f>
        <v/>
      </c>
      <c r="F194" s="2" t="str">
        <f ca="1">IFERROR(__xludf.DUMMYFUNCTION("""COMPUTED_VALUE"""),"")</f>
        <v/>
      </c>
      <c r="G194" s="2" t="str">
        <f ca="1">IFERROR(__xludf.DUMMYFUNCTION("""COMPUTED_VALUE"""),"GPS: I converted data downloaded from ARGOS using Pinpoint software")</f>
        <v>GPS: I converted data downloaded from ARGOS using Pinpoint software</v>
      </c>
      <c r="H194" s="2" t="str">
        <f ca="1">IFERROR(__xludf.DUMMYFUNCTION("""COMPUTED_VALUE"""),"3D")</f>
        <v>3D</v>
      </c>
      <c r="I194" s="2" t="str">
        <f ca="1">IFERROR(__xludf.DUMMYFUNCTION("""COMPUTED_VALUE"""),"")</f>
        <v/>
      </c>
      <c r="J194" s="2" t="str">
        <f ca="1">IFERROR(__xludf.DUMMYFUNCTION("""COMPUTED_VALUE"""),"")</f>
        <v/>
      </c>
      <c r="K194" s="2" t="str">
        <f ca="1">IFERROR(__xludf.DUMMYFUNCTION("""COMPUTED_VALUE"""),"")</f>
        <v/>
      </c>
      <c r="L194" s="2" t="str">
        <f ca="1">IFERROR(__xludf.DUMMYFUNCTION("""COMPUTED_VALUE"""),"")</f>
        <v/>
      </c>
      <c r="M194" s="5" t="str">
        <f ca="1">IFERROR(__xludf.DUMMYFUNCTION("""COMPUTED_VALUE"""),"")</f>
        <v/>
      </c>
      <c r="N194" s="5" t="str">
        <f ca="1">IFERROR(__xludf.DUMMYFUNCTION("""COMPUTED_VALUE"""),"")</f>
        <v/>
      </c>
      <c r="O194" s="2" t="str">
        <f ca="1">IFERROR(__xludf.DUMMYFUNCTION("""COMPUTED_VALUE"""),"")</f>
        <v/>
      </c>
      <c r="P194" s="2" t="str">
        <f ca="1">IFERROR(__xludf.DUMMYFUNCTION("""COMPUTED_VALUE"""),"")</f>
        <v/>
      </c>
      <c r="Q194" s="2" t="str">
        <f ca="1">IFERROR(__xludf.DUMMYFUNCTION("""COMPUTED_VALUE"""),"")</f>
        <v/>
      </c>
      <c r="R194" s="2" t="str">
        <f ca="1">IFERROR(__xludf.DUMMYFUNCTION("""COMPUTED_VALUE"""),"")</f>
        <v/>
      </c>
      <c r="S194" s="2" t="str">
        <f ca="1">IFERROR(__xludf.DUMMYFUNCTION("""COMPUTED_VALUE"""),"")</f>
        <v/>
      </c>
      <c r="T194" s="2" t="str">
        <f ca="1">IFERROR(__xludf.DUMMYFUNCTION("""COMPUTED_VALUE"""),"")</f>
        <v/>
      </c>
      <c r="U194" s="2" t="str">
        <f ca="1">IFERROR(__xludf.DUMMYFUNCTION("""COMPUTED_VALUE"""),"")</f>
        <v/>
      </c>
      <c r="V194" s="2" t="str">
        <f ca="1">IFERROR(__xludf.DUMMYFUNCTION("""COMPUTED_VALUE"""),"")</f>
        <v/>
      </c>
      <c r="W194" s="2" t="str">
        <f ca="1">IFERROR(__xludf.DUMMYFUNCTION("""COMPUTED_VALUE"""),"")</f>
        <v/>
      </c>
      <c r="X194" s="2" t="str">
        <f ca="1">IFERROR(__xludf.DUMMYFUNCTION("""COMPUTED_VALUE"""),"")</f>
        <v/>
      </c>
      <c r="Y194" s="2" t="str">
        <f ca="1">IFERROR(__xludf.DUMMYFUNCTION("""COMPUTED_VALUE"""),"")</f>
        <v/>
      </c>
      <c r="Z194" s="2" t="str">
        <f ca="1">IFERROR(__xludf.DUMMYFUNCTION("""COMPUTED_VALUE"""),"")</f>
        <v/>
      </c>
      <c r="AA194" s="2" t="str">
        <f ca="1">IFERROR(__xludf.DUMMYFUNCTION("""COMPUTED_VALUE"""),"")</f>
        <v/>
      </c>
      <c r="AB194" s="2" t="str">
        <f ca="1">IFERROR(__xludf.DUMMYFUNCTION("""COMPUTED_VALUE"""),"")</f>
        <v/>
      </c>
      <c r="AC194" s="2" t="str">
        <f ca="1">IFERROR(__xludf.DUMMYFUNCTION("""COMPUTED_VALUE"""),"")</f>
        <v/>
      </c>
      <c r="AD194" s="2" t="str">
        <f ca="1">IFERROR(__xludf.DUMMYFUNCTION("""COMPUTED_VALUE"""),"")</f>
        <v/>
      </c>
      <c r="AE194" s="2" t="str">
        <f ca="1">IFERROR(__xludf.DUMMYFUNCTION("""COMPUTED_VALUE"""),"")</f>
        <v/>
      </c>
      <c r="AF194" s="2" t="str">
        <f ca="1">IFERROR(__xludf.DUMMYFUNCTION("""COMPUTED_VALUE"""),"")</f>
        <v/>
      </c>
      <c r="AG194" s="2" t="str">
        <f ca="1">IFERROR(__xludf.DUMMYFUNCTION("""COMPUTED_VALUE"""),"")</f>
        <v/>
      </c>
      <c r="AH194" s="2" t="str">
        <f ca="1">IFERROR(__xludf.DUMMYFUNCTION("""COMPUTED_VALUE"""),"")</f>
        <v/>
      </c>
      <c r="AI194" s="2" t="str">
        <f ca="1">IFERROR(__xludf.DUMMYFUNCTION("""COMPUTED_VALUE"""),"")</f>
        <v/>
      </c>
      <c r="AJ194" s="2" t="str">
        <f ca="1">IFERROR(__xludf.DUMMYFUNCTION("""COMPUTED_VALUE"""),"")</f>
        <v/>
      </c>
      <c r="AK194" s="2" t="str">
        <f ca="1">IFERROR(__xludf.DUMMYFUNCTION("""COMPUTED_VALUE"""),"")</f>
        <v/>
      </c>
      <c r="AL194" s="2" t="str">
        <f ca="1">IFERROR(__xludf.DUMMYFUNCTION("""COMPUTED_VALUE"""),"")</f>
        <v/>
      </c>
      <c r="AM194" s="2" t="str">
        <f ca="1">IFERROR(__xludf.DUMMYFUNCTION("""COMPUTED_VALUE"""),"")</f>
        <v/>
      </c>
      <c r="AN194" s="2" t="str">
        <f ca="1">IFERROR(__xludf.DUMMYFUNCTION("""COMPUTED_VALUE"""),"")</f>
        <v/>
      </c>
      <c r="AO194" s="2" t="str">
        <f ca="1">IFERROR(__xludf.DUMMYFUNCTION("""COMPUTED_VALUE"""),"")</f>
        <v/>
      </c>
      <c r="AP194" s="2" t="str">
        <f ca="1">IFERROR(__xludf.DUMMYFUNCTION("""COMPUTED_VALUE"""),"")</f>
        <v/>
      </c>
      <c r="AQ194" s="2" t="str">
        <f ca="1">IFERROR(__xludf.DUMMYFUNCTION("""COMPUTED_VALUE"""),"")</f>
        <v/>
      </c>
      <c r="AR194" s="2" t="str">
        <f ca="1">IFERROR(__xludf.DUMMYFUNCTION("""COMPUTED_VALUE"""),"")</f>
        <v/>
      </c>
      <c r="AS194" s="2" t="str">
        <f ca="1">IFERROR(__xludf.DUMMYFUNCTION("""COMPUTED_VALUE"""),"")</f>
        <v/>
      </c>
      <c r="AT194" s="2" t="str">
        <f ca="1">IFERROR(__xludf.DUMMYFUNCTION("""COMPUTED_VALUE"""),"")</f>
        <v/>
      </c>
      <c r="AU194" s="2" t="str">
        <f ca="1">IFERROR(__xludf.DUMMYFUNCTION("""COMPUTED_VALUE"""),"")</f>
        <v/>
      </c>
      <c r="AV194" s="2" t="str">
        <f ca="1">IFERROR(__xludf.DUMMYFUNCTION("""COMPUTED_VALUE"""),"")</f>
        <v/>
      </c>
      <c r="AW194" s="2" t="str">
        <f ca="1">IFERROR(__xludf.DUMMYFUNCTION("""COMPUTED_VALUE"""),"")</f>
        <v/>
      </c>
      <c r="AX194" s="2" t="str">
        <f ca="1">IFERROR(__xludf.DUMMYFUNCTION("""COMPUTED_VALUE"""),"")</f>
        <v/>
      </c>
      <c r="AY194" s="2" t="str">
        <f ca="1">IFERROR(__xludf.DUMMYFUNCTION("""COMPUTED_VALUE"""),"")</f>
        <v/>
      </c>
      <c r="AZ194" s="2" t="str">
        <f ca="1">IFERROR(__xludf.DUMMYFUNCTION("""COMPUTED_VALUE"""),"")</f>
        <v/>
      </c>
      <c r="BA194" s="2" t="str">
        <f ca="1">IFERROR(__xludf.DUMMYFUNCTION("""COMPUTED_VALUE"""),"")</f>
        <v/>
      </c>
      <c r="BB194" s="2" t="str">
        <f ca="1">IFERROR(__xludf.DUMMYFUNCTION("""COMPUTED_VALUE"""),"")</f>
        <v/>
      </c>
      <c r="BC194" s="2" t="str">
        <f ca="1">IFERROR(__xludf.DUMMYFUNCTION("""COMPUTED_VALUE"""),"")</f>
        <v/>
      </c>
      <c r="BD194" s="2" t="str">
        <f ca="1">IFERROR(__xludf.DUMMYFUNCTION("""COMPUTED_VALUE"""),"")</f>
        <v/>
      </c>
      <c r="BE194" s="2" t="str">
        <f ca="1">IFERROR(__xludf.DUMMYFUNCTION("""COMPUTED_VALUE"""),"")</f>
        <v/>
      </c>
      <c r="BF194" t="str">
        <f ca="1">IFERROR(__xludf.DUMMYFUNCTION("""COMPUTED_VALUE"""),"")</f>
        <v/>
      </c>
      <c r="BG194" t="str">
        <f ca="1">IFERROR(__xludf.DUMMYFUNCTION("""COMPUTED_VALUE"""),"")</f>
        <v/>
      </c>
      <c r="BH194" s="2">
        <f ca="1">IFERROR(__xludf.DUMMYFUNCTION("""COMPUTED_VALUE"""),-37.340786)</f>
        <v>-37.340786000000001</v>
      </c>
      <c r="BI194" s="13">
        <f ca="1">IFERROR(__xludf.DUMMYFUNCTION("""COMPUTED_VALUE"""),175.164917)</f>
        <v>175.164917</v>
      </c>
      <c r="BJ194" s="9">
        <f ca="1">IFERROR(__xludf.DUMMYFUNCTION("""COMPUTED_VALUE"""),43396)</f>
        <v>43396</v>
      </c>
      <c r="BK194" s="4">
        <f ca="1">IFERROR(__xludf.DUMMYFUNCTION("""COMPUTED_VALUE"""),0.457777777777664)</f>
        <v>0.45777777777766399</v>
      </c>
    </row>
    <row r="195" spans="1:63" ht="12.5" x14ac:dyDescent="0.25">
      <c r="A195" s="7" t="str">
        <f ca="1">IFERROR(__xludf.DUMMYFUNCTION("""COMPUTED_VALUE"""),"")</f>
        <v/>
      </c>
      <c r="B195" s="8" t="str">
        <f ca="1">IFERROR(__xludf.DUMMYFUNCTION("""COMPUTED_VALUE"""),"Waikato")</f>
        <v>Waikato</v>
      </c>
      <c r="C195" s="2">
        <f ca="1">IFERROR(__xludf.DUMMYFUNCTION("""COMPUTED_VALUE"""),23)</f>
        <v>23</v>
      </c>
      <c r="D195" s="9" t="str">
        <f ca="1">IFERROR(__xludf.DUMMYFUNCTION("""COMPUTED_VALUE"""),"")</f>
        <v/>
      </c>
      <c r="E195" s="4" t="str">
        <f ca="1">IFERROR(__xludf.DUMMYFUNCTION("""COMPUTED_VALUE"""),"")</f>
        <v/>
      </c>
      <c r="F195" s="2" t="str">
        <f ca="1">IFERROR(__xludf.DUMMYFUNCTION("""COMPUTED_VALUE"""),"")</f>
        <v/>
      </c>
      <c r="G195" s="2" t="str">
        <f ca="1">IFERROR(__xludf.DUMMYFUNCTION("""COMPUTED_VALUE"""),"GPS: I converted data downloaded from ARGOS using Pinpoint software")</f>
        <v>GPS: I converted data downloaded from ARGOS using Pinpoint software</v>
      </c>
      <c r="H195" s="2" t="str">
        <f ca="1">IFERROR(__xludf.DUMMYFUNCTION("""COMPUTED_VALUE"""),"3D")</f>
        <v>3D</v>
      </c>
      <c r="I195" s="2" t="str">
        <f ca="1">IFERROR(__xludf.DUMMYFUNCTION("""COMPUTED_VALUE"""),"")</f>
        <v/>
      </c>
      <c r="J195" s="2" t="str">
        <f ca="1">IFERROR(__xludf.DUMMYFUNCTION("""COMPUTED_VALUE"""),"")</f>
        <v/>
      </c>
      <c r="K195" s="2" t="str">
        <f ca="1">IFERROR(__xludf.DUMMYFUNCTION("""COMPUTED_VALUE"""),"")</f>
        <v/>
      </c>
      <c r="L195" s="2" t="str">
        <f ca="1">IFERROR(__xludf.DUMMYFUNCTION("""COMPUTED_VALUE"""),"")</f>
        <v/>
      </c>
      <c r="M195" s="5" t="str">
        <f ca="1">IFERROR(__xludf.DUMMYFUNCTION("""COMPUTED_VALUE"""),"")</f>
        <v/>
      </c>
      <c r="N195" s="5" t="str">
        <f ca="1">IFERROR(__xludf.DUMMYFUNCTION("""COMPUTED_VALUE"""),"")</f>
        <v/>
      </c>
      <c r="O195" s="2" t="str">
        <f ca="1">IFERROR(__xludf.DUMMYFUNCTION("""COMPUTED_VALUE"""),"")</f>
        <v/>
      </c>
      <c r="P195" s="2" t="str">
        <f ca="1">IFERROR(__xludf.DUMMYFUNCTION("""COMPUTED_VALUE"""),"")</f>
        <v/>
      </c>
      <c r="Q195" s="2" t="str">
        <f ca="1">IFERROR(__xludf.DUMMYFUNCTION("""COMPUTED_VALUE"""),"")</f>
        <v/>
      </c>
      <c r="R195" s="2" t="str">
        <f ca="1">IFERROR(__xludf.DUMMYFUNCTION("""COMPUTED_VALUE"""),"")</f>
        <v/>
      </c>
      <c r="S195" s="2" t="str">
        <f ca="1">IFERROR(__xludf.DUMMYFUNCTION("""COMPUTED_VALUE"""),"")</f>
        <v/>
      </c>
      <c r="T195" s="2" t="str">
        <f ca="1">IFERROR(__xludf.DUMMYFUNCTION("""COMPUTED_VALUE"""),"")</f>
        <v/>
      </c>
      <c r="U195" s="2" t="str">
        <f ca="1">IFERROR(__xludf.DUMMYFUNCTION("""COMPUTED_VALUE"""),"")</f>
        <v/>
      </c>
      <c r="V195" s="2" t="str">
        <f ca="1">IFERROR(__xludf.DUMMYFUNCTION("""COMPUTED_VALUE"""),"")</f>
        <v/>
      </c>
      <c r="W195" s="2" t="str">
        <f ca="1">IFERROR(__xludf.DUMMYFUNCTION("""COMPUTED_VALUE"""),"")</f>
        <v/>
      </c>
      <c r="X195" s="2" t="str">
        <f ca="1">IFERROR(__xludf.DUMMYFUNCTION("""COMPUTED_VALUE"""),"")</f>
        <v/>
      </c>
      <c r="Y195" s="2" t="str">
        <f ca="1">IFERROR(__xludf.DUMMYFUNCTION("""COMPUTED_VALUE"""),"")</f>
        <v/>
      </c>
      <c r="Z195" s="2" t="str">
        <f ca="1">IFERROR(__xludf.DUMMYFUNCTION("""COMPUTED_VALUE"""),"")</f>
        <v/>
      </c>
      <c r="AA195" s="2" t="str">
        <f ca="1">IFERROR(__xludf.DUMMYFUNCTION("""COMPUTED_VALUE"""),"")</f>
        <v/>
      </c>
      <c r="AB195" s="2" t="str">
        <f ca="1">IFERROR(__xludf.DUMMYFUNCTION("""COMPUTED_VALUE"""),"")</f>
        <v/>
      </c>
      <c r="AC195" s="2" t="str">
        <f ca="1">IFERROR(__xludf.DUMMYFUNCTION("""COMPUTED_VALUE"""),"")</f>
        <v/>
      </c>
      <c r="AD195" s="2" t="str">
        <f ca="1">IFERROR(__xludf.DUMMYFUNCTION("""COMPUTED_VALUE"""),"")</f>
        <v/>
      </c>
      <c r="AE195" s="2" t="str">
        <f ca="1">IFERROR(__xludf.DUMMYFUNCTION("""COMPUTED_VALUE"""),"")</f>
        <v/>
      </c>
      <c r="AF195" s="2" t="str">
        <f ca="1">IFERROR(__xludf.DUMMYFUNCTION("""COMPUTED_VALUE"""),"")</f>
        <v/>
      </c>
      <c r="AG195" s="2" t="str">
        <f ca="1">IFERROR(__xludf.DUMMYFUNCTION("""COMPUTED_VALUE"""),"")</f>
        <v/>
      </c>
      <c r="AH195" s="2" t="str">
        <f ca="1">IFERROR(__xludf.DUMMYFUNCTION("""COMPUTED_VALUE"""),"")</f>
        <v/>
      </c>
      <c r="AI195" s="2" t="str">
        <f ca="1">IFERROR(__xludf.DUMMYFUNCTION("""COMPUTED_VALUE"""),"")</f>
        <v/>
      </c>
      <c r="AJ195" s="2" t="str">
        <f ca="1">IFERROR(__xludf.DUMMYFUNCTION("""COMPUTED_VALUE"""),"")</f>
        <v/>
      </c>
      <c r="AK195" s="2" t="str">
        <f ca="1">IFERROR(__xludf.DUMMYFUNCTION("""COMPUTED_VALUE"""),"")</f>
        <v/>
      </c>
      <c r="AL195" s="2" t="str">
        <f ca="1">IFERROR(__xludf.DUMMYFUNCTION("""COMPUTED_VALUE"""),"")</f>
        <v/>
      </c>
      <c r="AM195" s="2" t="str">
        <f ca="1">IFERROR(__xludf.DUMMYFUNCTION("""COMPUTED_VALUE"""),"")</f>
        <v/>
      </c>
      <c r="AN195" s="2" t="str">
        <f ca="1">IFERROR(__xludf.DUMMYFUNCTION("""COMPUTED_VALUE"""),"")</f>
        <v/>
      </c>
      <c r="AO195" s="2" t="str">
        <f ca="1">IFERROR(__xludf.DUMMYFUNCTION("""COMPUTED_VALUE"""),"")</f>
        <v/>
      </c>
      <c r="AP195" s="2" t="str">
        <f ca="1">IFERROR(__xludf.DUMMYFUNCTION("""COMPUTED_VALUE"""),"")</f>
        <v/>
      </c>
      <c r="AQ195" s="2" t="str">
        <f ca="1">IFERROR(__xludf.DUMMYFUNCTION("""COMPUTED_VALUE"""),"")</f>
        <v/>
      </c>
      <c r="AR195" s="2" t="str">
        <f ca="1">IFERROR(__xludf.DUMMYFUNCTION("""COMPUTED_VALUE"""),"")</f>
        <v/>
      </c>
      <c r="AS195" s="2" t="str">
        <f ca="1">IFERROR(__xludf.DUMMYFUNCTION("""COMPUTED_VALUE"""),"")</f>
        <v/>
      </c>
      <c r="AT195" s="2" t="str">
        <f ca="1">IFERROR(__xludf.DUMMYFUNCTION("""COMPUTED_VALUE"""),"")</f>
        <v/>
      </c>
      <c r="AU195" s="2" t="str">
        <f ca="1">IFERROR(__xludf.DUMMYFUNCTION("""COMPUTED_VALUE"""),"")</f>
        <v/>
      </c>
      <c r="AV195" s="2" t="str">
        <f ca="1">IFERROR(__xludf.DUMMYFUNCTION("""COMPUTED_VALUE"""),"")</f>
        <v/>
      </c>
      <c r="AW195" s="2" t="str">
        <f ca="1">IFERROR(__xludf.DUMMYFUNCTION("""COMPUTED_VALUE"""),"")</f>
        <v/>
      </c>
      <c r="AX195" s="2" t="str">
        <f ca="1">IFERROR(__xludf.DUMMYFUNCTION("""COMPUTED_VALUE"""),"")</f>
        <v/>
      </c>
      <c r="AY195" s="2" t="str">
        <f ca="1">IFERROR(__xludf.DUMMYFUNCTION("""COMPUTED_VALUE"""),"")</f>
        <v/>
      </c>
      <c r="AZ195" s="2" t="str">
        <f ca="1">IFERROR(__xludf.DUMMYFUNCTION("""COMPUTED_VALUE"""),"")</f>
        <v/>
      </c>
      <c r="BA195" s="2" t="str">
        <f ca="1">IFERROR(__xludf.DUMMYFUNCTION("""COMPUTED_VALUE"""),"")</f>
        <v/>
      </c>
      <c r="BB195" s="2" t="str">
        <f ca="1">IFERROR(__xludf.DUMMYFUNCTION("""COMPUTED_VALUE"""),"")</f>
        <v/>
      </c>
      <c r="BC195" s="2" t="str">
        <f ca="1">IFERROR(__xludf.DUMMYFUNCTION("""COMPUTED_VALUE"""),"")</f>
        <v/>
      </c>
      <c r="BD195" s="2" t="str">
        <f ca="1">IFERROR(__xludf.DUMMYFUNCTION("""COMPUTED_VALUE"""),"")</f>
        <v/>
      </c>
      <c r="BE195" s="2" t="str">
        <f ca="1">IFERROR(__xludf.DUMMYFUNCTION("""COMPUTED_VALUE"""),"")</f>
        <v/>
      </c>
      <c r="BF195" t="str">
        <f ca="1">IFERROR(__xludf.DUMMYFUNCTION("""COMPUTED_VALUE"""),"")</f>
        <v/>
      </c>
      <c r="BG195" t="str">
        <f ca="1">IFERROR(__xludf.DUMMYFUNCTION("""COMPUTED_VALUE"""),"")</f>
        <v/>
      </c>
      <c r="BH195" s="2">
        <f ca="1">IFERROR(__xludf.DUMMYFUNCTION("""COMPUTED_VALUE"""),-37.3401222)</f>
        <v>-37.340122200000003</v>
      </c>
      <c r="BI195" s="12">
        <f ca="1">IFERROR(__xludf.DUMMYFUNCTION("""COMPUTED_VALUE"""),175.1632996)</f>
        <v>175.16329959999999</v>
      </c>
      <c r="BJ195" s="9">
        <f ca="1">IFERROR(__xludf.DUMMYFUNCTION("""COMPUTED_VALUE"""),43398)</f>
        <v>43398</v>
      </c>
      <c r="BK195" s="4">
        <f ca="1">IFERROR(__xludf.DUMMYFUNCTION("""COMPUTED_VALUE"""),0.457777777777664)</f>
        <v>0.45777777777766399</v>
      </c>
    </row>
    <row r="196" spans="1:63" ht="12.5" x14ac:dyDescent="0.25">
      <c r="A196" s="7" t="str">
        <f ca="1">IFERROR(__xludf.DUMMYFUNCTION("""COMPUTED_VALUE"""),"")</f>
        <v/>
      </c>
      <c r="B196" s="8" t="str">
        <f ca="1">IFERROR(__xludf.DUMMYFUNCTION("""COMPUTED_VALUE"""),"Waikato")</f>
        <v>Waikato</v>
      </c>
      <c r="C196" s="2">
        <f ca="1">IFERROR(__xludf.DUMMYFUNCTION("""COMPUTED_VALUE"""),23)</f>
        <v>23</v>
      </c>
      <c r="D196" s="9" t="str">
        <f ca="1">IFERROR(__xludf.DUMMYFUNCTION("""COMPUTED_VALUE"""),"")</f>
        <v/>
      </c>
      <c r="E196" s="4" t="str">
        <f ca="1">IFERROR(__xludf.DUMMYFUNCTION("""COMPUTED_VALUE"""),"")</f>
        <v/>
      </c>
      <c r="F196" s="2" t="str">
        <f ca="1">IFERROR(__xludf.DUMMYFUNCTION("""COMPUTED_VALUE"""),"")</f>
        <v/>
      </c>
      <c r="G196" s="2" t="str">
        <f ca="1">IFERROR(__xludf.DUMMYFUNCTION("""COMPUTED_VALUE"""),"GPS: I converted data downloaded from ARGOS using Pinpoint software")</f>
        <v>GPS: I converted data downloaded from ARGOS using Pinpoint software</v>
      </c>
      <c r="H196" s="2" t="str">
        <f ca="1">IFERROR(__xludf.DUMMYFUNCTION("""COMPUTED_VALUE"""),"3D")</f>
        <v>3D</v>
      </c>
      <c r="I196" s="2" t="str">
        <f ca="1">IFERROR(__xludf.DUMMYFUNCTION("""COMPUTED_VALUE"""),"")</f>
        <v/>
      </c>
      <c r="J196" s="2" t="str">
        <f ca="1">IFERROR(__xludf.DUMMYFUNCTION("""COMPUTED_VALUE"""),"")</f>
        <v/>
      </c>
      <c r="K196" s="2" t="str">
        <f ca="1">IFERROR(__xludf.DUMMYFUNCTION("""COMPUTED_VALUE"""),"")</f>
        <v/>
      </c>
      <c r="L196" s="2" t="str">
        <f ca="1">IFERROR(__xludf.DUMMYFUNCTION("""COMPUTED_VALUE"""),"")</f>
        <v/>
      </c>
      <c r="M196" s="5" t="str">
        <f ca="1">IFERROR(__xludf.DUMMYFUNCTION("""COMPUTED_VALUE"""),"")</f>
        <v/>
      </c>
      <c r="N196" s="5" t="str">
        <f ca="1">IFERROR(__xludf.DUMMYFUNCTION("""COMPUTED_VALUE"""),"")</f>
        <v/>
      </c>
      <c r="O196" s="2" t="str">
        <f ca="1">IFERROR(__xludf.DUMMYFUNCTION("""COMPUTED_VALUE"""),"")</f>
        <v/>
      </c>
      <c r="P196" s="2" t="str">
        <f ca="1">IFERROR(__xludf.DUMMYFUNCTION("""COMPUTED_VALUE"""),"")</f>
        <v/>
      </c>
      <c r="Q196" s="2" t="str">
        <f ca="1">IFERROR(__xludf.DUMMYFUNCTION("""COMPUTED_VALUE"""),"")</f>
        <v/>
      </c>
      <c r="R196" s="2" t="str">
        <f ca="1">IFERROR(__xludf.DUMMYFUNCTION("""COMPUTED_VALUE"""),"")</f>
        <v/>
      </c>
      <c r="S196" s="2" t="str">
        <f ca="1">IFERROR(__xludf.DUMMYFUNCTION("""COMPUTED_VALUE"""),"")</f>
        <v/>
      </c>
      <c r="T196" s="2" t="str">
        <f ca="1">IFERROR(__xludf.DUMMYFUNCTION("""COMPUTED_VALUE"""),"")</f>
        <v/>
      </c>
      <c r="U196" s="2" t="str">
        <f ca="1">IFERROR(__xludf.DUMMYFUNCTION("""COMPUTED_VALUE"""),"")</f>
        <v/>
      </c>
      <c r="V196" s="2" t="str">
        <f ca="1">IFERROR(__xludf.DUMMYFUNCTION("""COMPUTED_VALUE"""),"")</f>
        <v/>
      </c>
      <c r="W196" s="2" t="str">
        <f ca="1">IFERROR(__xludf.DUMMYFUNCTION("""COMPUTED_VALUE"""),"")</f>
        <v/>
      </c>
      <c r="X196" s="2" t="str">
        <f ca="1">IFERROR(__xludf.DUMMYFUNCTION("""COMPUTED_VALUE"""),"")</f>
        <v/>
      </c>
      <c r="Y196" s="2" t="str">
        <f ca="1">IFERROR(__xludf.DUMMYFUNCTION("""COMPUTED_VALUE"""),"")</f>
        <v/>
      </c>
      <c r="Z196" s="2" t="str">
        <f ca="1">IFERROR(__xludf.DUMMYFUNCTION("""COMPUTED_VALUE"""),"")</f>
        <v/>
      </c>
      <c r="AA196" s="2" t="str">
        <f ca="1">IFERROR(__xludf.DUMMYFUNCTION("""COMPUTED_VALUE"""),"")</f>
        <v/>
      </c>
      <c r="AB196" s="2" t="str">
        <f ca="1">IFERROR(__xludf.DUMMYFUNCTION("""COMPUTED_VALUE"""),"")</f>
        <v/>
      </c>
      <c r="AC196" s="2" t="str">
        <f ca="1">IFERROR(__xludf.DUMMYFUNCTION("""COMPUTED_VALUE"""),"")</f>
        <v/>
      </c>
      <c r="AD196" s="2" t="str">
        <f ca="1">IFERROR(__xludf.DUMMYFUNCTION("""COMPUTED_VALUE"""),"")</f>
        <v/>
      </c>
      <c r="AE196" s="2" t="str">
        <f ca="1">IFERROR(__xludf.DUMMYFUNCTION("""COMPUTED_VALUE"""),"")</f>
        <v/>
      </c>
      <c r="AF196" s="2" t="str">
        <f ca="1">IFERROR(__xludf.DUMMYFUNCTION("""COMPUTED_VALUE"""),"")</f>
        <v/>
      </c>
      <c r="AG196" s="2" t="str">
        <f ca="1">IFERROR(__xludf.DUMMYFUNCTION("""COMPUTED_VALUE"""),"")</f>
        <v/>
      </c>
      <c r="AH196" s="2" t="str">
        <f ca="1">IFERROR(__xludf.DUMMYFUNCTION("""COMPUTED_VALUE"""),"")</f>
        <v/>
      </c>
      <c r="AI196" s="2" t="str">
        <f ca="1">IFERROR(__xludf.DUMMYFUNCTION("""COMPUTED_VALUE"""),"")</f>
        <v/>
      </c>
      <c r="AJ196" s="2" t="str">
        <f ca="1">IFERROR(__xludf.DUMMYFUNCTION("""COMPUTED_VALUE"""),"")</f>
        <v/>
      </c>
      <c r="AK196" s="2" t="str">
        <f ca="1">IFERROR(__xludf.DUMMYFUNCTION("""COMPUTED_VALUE"""),"")</f>
        <v/>
      </c>
      <c r="AL196" s="2" t="str">
        <f ca="1">IFERROR(__xludf.DUMMYFUNCTION("""COMPUTED_VALUE"""),"")</f>
        <v/>
      </c>
      <c r="AM196" s="2" t="str">
        <f ca="1">IFERROR(__xludf.DUMMYFUNCTION("""COMPUTED_VALUE"""),"")</f>
        <v/>
      </c>
      <c r="AN196" s="2" t="str">
        <f ca="1">IFERROR(__xludf.DUMMYFUNCTION("""COMPUTED_VALUE"""),"")</f>
        <v/>
      </c>
      <c r="AO196" s="2" t="str">
        <f ca="1">IFERROR(__xludf.DUMMYFUNCTION("""COMPUTED_VALUE"""),"")</f>
        <v/>
      </c>
      <c r="AP196" s="2" t="str">
        <f ca="1">IFERROR(__xludf.DUMMYFUNCTION("""COMPUTED_VALUE"""),"")</f>
        <v/>
      </c>
      <c r="AQ196" s="2" t="str">
        <f ca="1">IFERROR(__xludf.DUMMYFUNCTION("""COMPUTED_VALUE"""),"")</f>
        <v/>
      </c>
      <c r="AR196" s="2" t="str">
        <f ca="1">IFERROR(__xludf.DUMMYFUNCTION("""COMPUTED_VALUE"""),"")</f>
        <v/>
      </c>
      <c r="AS196" s="2" t="str">
        <f ca="1">IFERROR(__xludf.DUMMYFUNCTION("""COMPUTED_VALUE"""),"")</f>
        <v/>
      </c>
      <c r="AT196" s="2" t="str">
        <f ca="1">IFERROR(__xludf.DUMMYFUNCTION("""COMPUTED_VALUE"""),"")</f>
        <v/>
      </c>
      <c r="AU196" s="2" t="str">
        <f ca="1">IFERROR(__xludf.DUMMYFUNCTION("""COMPUTED_VALUE"""),"")</f>
        <v/>
      </c>
      <c r="AV196" s="2" t="str">
        <f ca="1">IFERROR(__xludf.DUMMYFUNCTION("""COMPUTED_VALUE"""),"")</f>
        <v/>
      </c>
      <c r="AW196" s="2" t="str">
        <f ca="1">IFERROR(__xludf.DUMMYFUNCTION("""COMPUTED_VALUE"""),"")</f>
        <v/>
      </c>
      <c r="AX196" s="2" t="str">
        <f ca="1">IFERROR(__xludf.DUMMYFUNCTION("""COMPUTED_VALUE"""),"")</f>
        <v/>
      </c>
      <c r="AY196" s="2" t="str">
        <f ca="1">IFERROR(__xludf.DUMMYFUNCTION("""COMPUTED_VALUE"""),"")</f>
        <v/>
      </c>
      <c r="AZ196" s="2" t="str">
        <f ca="1">IFERROR(__xludf.DUMMYFUNCTION("""COMPUTED_VALUE"""),"")</f>
        <v/>
      </c>
      <c r="BA196" s="2" t="str">
        <f ca="1">IFERROR(__xludf.DUMMYFUNCTION("""COMPUTED_VALUE"""),"")</f>
        <v/>
      </c>
      <c r="BB196" s="2" t="str">
        <f ca="1">IFERROR(__xludf.DUMMYFUNCTION("""COMPUTED_VALUE"""),"")</f>
        <v/>
      </c>
      <c r="BC196" s="2" t="str">
        <f ca="1">IFERROR(__xludf.DUMMYFUNCTION("""COMPUTED_VALUE"""),"")</f>
        <v/>
      </c>
      <c r="BD196" s="2" t="str">
        <f ca="1">IFERROR(__xludf.DUMMYFUNCTION("""COMPUTED_VALUE"""),"")</f>
        <v/>
      </c>
      <c r="BE196" s="2" t="str">
        <f ca="1">IFERROR(__xludf.DUMMYFUNCTION("""COMPUTED_VALUE"""),"")</f>
        <v/>
      </c>
      <c r="BF196" t="str">
        <f ca="1">IFERROR(__xludf.DUMMYFUNCTION("""COMPUTED_VALUE"""),"")</f>
        <v/>
      </c>
      <c r="BG196" t="str">
        <f ca="1">IFERROR(__xludf.DUMMYFUNCTION("""COMPUTED_VALUE"""),"")</f>
        <v/>
      </c>
      <c r="BH196" s="2">
        <f ca="1">IFERROR(__xludf.DUMMYFUNCTION("""COMPUTED_VALUE"""),-37.3426056)</f>
        <v>-37.342605599999999</v>
      </c>
      <c r="BI196" s="13">
        <f ca="1">IFERROR(__xludf.DUMMYFUNCTION("""COMPUTED_VALUE"""),175.1635284)</f>
        <v>175.16352839999999</v>
      </c>
      <c r="BJ196" s="9">
        <f ca="1">IFERROR(__xludf.DUMMYFUNCTION("""COMPUTED_VALUE"""),43398)</f>
        <v>43398</v>
      </c>
      <c r="BK196" s="4">
        <f ca="1">IFERROR(__xludf.DUMMYFUNCTION("""COMPUTED_VALUE"""),0.958518518516939)</f>
        <v>0.95851851851693903</v>
      </c>
    </row>
    <row r="197" spans="1:63" ht="12.5" x14ac:dyDescent="0.25">
      <c r="A197" s="7" t="str">
        <f ca="1">IFERROR(__xludf.DUMMYFUNCTION("""COMPUTED_VALUE"""),"")</f>
        <v/>
      </c>
      <c r="B197" s="8" t="str">
        <f ca="1">IFERROR(__xludf.DUMMYFUNCTION("""COMPUTED_VALUE"""),"Waikato")</f>
        <v>Waikato</v>
      </c>
      <c r="C197" s="2">
        <f ca="1">IFERROR(__xludf.DUMMYFUNCTION("""COMPUTED_VALUE"""),23)</f>
        <v>23</v>
      </c>
      <c r="D197" s="9" t="str">
        <f ca="1">IFERROR(__xludf.DUMMYFUNCTION("""COMPUTED_VALUE"""),"")</f>
        <v/>
      </c>
      <c r="E197" s="4" t="str">
        <f ca="1">IFERROR(__xludf.DUMMYFUNCTION("""COMPUTED_VALUE"""),"")</f>
        <v/>
      </c>
      <c r="F197" s="2" t="str">
        <f ca="1">IFERROR(__xludf.DUMMYFUNCTION("""COMPUTED_VALUE"""),"")</f>
        <v/>
      </c>
      <c r="G197" s="2" t="str">
        <f ca="1">IFERROR(__xludf.DUMMYFUNCTION("""COMPUTED_VALUE"""),"GPS: I converted data downloaded from ARGOS using Pinpoint software")</f>
        <v>GPS: I converted data downloaded from ARGOS using Pinpoint software</v>
      </c>
      <c r="H197" s="2" t="str">
        <f ca="1">IFERROR(__xludf.DUMMYFUNCTION("""COMPUTED_VALUE"""),"3D")</f>
        <v>3D</v>
      </c>
      <c r="I197" s="2" t="str">
        <f ca="1">IFERROR(__xludf.DUMMYFUNCTION("""COMPUTED_VALUE"""),"")</f>
        <v/>
      </c>
      <c r="J197" s="2" t="str">
        <f ca="1">IFERROR(__xludf.DUMMYFUNCTION("""COMPUTED_VALUE"""),"")</f>
        <v/>
      </c>
      <c r="K197" s="2" t="str">
        <f ca="1">IFERROR(__xludf.DUMMYFUNCTION("""COMPUTED_VALUE"""),"")</f>
        <v/>
      </c>
      <c r="L197" s="2" t="str">
        <f ca="1">IFERROR(__xludf.DUMMYFUNCTION("""COMPUTED_VALUE"""),"")</f>
        <v/>
      </c>
      <c r="M197" s="5" t="str">
        <f ca="1">IFERROR(__xludf.DUMMYFUNCTION("""COMPUTED_VALUE"""),"")</f>
        <v/>
      </c>
      <c r="N197" s="5" t="str">
        <f ca="1">IFERROR(__xludf.DUMMYFUNCTION("""COMPUTED_VALUE"""),"")</f>
        <v/>
      </c>
      <c r="O197" s="2" t="str">
        <f ca="1">IFERROR(__xludf.DUMMYFUNCTION("""COMPUTED_VALUE"""),"")</f>
        <v/>
      </c>
      <c r="P197" s="2" t="str">
        <f ca="1">IFERROR(__xludf.DUMMYFUNCTION("""COMPUTED_VALUE"""),"")</f>
        <v/>
      </c>
      <c r="Q197" s="2" t="str">
        <f ca="1">IFERROR(__xludf.DUMMYFUNCTION("""COMPUTED_VALUE"""),"")</f>
        <v/>
      </c>
      <c r="R197" s="2" t="str">
        <f ca="1">IFERROR(__xludf.DUMMYFUNCTION("""COMPUTED_VALUE"""),"")</f>
        <v/>
      </c>
      <c r="S197" s="2" t="str">
        <f ca="1">IFERROR(__xludf.DUMMYFUNCTION("""COMPUTED_VALUE"""),"")</f>
        <v/>
      </c>
      <c r="T197" s="2" t="str">
        <f ca="1">IFERROR(__xludf.DUMMYFUNCTION("""COMPUTED_VALUE"""),"")</f>
        <v/>
      </c>
      <c r="U197" s="2" t="str">
        <f ca="1">IFERROR(__xludf.DUMMYFUNCTION("""COMPUTED_VALUE"""),"")</f>
        <v/>
      </c>
      <c r="V197" s="2" t="str">
        <f ca="1">IFERROR(__xludf.DUMMYFUNCTION("""COMPUTED_VALUE"""),"")</f>
        <v/>
      </c>
      <c r="W197" s="2" t="str">
        <f ca="1">IFERROR(__xludf.DUMMYFUNCTION("""COMPUTED_VALUE"""),"")</f>
        <v/>
      </c>
      <c r="X197" s="2" t="str">
        <f ca="1">IFERROR(__xludf.DUMMYFUNCTION("""COMPUTED_VALUE"""),"")</f>
        <v/>
      </c>
      <c r="Y197" s="2" t="str">
        <f ca="1">IFERROR(__xludf.DUMMYFUNCTION("""COMPUTED_VALUE"""),"")</f>
        <v/>
      </c>
      <c r="Z197" s="2" t="str">
        <f ca="1">IFERROR(__xludf.DUMMYFUNCTION("""COMPUTED_VALUE"""),"")</f>
        <v/>
      </c>
      <c r="AA197" s="2" t="str">
        <f ca="1">IFERROR(__xludf.DUMMYFUNCTION("""COMPUTED_VALUE"""),"")</f>
        <v/>
      </c>
      <c r="AB197" s="2" t="str">
        <f ca="1">IFERROR(__xludf.DUMMYFUNCTION("""COMPUTED_VALUE"""),"")</f>
        <v/>
      </c>
      <c r="AC197" s="2" t="str">
        <f ca="1">IFERROR(__xludf.DUMMYFUNCTION("""COMPUTED_VALUE"""),"")</f>
        <v/>
      </c>
      <c r="AD197" s="2" t="str">
        <f ca="1">IFERROR(__xludf.DUMMYFUNCTION("""COMPUTED_VALUE"""),"")</f>
        <v/>
      </c>
      <c r="AE197" s="2" t="str">
        <f ca="1">IFERROR(__xludf.DUMMYFUNCTION("""COMPUTED_VALUE"""),"")</f>
        <v/>
      </c>
      <c r="AF197" s="2" t="str">
        <f ca="1">IFERROR(__xludf.DUMMYFUNCTION("""COMPUTED_VALUE"""),"")</f>
        <v/>
      </c>
      <c r="AG197" s="2" t="str">
        <f ca="1">IFERROR(__xludf.DUMMYFUNCTION("""COMPUTED_VALUE"""),"")</f>
        <v/>
      </c>
      <c r="AH197" s="2" t="str">
        <f ca="1">IFERROR(__xludf.DUMMYFUNCTION("""COMPUTED_VALUE"""),"")</f>
        <v/>
      </c>
      <c r="AI197" s="2" t="str">
        <f ca="1">IFERROR(__xludf.DUMMYFUNCTION("""COMPUTED_VALUE"""),"")</f>
        <v/>
      </c>
      <c r="AJ197" s="2" t="str">
        <f ca="1">IFERROR(__xludf.DUMMYFUNCTION("""COMPUTED_VALUE"""),"")</f>
        <v/>
      </c>
      <c r="AK197" s="2" t="str">
        <f ca="1">IFERROR(__xludf.DUMMYFUNCTION("""COMPUTED_VALUE"""),"")</f>
        <v/>
      </c>
      <c r="AL197" s="2" t="str">
        <f ca="1">IFERROR(__xludf.DUMMYFUNCTION("""COMPUTED_VALUE"""),"")</f>
        <v/>
      </c>
      <c r="AM197" s="2" t="str">
        <f ca="1">IFERROR(__xludf.DUMMYFUNCTION("""COMPUTED_VALUE"""),"")</f>
        <v/>
      </c>
      <c r="AN197" s="2" t="str">
        <f ca="1">IFERROR(__xludf.DUMMYFUNCTION("""COMPUTED_VALUE"""),"")</f>
        <v/>
      </c>
      <c r="AO197" s="2" t="str">
        <f ca="1">IFERROR(__xludf.DUMMYFUNCTION("""COMPUTED_VALUE"""),"")</f>
        <v/>
      </c>
      <c r="AP197" s="2" t="str">
        <f ca="1">IFERROR(__xludf.DUMMYFUNCTION("""COMPUTED_VALUE"""),"")</f>
        <v/>
      </c>
      <c r="AQ197" s="2" t="str">
        <f ca="1">IFERROR(__xludf.DUMMYFUNCTION("""COMPUTED_VALUE"""),"")</f>
        <v/>
      </c>
      <c r="AR197" s="2" t="str">
        <f ca="1">IFERROR(__xludf.DUMMYFUNCTION("""COMPUTED_VALUE"""),"")</f>
        <v/>
      </c>
      <c r="AS197" s="2" t="str">
        <f ca="1">IFERROR(__xludf.DUMMYFUNCTION("""COMPUTED_VALUE"""),"")</f>
        <v/>
      </c>
      <c r="AT197" s="2" t="str">
        <f ca="1">IFERROR(__xludf.DUMMYFUNCTION("""COMPUTED_VALUE"""),"")</f>
        <v/>
      </c>
      <c r="AU197" s="2" t="str">
        <f ca="1">IFERROR(__xludf.DUMMYFUNCTION("""COMPUTED_VALUE"""),"")</f>
        <v/>
      </c>
      <c r="AV197" s="2" t="str">
        <f ca="1">IFERROR(__xludf.DUMMYFUNCTION("""COMPUTED_VALUE"""),"")</f>
        <v/>
      </c>
      <c r="AW197" s="2" t="str">
        <f ca="1">IFERROR(__xludf.DUMMYFUNCTION("""COMPUTED_VALUE"""),"")</f>
        <v/>
      </c>
      <c r="AX197" s="2" t="str">
        <f ca="1">IFERROR(__xludf.DUMMYFUNCTION("""COMPUTED_VALUE"""),"")</f>
        <v/>
      </c>
      <c r="AY197" s="2" t="str">
        <f ca="1">IFERROR(__xludf.DUMMYFUNCTION("""COMPUTED_VALUE"""),"")</f>
        <v/>
      </c>
      <c r="AZ197" s="2" t="str">
        <f ca="1">IFERROR(__xludf.DUMMYFUNCTION("""COMPUTED_VALUE"""),"")</f>
        <v/>
      </c>
      <c r="BA197" s="2" t="str">
        <f ca="1">IFERROR(__xludf.DUMMYFUNCTION("""COMPUTED_VALUE"""),"")</f>
        <v/>
      </c>
      <c r="BB197" s="2" t="str">
        <f ca="1">IFERROR(__xludf.DUMMYFUNCTION("""COMPUTED_VALUE"""),"")</f>
        <v/>
      </c>
      <c r="BC197" s="2" t="str">
        <f ca="1">IFERROR(__xludf.DUMMYFUNCTION("""COMPUTED_VALUE"""),"")</f>
        <v/>
      </c>
      <c r="BD197" s="2" t="str">
        <f ca="1">IFERROR(__xludf.DUMMYFUNCTION("""COMPUTED_VALUE"""),"")</f>
        <v/>
      </c>
      <c r="BE197" s="2" t="str">
        <f ca="1">IFERROR(__xludf.DUMMYFUNCTION("""COMPUTED_VALUE"""),"")</f>
        <v/>
      </c>
      <c r="BF197" t="str">
        <f ca="1">IFERROR(__xludf.DUMMYFUNCTION("""COMPUTED_VALUE"""),"")</f>
        <v/>
      </c>
      <c r="BG197" t="str">
        <f ca="1">IFERROR(__xludf.DUMMYFUNCTION("""COMPUTED_VALUE"""),"")</f>
        <v/>
      </c>
      <c r="BH197" s="2">
        <f ca="1">IFERROR(__xludf.DUMMYFUNCTION("""COMPUTED_VALUE"""),-37.3423233)</f>
        <v>-37.342323299999997</v>
      </c>
      <c r="BI197" s="12">
        <f ca="1">IFERROR(__xludf.DUMMYFUNCTION("""COMPUTED_VALUE"""),175.1660614)</f>
        <v>175.16606139999999</v>
      </c>
      <c r="BJ197" s="9">
        <f ca="1">IFERROR(__xludf.DUMMYFUNCTION("""COMPUTED_VALUE"""),43399)</f>
        <v>43399</v>
      </c>
      <c r="BK197" s="4">
        <f ca="1">IFERROR(__xludf.DUMMYFUNCTION("""COMPUTED_VALUE"""),0.874074074072268)</f>
        <v>0.874074074072268</v>
      </c>
    </row>
    <row r="198" spans="1:63" ht="12.5" x14ac:dyDescent="0.25">
      <c r="A198" s="7" t="str">
        <f ca="1">IFERROR(__xludf.DUMMYFUNCTION("""COMPUTED_VALUE"""),"")</f>
        <v/>
      </c>
      <c r="B198" s="8" t="str">
        <f ca="1">IFERROR(__xludf.DUMMYFUNCTION("""COMPUTED_VALUE"""),"Waikato")</f>
        <v>Waikato</v>
      </c>
      <c r="C198" s="2">
        <f ca="1">IFERROR(__xludf.DUMMYFUNCTION("""COMPUTED_VALUE"""),23)</f>
        <v>23</v>
      </c>
      <c r="D198" s="9" t="str">
        <f ca="1">IFERROR(__xludf.DUMMYFUNCTION("""COMPUTED_VALUE"""),"")</f>
        <v/>
      </c>
      <c r="E198" s="4" t="str">
        <f ca="1">IFERROR(__xludf.DUMMYFUNCTION("""COMPUTED_VALUE"""),"")</f>
        <v/>
      </c>
      <c r="F198" s="2" t="str">
        <f ca="1">IFERROR(__xludf.DUMMYFUNCTION("""COMPUTED_VALUE"""),"")</f>
        <v/>
      </c>
      <c r="G198" s="2" t="str">
        <f ca="1">IFERROR(__xludf.DUMMYFUNCTION("""COMPUTED_VALUE"""),"GPS: I converted data downloaded from ARGOS using Pinpoint software")</f>
        <v>GPS: I converted data downloaded from ARGOS using Pinpoint software</v>
      </c>
      <c r="H198" s="2" t="str">
        <f ca="1">IFERROR(__xludf.DUMMYFUNCTION("""COMPUTED_VALUE"""),"3D")</f>
        <v>3D</v>
      </c>
      <c r="I198" s="2" t="str">
        <f ca="1">IFERROR(__xludf.DUMMYFUNCTION("""COMPUTED_VALUE"""),"")</f>
        <v/>
      </c>
      <c r="J198" s="2" t="str">
        <f ca="1">IFERROR(__xludf.DUMMYFUNCTION("""COMPUTED_VALUE"""),"")</f>
        <v/>
      </c>
      <c r="K198" s="2" t="str">
        <f ca="1">IFERROR(__xludf.DUMMYFUNCTION("""COMPUTED_VALUE"""),"")</f>
        <v/>
      </c>
      <c r="L198" s="2" t="str">
        <f ca="1">IFERROR(__xludf.DUMMYFUNCTION("""COMPUTED_VALUE"""),"")</f>
        <v/>
      </c>
      <c r="M198" s="5" t="str">
        <f ca="1">IFERROR(__xludf.DUMMYFUNCTION("""COMPUTED_VALUE"""),"")</f>
        <v/>
      </c>
      <c r="N198" s="5" t="str">
        <f ca="1">IFERROR(__xludf.DUMMYFUNCTION("""COMPUTED_VALUE"""),"")</f>
        <v/>
      </c>
      <c r="O198" s="2" t="str">
        <f ca="1">IFERROR(__xludf.DUMMYFUNCTION("""COMPUTED_VALUE"""),"")</f>
        <v/>
      </c>
      <c r="P198" s="2" t="str">
        <f ca="1">IFERROR(__xludf.DUMMYFUNCTION("""COMPUTED_VALUE"""),"")</f>
        <v/>
      </c>
      <c r="Q198" s="2" t="str">
        <f ca="1">IFERROR(__xludf.DUMMYFUNCTION("""COMPUTED_VALUE"""),"")</f>
        <v/>
      </c>
      <c r="R198" s="2" t="str">
        <f ca="1">IFERROR(__xludf.DUMMYFUNCTION("""COMPUTED_VALUE"""),"")</f>
        <v/>
      </c>
      <c r="S198" s="2" t="str">
        <f ca="1">IFERROR(__xludf.DUMMYFUNCTION("""COMPUTED_VALUE"""),"")</f>
        <v/>
      </c>
      <c r="T198" s="2" t="str">
        <f ca="1">IFERROR(__xludf.DUMMYFUNCTION("""COMPUTED_VALUE"""),"")</f>
        <v/>
      </c>
      <c r="U198" s="2" t="str">
        <f ca="1">IFERROR(__xludf.DUMMYFUNCTION("""COMPUTED_VALUE"""),"")</f>
        <v/>
      </c>
      <c r="V198" s="2" t="str">
        <f ca="1">IFERROR(__xludf.DUMMYFUNCTION("""COMPUTED_VALUE"""),"")</f>
        <v/>
      </c>
      <c r="W198" s="2" t="str">
        <f ca="1">IFERROR(__xludf.DUMMYFUNCTION("""COMPUTED_VALUE"""),"")</f>
        <v/>
      </c>
      <c r="X198" s="2" t="str">
        <f ca="1">IFERROR(__xludf.DUMMYFUNCTION("""COMPUTED_VALUE"""),"")</f>
        <v/>
      </c>
      <c r="Y198" s="2" t="str">
        <f ca="1">IFERROR(__xludf.DUMMYFUNCTION("""COMPUTED_VALUE"""),"")</f>
        <v/>
      </c>
      <c r="Z198" s="2" t="str">
        <f ca="1">IFERROR(__xludf.DUMMYFUNCTION("""COMPUTED_VALUE"""),"")</f>
        <v/>
      </c>
      <c r="AA198" s="2" t="str">
        <f ca="1">IFERROR(__xludf.DUMMYFUNCTION("""COMPUTED_VALUE"""),"")</f>
        <v/>
      </c>
      <c r="AB198" s="2" t="str">
        <f ca="1">IFERROR(__xludf.DUMMYFUNCTION("""COMPUTED_VALUE"""),"")</f>
        <v/>
      </c>
      <c r="AC198" s="2" t="str">
        <f ca="1">IFERROR(__xludf.DUMMYFUNCTION("""COMPUTED_VALUE"""),"")</f>
        <v/>
      </c>
      <c r="AD198" s="2" t="str">
        <f ca="1">IFERROR(__xludf.DUMMYFUNCTION("""COMPUTED_VALUE"""),"")</f>
        <v/>
      </c>
      <c r="AE198" s="2" t="str">
        <f ca="1">IFERROR(__xludf.DUMMYFUNCTION("""COMPUTED_VALUE"""),"")</f>
        <v/>
      </c>
      <c r="AF198" s="2" t="str">
        <f ca="1">IFERROR(__xludf.DUMMYFUNCTION("""COMPUTED_VALUE"""),"")</f>
        <v/>
      </c>
      <c r="AG198" s="2" t="str">
        <f ca="1">IFERROR(__xludf.DUMMYFUNCTION("""COMPUTED_VALUE"""),"")</f>
        <v/>
      </c>
      <c r="AH198" s="2" t="str">
        <f ca="1">IFERROR(__xludf.DUMMYFUNCTION("""COMPUTED_VALUE"""),"")</f>
        <v/>
      </c>
      <c r="AI198" s="2" t="str">
        <f ca="1">IFERROR(__xludf.DUMMYFUNCTION("""COMPUTED_VALUE"""),"")</f>
        <v/>
      </c>
      <c r="AJ198" s="2" t="str">
        <f ca="1">IFERROR(__xludf.DUMMYFUNCTION("""COMPUTED_VALUE"""),"")</f>
        <v/>
      </c>
      <c r="AK198" s="2" t="str">
        <f ca="1">IFERROR(__xludf.DUMMYFUNCTION("""COMPUTED_VALUE"""),"")</f>
        <v/>
      </c>
      <c r="AL198" s="2" t="str">
        <f ca="1">IFERROR(__xludf.DUMMYFUNCTION("""COMPUTED_VALUE"""),"")</f>
        <v/>
      </c>
      <c r="AM198" s="2" t="str">
        <f ca="1">IFERROR(__xludf.DUMMYFUNCTION("""COMPUTED_VALUE"""),"")</f>
        <v/>
      </c>
      <c r="AN198" s="2" t="str">
        <f ca="1">IFERROR(__xludf.DUMMYFUNCTION("""COMPUTED_VALUE"""),"")</f>
        <v/>
      </c>
      <c r="AO198" s="2" t="str">
        <f ca="1">IFERROR(__xludf.DUMMYFUNCTION("""COMPUTED_VALUE"""),"")</f>
        <v/>
      </c>
      <c r="AP198" s="2" t="str">
        <f ca="1">IFERROR(__xludf.DUMMYFUNCTION("""COMPUTED_VALUE"""),"")</f>
        <v/>
      </c>
      <c r="AQ198" s="2" t="str">
        <f ca="1">IFERROR(__xludf.DUMMYFUNCTION("""COMPUTED_VALUE"""),"")</f>
        <v/>
      </c>
      <c r="AR198" s="2" t="str">
        <f ca="1">IFERROR(__xludf.DUMMYFUNCTION("""COMPUTED_VALUE"""),"")</f>
        <v/>
      </c>
      <c r="AS198" s="2" t="str">
        <f ca="1">IFERROR(__xludf.DUMMYFUNCTION("""COMPUTED_VALUE"""),"")</f>
        <v/>
      </c>
      <c r="AT198" s="2" t="str">
        <f ca="1">IFERROR(__xludf.DUMMYFUNCTION("""COMPUTED_VALUE"""),"")</f>
        <v/>
      </c>
      <c r="AU198" s="2" t="str">
        <f ca="1">IFERROR(__xludf.DUMMYFUNCTION("""COMPUTED_VALUE"""),"")</f>
        <v/>
      </c>
      <c r="AV198" s="2" t="str">
        <f ca="1">IFERROR(__xludf.DUMMYFUNCTION("""COMPUTED_VALUE"""),"")</f>
        <v/>
      </c>
      <c r="AW198" s="2" t="str">
        <f ca="1">IFERROR(__xludf.DUMMYFUNCTION("""COMPUTED_VALUE"""),"")</f>
        <v/>
      </c>
      <c r="AX198" s="2" t="str">
        <f ca="1">IFERROR(__xludf.DUMMYFUNCTION("""COMPUTED_VALUE"""),"")</f>
        <v/>
      </c>
      <c r="AY198" s="2" t="str">
        <f ca="1">IFERROR(__xludf.DUMMYFUNCTION("""COMPUTED_VALUE"""),"")</f>
        <v/>
      </c>
      <c r="AZ198" s="2" t="str">
        <f ca="1">IFERROR(__xludf.DUMMYFUNCTION("""COMPUTED_VALUE"""),"")</f>
        <v/>
      </c>
      <c r="BA198" s="2" t="str">
        <f ca="1">IFERROR(__xludf.DUMMYFUNCTION("""COMPUTED_VALUE"""),"")</f>
        <v/>
      </c>
      <c r="BB198" s="2" t="str">
        <f ca="1">IFERROR(__xludf.DUMMYFUNCTION("""COMPUTED_VALUE"""),"")</f>
        <v/>
      </c>
      <c r="BC198" s="2" t="str">
        <f ca="1">IFERROR(__xludf.DUMMYFUNCTION("""COMPUTED_VALUE"""),"")</f>
        <v/>
      </c>
      <c r="BD198" s="2" t="str">
        <f ca="1">IFERROR(__xludf.DUMMYFUNCTION("""COMPUTED_VALUE"""),"")</f>
        <v/>
      </c>
      <c r="BE198" s="2" t="str">
        <f ca="1">IFERROR(__xludf.DUMMYFUNCTION("""COMPUTED_VALUE"""),"")</f>
        <v/>
      </c>
      <c r="BF198" t="str">
        <f ca="1">IFERROR(__xludf.DUMMYFUNCTION("""COMPUTED_VALUE"""),"")</f>
        <v/>
      </c>
      <c r="BG198" t="str">
        <f ca="1">IFERROR(__xludf.DUMMYFUNCTION("""COMPUTED_VALUE"""),"")</f>
        <v/>
      </c>
      <c r="BH198" s="2">
        <f ca="1">IFERROR(__xludf.DUMMYFUNCTION("""COMPUTED_VALUE"""),-37.3423233)</f>
        <v>-37.342323299999997</v>
      </c>
      <c r="BI198" s="13">
        <f ca="1">IFERROR(__xludf.DUMMYFUNCTION("""COMPUTED_VALUE"""),175.1128235)</f>
        <v>175.11282349999999</v>
      </c>
      <c r="BJ198" s="9">
        <f ca="1">IFERROR(__xludf.DUMMYFUNCTION("""COMPUTED_VALUE"""),43399)</f>
        <v>43399</v>
      </c>
      <c r="BK198" s="4">
        <f ca="1">IFERROR(__xludf.DUMMYFUNCTION("""COMPUTED_VALUE"""),0.877037037036643)</f>
        <v>0.87703703703664304</v>
      </c>
    </row>
    <row r="199" spans="1:63" ht="12.5" x14ac:dyDescent="0.25">
      <c r="A199" s="7" t="str">
        <f ca="1">IFERROR(__xludf.DUMMYFUNCTION("""COMPUTED_VALUE"""),"")</f>
        <v/>
      </c>
      <c r="B199" s="8" t="str">
        <f ca="1">IFERROR(__xludf.DUMMYFUNCTION("""COMPUTED_VALUE"""),"Waikato")</f>
        <v>Waikato</v>
      </c>
      <c r="C199" s="2">
        <f ca="1">IFERROR(__xludf.DUMMYFUNCTION("""COMPUTED_VALUE"""),23)</f>
        <v>23</v>
      </c>
      <c r="D199" s="9" t="str">
        <f ca="1">IFERROR(__xludf.DUMMYFUNCTION("""COMPUTED_VALUE"""),"")</f>
        <v/>
      </c>
      <c r="E199" s="4" t="str">
        <f ca="1">IFERROR(__xludf.DUMMYFUNCTION("""COMPUTED_VALUE"""),"")</f>
        <v/>
      </c>
      <c r="F199" s="2" t="str">
        <f ca="1">IFERROR(__xludf.DUMMYFUNCTION("""COMPUTED_VALUE"""),"")</f>
        <v/>
      </c>
      <c r="G199" s="2" t="str">
        <f ca="1">IFERROR(__xludf.DUMMYFUNCTION("""COMPUTED_VALUE"""),"GPS: I converted data downloaded from ARGOS using Pinpoint software")</f>
        <v>GPS: I converted data downloaded from ARGOS using Pinpoint software</v>
      </c>
      <c r="H199" s="2" t="str">
        <f ca="1">IFERROR(__xludf.DUMMYFUNCTION("""COMPUTED_VALUE"""),"3D")</f>
        <v>3D</v>
      </c>
      <c r="I199" s="2" t="str">
        <f ca="1">IFERROR(__xludf.DUMMYFUNCTION("""COMPUTED_VALUE"""),"")</f>
        <v/>
      </c>
      <c r="J199" s="2" t="str">
        <f ca="1">IFERROR(__xludf.DUMMYFUNCTION("""COMPUTED_VALUE"""),"")</f>
        <v/>
      </c>
      <c r="K199" s="2" t="str">
        <f ca="1">IFERROR(__xludf.DUMMYFUNCTION("""COMPUTED_VALUE"""),"")</f>
        <v/>
      </c>
      <c r="L199" s="2" t="str">
        <f ca="1">IFERROR(__xludf.DUMMYFUNCTION("""COMPUTED_VALUE"""),"")</f>
        <v/>
      </c>
      <c r="M199" s="5" t="str">
        <f ca="1">IFERROR(__xludf.DUMMYFUNCTION("""COMPUTED_VALUE"""),"")</f>
        <v/>
      </c>
      <c r="N199" s="5" t="str">
        <f ca="1">IFERROR(__xludf.DUMMYFUNCTION("""COMPUTED_VALUE"""),"")</f>
        <v/>
      </c>
      <c r="O199" s="2" t="str">
        <f ca="1">IFERROR(__xludf.DUMMYFUNCTION("""COMPUTED_VALUE"""),"")</f>
        <v/>
      </c>
      <c r="P199" s="2" t="str">
        <f ca="1">IFERROR(__xludf.DUMMYFUNCTION("""COMPUTED_VALUE"""),"")</f>
        <v/>
      </c>
      <c r="Q199" s="2" t="str">
        <f ca="1">IFERROR(__xludf.DUMMYFUNCTION("""COMPUTED_VALUE"""),"")</f>
        <v/>
      </c>
      <c r="R199" s="2" t="str">
        <f ca="1">IFERROR(__xludf.DUMMYFUNCTION("""COMPUTED_VALUE"""),"")</f>
        <v/>
      </c>
      <c r="S199" s="2" t="str">
        <f ca="1">IFERROR(__xludf.DUMMYFUNCTION("""COMPUTED_VALUE"""),"")</f>
        <v/>
      </c>
      <c r="T199" s="2" t="str">
        <f ca="1">IFERROR(__xludf.DUMMYFUNCTION("""COMPUTED_VALUE"""),"")</f>
        <v/>
      </c>
      <c r="U199" s="2" t="str">
        <f ca="1">IFERROR(__xludf.DUMMYFUNCTION("""COMPUTED_VALUE"""),"")</f>
        <v/>
      </c>
      <c r="V199" s="2" t="str">
        <f ca="1">IFERROR(__xludf.DUMMYFUNCTION("""COMPUTED_VALUE"""),"")</f>
        <v/>
      </c>
      <c r="W199" s="2" t="str">
        <f ca="1">IFERROR(__xludf.DUMMYFUNCTION("""COMPUTED_VALUE"""),"")</f>
        <v/>
      </c>
      <c r="X199" s="2" t="str">
        <f ca="1">IFERROR(__xludf.DUMMYFUNCTION("""COMPUTED_VALUE"""),"")</f>
        <v/>
      </c>
      <c r="Y199" s="2" t="str">
        <f ca="1">IFERROR(__xludf.DUMMYFUNCTION("""COMPUTED_VALUE"""),"")</f>
        <v/>
      </c>
      <c r="Z199" s="2" t="str">
        <f ca="1">IFERROR(__xludf.DUMMYFUNCTION("""COMPUTED_VALUE"""),"")</f>
        <v/>
      </c>
      <c r="AA199" s="2" t="str">
        <f ca="1">IFERROR(__xludf.DUMMYFUNCTION("""COMPUTED_VALUE"""),"")</f>
        <v/>
      </c>
      <c r="AB199" s="2" t="str">
        <f ca="1">IFERROR(__xludf.DUMMYFUNCTION("""COMPUTED_VALUE"""),"")</f>
        <v/>
      </c>
      <c r="AC199" s="2" t="str">
        <f ca="1">IFERROR(__xludf.DUMMYFUNCTION("""COMPUTED_VALUE"""),"")</f>
        <v/>
      </c>
      <c r="AD199" s="2" t="str">
        <f ca="1">IFERROR(__xludf.DUMMYFUNCTION("""COMPUTED_VALUE"""),"")</f>
        <v/>
      </c>
      <c r="AE199" s="2" t="str">
        <f ca="1">IFERROR(__xludf.DUMMYFUNCTION("""COMPUTED_VALUE"""),"")</f>
        <v/>
      </c>
      <c r="AF199" s="2" t="str">
        <f ca="1">IFERROR(__xludf.DUMMYFUNCTION("""COMPUTED_VALUE"""),"")</f>
        <v/>
      </c>
      <c r="AG199" s="2" t="str">
        <f ca="1">IFERROR(__xludf.DUMMYFUNCTION("""COMPUTED_VALUE"""),"")</f>
        <v/>
      </c>
      <c r="AH199" s="2" t="str">
        <f ca="1">IFERROR(__xludf.DUMMYFUNCTION("""COMPUTED_VALUE"""),"")</f>
        <v/>
      </c>
      <c r="AI199" s="2" t="str">
        <f ca="1">IFERROR(__xludf.DUMMYFUNCTION("""COMPUTED_VALUE"""),"")</f>
        <v/>
      </c>
      <c r="AJ199" s="2" t="str">
        <f ca="1">IFERROR(__xludf.DUMMYFUNCTION("""COMPUTED_VALUE"""),"")</f>
        <v/>
      </c>
      <c r="AK199" s="2" t="str">
        <f ca="1">IFERROR(__xludf.DUMMYFUNCTION("""COMPUTED_VALUE"""),"")</f>
        <v/>
      </c>
      <c r="AL199" s="2" t="str">
        <f ca="1">IFERROR(__xludf.DUMMYFUNCTION("""COMPUTED_VALUE"""),"")</f>
        <v/>
      </c>
      <c r="AM199" s="2" t="str">
        <f ca="1">IFERROR(__xludf.DUMMYFUNCTION("""COMPUTED_VALUE"""),"")</f>
        <v/>
      </c>
      <c r="AN199" s="2" t="str">
        <f ca="1">IFERROR(__xludf.DUMMYFUNCTION("""COMPUTED_VALUE"""),"")</f>
        <v/>
      </c>
      <c r="AO199" s="2" t="str">
        <f ca="1">IFERROR(__xludf.DUMMYFUNCTION("""COMPUTED_VALUE"""),"")</f>
        <v/>
      </c>
      <c r="AP199" s="2" t="str">
        <f ca="1">IFERROR(__xludf.DUMMYFUNCTION("""COMPUTED_VALUE"""),"")</f>
        <v/>
      </c>
      <c r="AQ199" s="2" t="str">
        <f ca="1">IFERROR(__xludf.DUMMYFUNCTION("""COMPUTED_VALUE"""),"")</f>
        <v/>
      </c>
      <c r="AR199" s="2" t="str">
        <f ca="1">IFERROR(__xludf.DUMMYFUNCTION("""COMPUTED_VALUE"""),"")</f>
        <v/>
      </c>
      <c r="AS199" s="2" t="str">
        <f ca="1">IFERROR(__xludf.DUMMYFUNCTION("""COMPUTED_VALUE"""),"")</f>
        <v/>
      </c>
      <c r="AT199" s="2" t="str">
        <f ca="1">IFERROR(__xludf.DUMMYFUNCTION("""COMPUTED_VALUE"""),"")</f>
        <v/>
      </c>
      <c r="AU199" s="2" t="str">
        <f ca="1">IFERROR(__xludf.DUMMYFUNCTION("""COMPUTED_VALUE"""),"")</f>
        <v/>
      </c>
      <c r="AV199" s="2" t="str">
        <f ca="1">IFERROR(__xludf.DUMMYFUNCTION("""COMPUTED_VALUE"""),"")</f>
        <v/>
      </c>
      <c r="AW199" s="2" t="str">
        <f ca="1">IFERROR(__xludf.DUMMYFUNCTION("""COMPUTED_VALUE"""),"")</f>
        <v/>
      </c>
      <c r="AX199" s="2" t="str">
        <f ca="1">IFERROR(__xludf.DUMMYFUNCTION("""COMPUTED_VALUE"""),"")</f>
        <v/>
      </c>
      <c r="AY199" s="2" t="str">
        <f ca="1">IFERROR(__xludf.DUMMYFUNCTION("""COMPUTED_VALUE"""),"")</f>
        <v/>
      </c>
      <c r="AZ199" s="2" t="str">
        <f ca="1">IFERROR(__xludf.DUMMYFUNCTION("""COMPUTED_VALUE"""),"")</f>
        <v/>
      </c>
      <c r="BA199" s="2" t="str">
        <f ca="1">IFERROR(__xludf.DUMMYFUNCTION("""COMPUTED_VALUE"""),"")</f>
        <v/>
      </c>
      <c r="BB199" s="2" t="str">
        <f ca="1">IFERROR(__xludf.DUMMYFUNCTION("""COMPUTED_VALUE"""),"")</f>
        <v/>
      </c>
      <c r="BC199" s="2" t="str">
        <f ca="1">IFERROR(__xludf.DUMMYFUNCTION("""COMPUTED_VALUE"""),"")</f>
        <v/>
      </c>
      <c r="BD199" s="2" t="str">
        <f ca="1">IFERROR(__xludf.DUMMYFUNCTION("""COMPUTED_VALUE"""),"")</f>
        <v/>
      </c>
      <c r="BE199" s="2" t="str">
        <f ca="1">IFERROR(__xludf.DUMMYFUNCTION("""COMPUTED_VALUE"""),"")</f>
        <v/>
      </c>
      <c r="BF199" t="str">
        <f ca="1">IFERROR(__xludf.DUMMYFUNCTION("""COMPUTED_VALUE"""),"")</f>
        <v/>
      </c>
      <c r="BG199" t="str">
        <f ca="1">IFERROR(__xludf.DUMMYFUNCTION("""COMPUTED_VALUE"""),"")</f>
        <v/>
      </c>
      <c r="BH199" s="2">
        <f ca="1">IFERROR(__xludf.DUMMYFUNCTION("""COMPUTED_VALUE"""),-37.3386383)</f>
        <v>-37.3386383</v>
      </c>
      <c r="BI199" s="12">
        <f ca="1">IFERROR(__xludf.DUMMYFUNCTION("""COMPUTED_VALUE"""),175.1661987)</f>
        <v>175.1661987</v>
      </c>
      <c r="BJ199" s="9">
        <f ca="1">IFERROR(__xludf.DUMMYFUNCTION("""COMPUTED_VALUE"""),43400)</f>
        <v>43400</v>
      </c>
      <c r="BK199" s="4">
        <f ca="1">IFERROR(__xludf.DUMMYFUNCTION("""COMPUTED_VALUE"""),0.457777777777664)</f>
        <v>0.45777777777766399</v>
      </c>
    </row>
    <row r="200" spans="1:63" ht="12.5" x14ac:dyDescent="0.25">
      <c r="A200" s="7" t="str">
        <f ca="1">IFERROR(__xludf.DUMMYFUNCTION("""COMPUTED_VALUE"""),"")</f>
        <v/>
      </c>
      <c r="B200" s="8" t="str">
        <f ca="1">IFERROR(__xludf.DUMMYFUNCTION("""COMPUTED_VALUE"""),"Waikato")</f>
        <v>Waikato</v>
      </c>
      <c r="C200" s="2">
        <f ca="1">IFERROR(__xludf.DUMMYFUNCTION("""COMPUTED_VALUE"""),23)</f>
        <v>23</v>
      </c>
      <c r="D200" s="9" t="str">
        <f ca="1">IFERROR(__xludf.DUMMYFUNCTION("""COMPUTED_VALUE"""),"")</f>
        <v/>
      </c>
      <c r="E200" s="4" t="str">
        <f ca="1">IFERROR(__xludf.DUMMYFUNCTION("""COMPUTED_VALUE"""),"")</f>
        <v/>
      </c>
      <c r="F200" s="2" t="str">
        <f ca="1">IFERROR(__xludf.DUMMYFUNCTION("""COMPUTED_VALUE"""),"")</f>
        <v/>
      </c>
      <c r="G200" s="2" t="str">
        <f ca="1">IFERROR(__xludf.DUMMYFUNCTION("""COMPUTED_VALUE"""),"GPS: I converted data downloaded from ARGOS using Pinpoint software")</f>
        <v>GPS: I converted data downloaded from ARGOS using Pinpoint software</v>
      </c>
      <c r="H200" s="2" t="str">
        <f ca="1">IFERROR(__xludf.DUMMYFUNCTION("""COMPUTED_VALUE"""),"3D")</f>
        <v>3D</v>
      </c>
      <c r="I200" s="2" t="str">
        <f ca="1">IFERROR(__xludf.DUMMYFUNCTION("""COMPUTED_VALUE"""),"")</f>
        <v/>
      </c>
      <c r="J200" s="2" t="str">
        <f ca="1">IFERROR(__xludf.DUMMYFUNCTION("""COMPUTED_VALUE"""),"")</f>
        <v/>
      </c>
      <c r="K200" s="2" t="str">
        <f ca="1">IFERROR(__xludf.DUMMYFUNCTION("""COMPUTED_VALUE"""),"")</f>
        <v/>
      </c>
      <c r="L200" s="2" t="str">
        <f ca="1">IFERROR(__xludf.DUMMYFUNCTION("""COMPUTED_VALUE"""),"")</f>
        <v/>
      </c>
      <c r="M200" s="5" t="str">
        <f ca="1">IFERROR(__xludf.DUMMYFUNCTION("""COMPUTED_VALUE"""),"")</f>
        <v/>
      </c>
      <c r="N200" s="5" t="str">
        <f ca="1">IFERROR(__xludf.DUMMYFUNCTION("""COMPUTED_VALUE"""),"")</f>
        <v/>
      </c>
      <c r="O200" s="2" t="str">
        <f ca="1">IFERROR(__xludf.DUMMYFUNCTION("""COMPUTED_VALUE"""),"")</f>
        <v/>
      </c>
      <c r="P200" s="2" t="str">
        <f ca="1">IFERROR(__xludf.DUMMYFUNCTION("""COMPUTED_VALUE"""),"")</f>
        <v/>
      </c>
      <c r="Q200" s="2" t="str">
        <f ca="1">IFERROR(__xludf.DUMMYFUNCTION("""COMPUTED_VALUE"""),"")</f>
        <v/>
      </c>
      <c r="R200" s="2" t="str">
        <f ca="1">IFERROR(__xludf.DUMMYFUNCTION("""COMPUTED_VALUE"""),"")</f>
        <v/>
      </c>
      <c r="S200" s="2" t="str">
        <f ca="1">IFERROR(__xludf.DUMMYFUNCTION("""COMPUTED_VALUE"""),"")</f>
        <v/>
      </c>
      <c r="T200" s="2" t="str">
        <f ca="1">IFERROR(__xludf.DUMMYFUNCTION("""COMPUTED_VALUE"""),"")</f>
        <v/>
      </c>
      <c r="U200" s="2" t="str">
        <f ca="1">IFERROR(__xludf.DUMMYFUNCTION("""COMPUTED_VALUE"""),"")</f>
        <v/>
      </c>
      <c r="V200" s="2" t="str">
        <f ca="1">IFERROR(__xludf.DUMMYFUNCTION("""COMPUTED_VALUE"""),"")</f>
        <v/>
      </c>
      <c r="W200" s="2" t="str">
        <f ca="1">IFERROR(__xludf.DUMMYFUNCTION("""COMPUTED_VALUE"""),"")</f>
        <v/>
      </c>
      <c r="X200" s="2" t="str">
        <f ca="1">IFERROR(__xludf.DUMMYFUNCTION("""COMPUTED_VALUE"""),"")</f>
        <v/>
      </c>
      <c r="Y200" s="2" t="str">
        <f ca="1">IFERROR(__xludf.DUMMYFUNCTION("""COMPUTED_VALUE"""),"")</f>
        <v/>
      </c>
      <c r="Z200" s="2" t="str">
        <f ca="1">IFERROR(__xludf.DUMMYFUNCTION("""COMPUTED_VALUE"""),"")</f>
        <v/>
      </c>
      <c r="AA200" s="2" t="str">
        <f ca="1">IFERROR(__xludf.DUMMYFUNCTION("""COMPUTED_VALUE"""),"")</f>
        <v/>
      </c>
      <c r="AB200" s="2" t="str">
        <f ca="1">IFERROR(__xludf.DUMMYFUNCTION("""COMPUTED_VALUE"""),"")</f>
        <v/>
      </c>
      <c r="AC200" s="2" t="str">
        <f ca="1">IFERROR(__xludf.DUMMYFUNCTION("""COMPUTED_VALUE"""),"")</f>
        <v/>
      </c>
      <c r="AD200" s="2" t="str">
        <f ca="1">IFERROR(__xludf.DUMMYFUNCTION("""COMPUTED_VALUE"""),"")</f>
        <v/>
      </c>
      <c r="AE200" s="2" t="str">
        <f ca="1">IFERROR(__xludf.DUMMYFUNCTION("""COMPUTED_VALUE"""),"")</f>
        <v/>
      </c>
      <c r="AF200" s="2" t="str">
        <f ca="1">IFERROR(__xludf.DUMMYFUNCTION("""COMPUTED_VALUE"""),"")</f>
        <v/>
      </c>
      <c r="AG200" s="2" t="str">
        <f ca="1">IFERROR(__xludf.DUMMYFUNCTION("""COMPUTED_VALUE"""),"")</f>
        <v/>
      </c>
      <c r="AH200" s="2" t="str">
        <f ca="1">IFERROR(__xludf.DUMMYFUNCTION("""COMPUTED_VALUE"""),"")</f>
        <v/>
      </c>
      <c r="AI200" s="2" t="str">
        <f ca="1">IFERROR(__xludf.DUMMYFUNCTION("""COMPUTED_VALUE"""),"")</f>
        <v/>
      </c>
      <c r="AJ200" s="2" t="str">
        <f ca="1">IFERROR(__xludf.DUMMYFUNCTION("""COMPUTED_VALUE"""),"")</f>
        <v/>
      </c>
      <c r="AK200" s="2" t="str">
        <f ca="1">IFERROR(__xludf.DUMMYFUNCTION("""COMPUTED_VALUE"""),"")</f>
        <v/>
      </c>
      <c r="AL200" s="2" t="str">
        <f ca="1">IFERROR(__xludf.DUMMYFUNCTION("""COMPUTED_VALUE"""),"")</f>
        <v/>
      </c>
      <c r="AM200" s="2" t="str">
        <f ca="1">IFERROR(__xludf.DUMMYFUNCTION("""COMPUTED_VALUE"""),"")</f>
        <v/>
      </c>
      <c r="AN200" s="2" t="str">
        <f ca="1">IFERROR(__xludf.DUMMYFUNCTION("""COMPUTED_VALUE"""),"")</f>
        <v/>
      </c>
      <c r="AO200" s="2" t="str">
        <f ca="1">IFERROR(__xludf.DUMMYFUNCTION("""COMPUTED_VALUE"""),"")</f>
        <v/>
      </c>
      <c r="AP200" s="2" t="str">
        <f ca="1">IFERROR(__xludf.DUMMYFUNCTION("""COMPUTED_VALUE"""),"")</f>
        <v/>
      </c>
      <c r="AQ200" s="2" t="str">
        <f ca="1">IFERROR(__xludf.DUMMYFUNCTION("""COMPUTED_VALUE"""),"")</f>
        <v/>
      </c>
      <c r="AR200" s="2" t="str">
        <f ca="1">IFERROR(__xludf.DUMMYFUNCTION("""COMPUTED_VALUE"""),"")</f>
        <v/>
      </c>
      <c r="AS200" s="2" t="str">
        <f ca="1">IFERROR(__xludf.DUMMYFUNCTION("""COMPUTED_VALUE"""),"")</f>
        <v/>
      </c>
      <c r="AT200" s="2" t="str">
        <f ca="1">IFERROR(__xludf.DUMMYFUNCTION("""COMPUTED_VALUE"""),"")</f>
        <v/>
      </c>
      <c r="AU200" s="2" t="str">
        <f ca="1">IFERROR(__xludf.DUMMYFUNCTION("""COMPUTED_VALUE"""),"")</f>
        <v/>
      </c>
      <c r="AV200" s="2" t="str">
        <f ca="1">IFERROR(__xludf.DUMMYFUNCTION("""COMPUTED_VALUE"""),"")</f>
        <v/>
      </c>
      <c r="AW200" s="2" t="str">
        <f ca="1">IFERROR(__xludf.DUMMYFUNCTION("""COMPUTED_VALUE"""),"")</f>
        <v/>
      </c>
      <c r="AX200" s="2" t="str">
        <f ca="1">IFERROR(__xludf.DUMMYFUNCTION("""COMPUTED_VALUE"""),"")</f>
        <v/>
      </c>
      <c r="AY200" s="2" t="str">
        <f ca="1">IFERROR(__xludf.DUMMYFUNCTION("""COMPUTED_VALUE"""),"")</f>
        <v/>
      </c>
      <c r="AZ200" s="2" t="str">
        <f ca="1">IFERROR(__xludf.DUMMYFUNCTION("""COMPUTED_VALUE"""),"")</f>
        <v/>
      </c>
      <c r="BA200" s="2" t="str">
        <f ca="1">IFERROR(__xludf.DUMMYFUNCTION("""COMPUTED_VALUE"""),"")</f>
        <v/>
      </c>
      <c r="BB200" s="2" t="str">
        <f ca="1">IFERROR(__xludf.DUMMYFUNCTION("""COMPUTED_VALUE"""),"")</f>
        <v/>
      </c>
      <c r="BC200" s="2" t="str">
        <f ca="1">IFERROR(__xludf.DUMMYFUNCTION("""COMPUTED_VALUE"""),"")</f>
        <v/>
      </c>
      <c r="BD200" s="2" t="str">
        <f ca="1">IFERROR(__xludf.DUMMYFUNCTION("""COMPUTED_VALUE"""),"")</f>
        <v/>
      </c>
      <c r="BE200" s="2" t="str">
        <f ca="1">IFERROR(__xludf.DUMMYFUNCTION("""COMPUTED_VALUE"""),"")</f>
        <v/>
      </c>
      <c r="BF200" t="str">
        <f ca="1">IFERROR(__xludf.DUMMYFUNCTION("""COMPUTED_VALUE"""),"")</f>
        <v/>
      </c>
      <c r="BG200" t="str">
        <f ca="1">IFERROR(__xludf.DUMMYFUNCTION("""COMPUTED_VALUE"""),"")</f>
        <v/>
      </c>
      <c r="BH200" s="2">
        <f ca="1">IFERROR(__xludf.DUMMYFUNCTION("""COMPUTED_VALUE"""),-37.34235)</f>
        <v>-37.342350000000003</v>
      </c>
      <c r="BI200" s="13">
        <f ca="1">IFERROR(__xludf.DUMMYFUNCTION("""COMPUTED_VALUE"""),175.1647797)</f>
        <v>175.1647797</v>
      </c>
      <c r="BJ200" s="9">
        <f ca="1">IFERROR(__xludf.DUMMYFUNCTION("""COMPUTED_VALUE"""),43400)</f>
        <v>43400</v>
      </c>
      <c r="BK200" s="4">
        <f ca="1">IFERROR(__xludf.DUMMYFUNCTION("""COMPUTED_VALUE"""),0.958518518516939)</f>
        <v>0.95851851851693903</v>
      </c>
    </row>
    <row r="201" spans="1:63" ht="12.5" x14ac:dyDescent="0.25">
      <c r="A201" s="7" t="str">
        <f ca="1">IFERROR(__xludf.DUMMYFUNCTION("""COMPUTED_VALUE"""),"")</f>
        <v/>
      </c>
      <c r="B201" s="8" t="str">
        <f ca="1">IFERROR(__xludf.DUMMYFUNCTION("""COMPUTED_VALUE"""),"Waikato")</f>
        <v>Waikato</v>
      </c>
      <c r="C201" s="2">
        <f ca="1">IFERROR(__xludf.DUMMYFUNCTION("""COMPUTED_VALUE"""),23)</f>
        <v>23</v>
      </c>
      <c r="D201" s="9" t="str">
        <f ca="1">IFERROR(__xludf.DUMMYFUNCTION("""COMPUTED_VALUE"""),"")</f>
        <v/>
      </c>
      <c r="E201" s="4" t="str">
        <f ca="1">IFERROR(__xludf.DUMMYFUNCTION("""COMPUTED_VALUE"""),"")</f>
        <v/>
      </c>
      <c r="F201" s="2" t="str">
        <f ca="1">IFERROR(__xludf.DUMMYFUNCTION("""COMPUTED_VALUE"""),"")</f>
        <v/>
      </c>
      <c r="G201" s="2" t="str">
        <f ca="1">IFERROR(__xludf.DUMMYFUNCTION("""COMPUTED_VALUE"""),"GPS: I converted data downloaded from ARGOS using Pinpoint software")</f>
        <v>GPS: I converted data downloaded from ARGOS using Pinpoint software</v>
      </c>
      <c r="H201" s="2" t="str">
        <f ca="1">IFERROR(__xludf.DUMMYFUNCTION("""COMPUTED_VALUE"""),"3D")</f>
        <v>3D</v>
      </c>
      <c r="I201" s="2" t="str">
        <f ca="1">IFERROR(__xludf.DUMMYFUNCTION("""COMPUTED_VALUE"""),"")</f>
        <v/>
      </c>
      <c r="J201" s="2" t="str">
        <f ca="1">IFERROR(__xludf.DUMMYFUNCTION("""COMPUTED_VALUE"""),"")</f>
        <v/>
      </c>
      <c r="K201" s="2" t="str">
        <f ca="1">IFERROR(__xludf.DUMMYFUNCTION("""COMPUTED_VALUE"""),"")</f>
        <v/>
      </c>
      <c r="L201" s="2" t="str">
        <f ca="1">IFERROR(__xludf.DUMMYFUNCTION("""COMPUTED_VALUE"""),"")</f>
        <v/>
      </c>
      <c r="M201" s="5" t="str">
        <f ca="1">IFERROR(__xludf.DUMMYFUNCTION("""COMPUTED_VALUE"""),"")</f>
        <v/>
      </c>
      <c r="N201" s="5" t="str">
        <f ca="1">IFERROR(__xludf.DUMMYFUNCTION("""COMPUTED_VALUE"""),"")</f>
        <v/>
      </c>
      <c r="O201" s="2" t="str">
        <f ca="1">IFERROR(__xludf.DUMMYFUNCTION("""COMPUTED_VALUE"""),"")</f>
        <v/>
      </c>
      <c r="P201" s="2" t="str">
        <f ca="1">IFERROR(__xludf.DUMMYFUNCTION("""COMPUTED_VALUE"""),"")</f>
        <v/>
      </c>
      <c r="Q201" s="2" t="str">
        <f ca="1">IFERROR(__xludf.DUMMYFUNCTION("""COMPUTED_VALUE"""),"")</f>
        <v/>
      </c>
      <c r="R201" s="2" t="str">
        <f ca="1">IFERROR(__xludf.DUMMYFUNCTION("""COMPUTED_VALUE"""),"")</f>
        <v/>
      </c>
      <c r="S201" s="2" t="str">
        <f ca="1">IFERROR(__xludf.DUMMYFUNCTION("""COMPUTED_VALUE"""),"")</f>
        <v/>
      </c>
      <c r="T201" s="2" t="str">
        <f ca="1">IFERROR(__xludf.DUMMYFUNCTION("""COMPUTED_VALUE"""),"")</f>
        <v/>
      </c>
      <c r="U201" s="2" t="str">
        <f ca="1">IFERROR(__xludf.DUMMYFUNCTION("""COMPUTED_VALUE"""),"")</f>
        <v/>
      </c>
      <c r="V201" s="2" t="str">
        <f ca="1">IFERROR(__xludf.DUMMYFUNCTION("""COMPUTED_VALUE"""),"")</f>
        <v/>
      </c>
      <c r="W201" s="2" t="str">
        <f ca="1">IFERROR(__xludf.DUMMYFUNCTION("""COMPUTED_VALUE"""),"")</f>
        <v/>
      </c>
      <c r="X201" s="2" t="str">
        <f ca="1">IFERROR(__xludf.DUMMYFUNCTION("""COMPUTED_VALUE"""),"")</f>
        <v/>
      </c>
      <c r="Y201" s="2" t="str">
        <f ca="1">IFERROR(__xludf.DUMMYFUNCTION("""COMPUTED_VALUE"""),"")</f>
        <v/>
      </c>
      <c r="Z201" s="2" t="str">
        <f ca="1">IFERROR(__xludf.DUMMYFUNCTION("""COMPUTED_VALUE"""),"")</f>
        <v/>
      </c>
      <c r="AA201" s="2" t="str">
        <f ca="1">IFERROR(__xludf.DUMMYFUNCTION("""COMPUTED_VALUE"""),"")</f>
        <v/>
      </c>
      <c r="AB201" s="2" t="str">
        <f ca="1">IFERROR(__xludf.DUMMYFUNCTION("""COMPUTED_VALUE"""),"")</f>
        <v/>
      </c>
      <c r="AC201" s="2" t="str">
        <f ca="1">IFERROR(__xludf.DUMMYFUNCTION("""COMPUTED_VALUE"""),"")</f>
        <v/>
      </c>
      <c r="AD201" s="2" t="str">
        <f ca="1">IFERROR(__xludf.DUMMYFUNCTION("""COMPUTED_VALUE"""),"")</f>
        <v/>
      </c>
      <c r="AE201" s="2" t="str">
        <f ca="1">IFERROR(__xludf.DUMMYFUNCTION("""COMPUTED_VALUE"""),"")</f>
        <v/>
      </c>
      <c r="AF201" s="2" t="str">
        <f ca="1">IFERROR(__xludf.DUMMYFUNCTION("""COMPUTED_VALUE"""),"")</f>
        <v/>
      </c>
      <c r="AG201" s="2" t="str">
        <f ca="1">IFERROR(__xludf.DUMMYFUNCTION("""COMPUTED_VALUE"""),"")</f>
        <v/>
      </c>
      <c r="AH201" s="2" t="str">
        <f ca="1">IFERROR(__xludf.DUMMYFUNCTION("""COMPUTED_VALUE"""),"")</f>
        <v/>
      </c>
      <c r="AI201" s="2" t="str">
        <f ca="1">IFERROR(__xludf.DUMMYFUNCTION("""COMPUTED_VALUE"""),"")</f>
        <v/>
      </c>
      <c r="AJ201" s="2" t="str">
        <f ca="1">IFERROR(__xludf.DUMMYFUNCTION("""COMPUTED_VALUE"""),"")</f>
        <v/>
      </c>
      <c r="AK201" s="2" t="str">
        <f ca="1">IFERROR(__xludf.DUMMYFUNCTION("""COMPUTED_VALUE"""),"")</f>
        <v/>
      </c>
      <c r="AL201" s="2" t="str">
        <f ca="1">IFERROR(__xludf.DUMMYFUNCTION("""COMPUTED_VALUE"""),"")</f>
        <v/>
      </c>
      <c r="AM201" s="2" t="str">
        <f ca="1">IFERROR(__xludf.DUMMYFUNCTION("""COMPUTED_VALUE"""),"")</f>
        <v/>
      </c>
      <c r="AN201" s="2" t="str">
        <f ca="1">IFERROR(__xludf.DUMMYFUNCTION("""COMPUTED_VALUE"""),"")</f>
        <v/>
      </c>
      <c r="AO201" s="2" t="str">
        <f ca="1">IFERROR(__xludf.DUMMYFUNCTION("""COMPUTED_VALUE"""),"")</f>
        <v/>
      </c>
      <c r="AP201" s="2" t="str">
        <f ca="1">IFERROR(__xludf.DUMMYFUNCTION("""COMPUTED_VALUE"""),"")</f>
        <v/>
      </c>
      <c r="AQ201" s="2" t="str">
        <f ca="1">IFERROR(__xludf.DUMMYFUNCTION("""COMPUTED_VALUE"""),"")</f>
        <v/>
      </c>
      <c r="AR201" s="2" t="str">
        <f ca="1">IFERROR(__xludf.DUMMYFUNCTION("""COMPUTED_VALUE"""),"")</f>
        <v/>
      </c>
      <c r="AS201" s="2" t="str">
        <f ca="1">IFERROR(__xludf.DUMMYFUNCTION("""COMPUTED_VALUE"""),"")</f>
        <v/>
      </c>
      <c r="AT201" s="2" t="str">
        <f ca="1">IFERROR(__xludf.DUMMYFUNCTION("""COMPUTED_VALUE"""),"")</f>
        <v/>
      </c>
      <c r="AU201" s="2" t="str">
        <f ca="1">IFERROR(__xludf.DUMMYFUNCTION("""COMPUTED_VALUE"""),"")</f>
        <v/>
      </c>
      <c r="AV201" s="2" t="str">
        <f ca="1">IFERROR(__xludf.DUMMYFUNCTION("""COMPUTED_VALUE"""),"")</f>
        <v/>
      </c>
      <c r="AW201" s="2" t="str">
        <f ca="1">IFERROR(__xludf.DUMMYFUNCTION("""COMPUTED_VALUE"""),"")</f>
        <v/>
      </c>
      <c r="AX201" s="2" t="str">
        <f ca="1">IFERROR(__xludf.DUMMYFUNCTION("""COMPUTED_VALUE"""),"")</f>
        <v/>
      </c>
      <c r="AY201" s="2" t="str">
        <f ca="1">IFERROR(__xludf.DUMMYFUNCTION("""COMPUTED_VALUE"""),"")</f>
        <v/>
      </c>
      <c r="AZ201" s="2" t="str">
        <f ca="1">IFERROR(__xludf.DUMMYFUNCTION("""COMPUTED_VALUE"""),"")</f>
        <v/>
      </c>
      <c r="BA201" s="2" t="str">
        <f ca="1">IFERROR(__xludf.DUMMYFUNCTION("""COMPUTED_VALUE"""),"")</f>
        <v/>
      </c>
      <c r="BB201" s="2" t="str">
        <f ca="1">IFERROR(__xludf.DUMMYFUNCTION("""COMPUTED_VALUE"""),"")</f>
        <v/>
      </c>
      <c r="BC201" s="2" t="str">
        <f ca="1">IFERROR(__xludf.DUMMYFUNCTION("""COMPUTED_VALUE"""),"")</f>
        <v/>
      </c>
      <c r="BD201" s="2" t="str">
        <f ca="1">IFERROR(__xludf.DUMMYFUNCTION("""COMPUTED_VALUE"""),"")</f>
        <v/>
      </c>
      <c r="BE201" s="2" t="str">
        <f ca="1">IFERROR(__xludf.DUMMYFUNCTION("""COMPUTED_VALUE"""),"")</f>
        <v/>
      </c>
      <c r="BF201" t="str">
        <f ca="1">IFERROR(__xludf.DUMMYFUNCTION("""COMPUTED_VALUE"""),"")</f>
        <v/>
      </c>
      <c r="BG201" t="str">
        <f ca="1">IFERROR(__xludf.DUMMYFUNCTION("""COMPUTED_VALUE"""),"")</f>
        <v/>
      </c>
      <c r="BH201" s="2">
        <f ca="1">IFERROR(__xludf.DUMMYFUNCTION("""COMPUTED_VALUE"""),-37.3397903)</f>
        <v>-37.339790299999997</v>
      </c>
      <c r="BI201" s="12">
        <f ca="1">IFERROR(__xludf.DUMMYFUNCTION("""COMPUTED_VALUE"""),175.1657562)</f>
        <v>175.1657562</v>
      </c>
      <c r="BJ201" s="9">
        <f ca="1">IFERROR(__xludf.DUMMYFUNCTION("""COMPUTED_VALUE"""),43402)</f>
        <v>43402</v>
      </c>
      <c r="BK201" s="4">
        <f ca="1">IFERROR(__xludf.DUMMYFUNCTION("""COMPUTED_VALUE"""),0.457777777777664)</f>
        <v>0.45777777777766399</v>
      </c>
    </row>
    <row r="202" spans="1:63" ht="12.5" x14ac:dyDescent="0.25">
      <c r="A202" s="7" t="str">
        <f ca="1">IFERROR(__xludf.DUMMYFUNCTION("""COMPUTED_VALUE"""),"")</f>
        <v/>
      </c>
      <c r="B202" s="8" t="str">
        <f ca="1">IFERROR(__xludf.DUMMYFUNCTION("""COMPUTED_VALUE"""),"Waikato")</f>
        <v>Waikato</v>
      </c>
      <c r="C202" s="2">
        <f ca="1">IFERROR(__xludf.DUMMYFUNCTION("""COMPUTED_VALUE"""),23)</f>
        <v>23</v>
      </c>
      <c r="D202" s="9" t="str">
        <f ca="1">IFERROR(__xludf.DUMMYFUNCTION("""COMPUTED_VALUE"""),"")</f>
        <v/>
      </c>
      <c r="E202" s="4" t="str">
        <f ca="1">IFERROR(__xludf.DUMMYFUNCTION("""COMPUTED_VALUE"""),"")</f>
        <v/>
      </c>
      <c r="F202" s="2" t="str">
        <f ca="1">IFERROR(__xludf.DUMMYFUNCTION("""COMPUTED_VALUE"""),"")</f>
        <v/>
      </c>
      <c r="G202" s="2" t="str">
        <f ca="1">IFERROR(__xludf.DUMMYFUNCTION("""COMPUTED_VALUE"""),"GPS: I converted data downloaded from ARGOS using Pinpoint software")</f>
        <v>GPS: I converted data downloaded from ARGOS using Pinpoint software</v>
      </c>
      <c r="H202" s="2" t="str">
        <f ca="1">IFERROR(__xludf.DUMMYFUNCTION("""COMPUTED_VALUE"""),"3D")</f>
        <v>3D</v>
      </c>
      <c r="I202" s="2" t="str">
        <f ca="1">IFERROR(__xludf.DUMMYFUNCTION("""COMPUTED_VALUE"""),"")</f>
        <v/>
      </c>
      <c r="J202" s="2" t="str">
        <f ca="1">IFERROR(__xludf.DUMMYFUNCTION("""COMPUTED_VALUE"""),"")</f>
        <v/>
      </c>
      <c r="K202" s="2" t="str">
        <f ca="1">IFERROR(__xludf.DUMMYFUNCTION("""COMPUTED_VALUE"""),"")</f>
        <v/>
      </c>
      <c r="L202" s="2" t="str">
        <f ca="1">IFERROR(__xludf.DUMMYFUNCTION("""COMPUTED_VALUE"""),"")</f>
        <v/>
      </c>
      <c r="M202" s="5" t="str">
        <f ca="1">IFERROR(__xludf.DUMMYFUNCTION("""COMPUTED_VALUE"""),"")</f>
        <v/>
      </c>
      <c r="N202" s="5" t="str">
        <f ca="1">IFERROR(__xludf.DUMMYFUNCTION("""COMPUTED_VALUE"""),"")</f>
        <v/>
      </c>
      <c r="O202" s="2" t="str">
        <f ca="1">IFERROR(__xludf.DUMMYFUNCTION("""COMPUTED_VALUE"""),"")</f>
        <v/>
      </c>
      <c r="P202" s="2" t="str">
        <f ca="1">IFERROR(__xludf.DUMMYFUNCTION("""COMPUTED_VALUE"""),"")</f>
        <v/>
      </c>
      <c r="Q202" s="2" t="str">
        <f ca="1">IFERROR(__xludf.DUMMYFUNCTION("""COMPUTED_VALUE"""),"")</f>
        <v/>
      </c>
      <c r="R202" s="2" t="str">
        <f ca="1">IFERROR(__xludf.DUMMYFUNCTION("""COMPUTED_VALUE"""),"")</f>
        <v/>
      </c>
      <c r="S202" s="2" t="str">
        <f ca="1">IFERROR(__xludf.DUMMYFUNCTION("""COMPUTED_VALUE"""),"")</f>
        <v/>
      </c>
      <c r="T202" s="2" t="str">
        <f ca="1">IFERROR(__xludf.DUMMYFUNCTION("""COMPUTED_VALUE"""),"")</f>
        <v/>
      </c>
      <c r="U202" s="2" t="str">
        <f ca="1">IFERROR(__xludf.DUMMYFUNCTION("""COMPUTED_VALUE"""),"")</f>
        <v/>
      </c>
      <c r="V202" s="2" t="str">
        <f ca="1">IFERROR(__xludf.DUMMYFUNCTION("""COMPUTED_VALUE"""),"")</f>
        <v/>
      </c>
      <c r="W202" s="2" t="str">
        <f ca="1">IFERROR(__xludf.DUMMYFUNCTION("""COMPUTED_VALUE"""),"")</f>
        <v/>
      </c>
      <c r="X202" s="2" t="str">
        <f ca="1">IFERROR(__xludf.DUMMYFUNCTION("""COMPUTED_VALUE"""),"")</f>
        <v/>
      </c>
      <c r="Y202" s="2" t="str">
        <f ca="1">IFERROR(__xludf.DUMMYFUNCTION("""COMPUTED_VALUE"""),"")</f>
        <v/>
      </c>
      <c r="Z202" s="2" t="str">
        <f ca="1">IFERROR(__xludf.DUMMYFUNCTION("""COMPUTED_VALUE"""),"")</f>
        <v/>
      </c>
      <c r="AA202" s="2" t="str">
        <f ca="1">IFERROR(__xludf.DUMMYFUNCTION("""COMPUTED_VALUE"""),"")</f>
        <v/>
      </c>
      <c r="AB202" s="2" t="str">
        <f ca="1">IFERROR(__xludf.DUMMYFUNCTION("""COMPUTED_VALUE"""),"")</f>
        <v/>
      </c>
      <c r="AC202" s="2" t="str">
        <f ca="1">IFERROR(__xludf.DUMMYFUNCTION("""COMPUTED_VALUE"""),"")</f>
        <v/>
      </c>
      <c r="AD202" s="2" t="str">
        <f ca="1">IFERROR(__xludf.DUMMYFUNCTION("""COMPUTED_VALUE"""),"")</f>
        <v/>
      </c>
      <c r="AE202" s="2" t="str">
        <f ca="1">IFERROR(__xludf.DUMMYFUNCTION("""COMPUTED_VALUE"""),"")</f>
        <v/>
      </c>
      <c r="AF202" s="2" t="str">
        <f ca="1">IFERROR(__xludf.DUMMYFUNCTION("""COMPUTED_VALUE"""),"")</f>
        <v/>
      </c>
      <c r="AG202" s="2" t="str">
        <f ca="1">IFERROR(__xludf.DUMMYFUNCTION("""COMPUTED_VALUE"""),"")</f>
        <v/>
      </c>
      <c r="AH202" s="2" t="str">
        <f ca="1">IFERROR(__xludf.DUMMYFUNCTION("""COMPUTED_VALUE"""),"")</f>
        <v/>
      </c>
      <c r="AI202" s="2" t="str">
        <f ca="1">IFERROR(__xludf.DUMMYFUNCTION("""COMPUTED_VALUE"""),"")</f>
        <v/>
      </c>
      <c r="AJ202" s="2" t="str">
        <f ca="1">IFERROR(__xludf.DUMMYFUNCTION("""COMPUTED_VALUE"""),"")</f>
        <v/>
      </c>
      <c r="AK202" s="2" t="str">
        <f ca="1">IFERROR(__xludf.DUMMYFUNCTION("""COMPUTED_VALUE"""),"")</f>
        <v/>
      </c>
      <c r="AL202" s="2" t="str">
        <f ca="1">IFERROR(__xludf.DUMMYFUNCTION("""COMPUTED_VALUE"""),"")</f>
        <v/>
      </c>
      <c r="AM202" s="2" t="str">
        <f ca="1">IFERROR(__xludf.DUMMYFUNCTION("""COMPUTED_VALUE"""),"")</f>
        <v/>
      </c>
      <c r="AN202" s="2" t="str">
        <f ca="1">IFERROR(__xludf.DUMMYFUNCTION("""COMPUTED_VALUE"""),"")</f>
        <v/>
      </c>
      <c r="AO202" s="2" t="str">
        <f ca="1">IFERROR(__xludf.DUMMYFUNCTION("""COMPUTED_VALUE"""),"")</f>
        <v/>
      </c>
      <c r="AP202" s="2" t="str">
        <f ca="1">IFERROR(__xludf.DUMMYFUNCTION("""COMPUTED_VALUE"""),"")</f>
        <v/>
      </c>
      <c r="AQ202" s="2" t="str">
        <f ca="1">IFERROR(__xludf.DUMMYFUNCTION("""COMPUTED_VALUE"""),"")</f>
        <v/>
      </c>
      <c r="AR202" s="2" t="str">
        <f ca="1">IFERROR(__xludf.DUMMYFUNCTION("""COMPUTED_VALUE"""),"")</f>
        <v/>
      </c>
      <c r="AS202" s="2" t="str">
        <f ca="1">IFERROR(__xludf.DUMMYFUNCTION("""COMPUTED_VALUE"""),"")</f>
        <v/>
      </c>
      <c r="AT202" s="2" t="str">
        <f ca="1">IFERROR(__xludf.DUMMYFUNCTION("""COMPUTED_VALUE"""),"")</f>
        <v/>
      </c>
      <c r="AU202" s="2" t="str">
        <f ca="1">IFERROR(__xludf.DUMMYFUNCTION("""COMPUTED_VALUE"""),"")</f>
        <v/>
      </c>
      <c r="AV202" s="2" t="str">
        <f ca="1">IFERROR(__xludf.DUMMYFUNCTION("""COMPUTED_VALUE"""),"")</f>
        <v/>
      </c>
      <c r="AW202" s="2" t="str">
        <f ca="1">IFERROR(__xludf.DUMMYFUNCTION("""COMPUTED_VALUE"""),"")</f>
        <v/>
      </c>
      <c r="AX202" s="2" t="str">
        <f ca="1">IFERROR(__xludf.DUMMYFUNCTION("""COMPUTED_VALUE"""),"")</f>
        <v/>
      </c>
      <c r="AY202" s="2" t="str">
        <f ca="1">IFERROR(__xludf.DUMMYFUNCTION("""COMPUTED_VALUE"""),"")</f>
        <v/>
      </c>
      <c r="AZ202" s="2" t="str">
        <f ca="1">IFERROR(__xludf.DUMMYFUNCTION("""COMPUTED_VALUE"""),"")</f>
        <v/>
      </c>
      <c r="BA202" s="2" t="str">
        <f ca="1">IFERROR(__xludf.DUMMYFUNCTION("""COMPUTED_VALUE"""),"")</f>
        <v/>
      </c>
      <c r="BB202" s="2" t="str">
        <f ca="1">IFERROR(__xludf.DUMMYFUNCTION("""COMPUTED_VALUE"""),"")</f>
        <v/>
      </c>
      <c r="BC202" s="2" t="str">
        <f ca="1">IFERROR(__xludf.DUMMYFUNCTION("""COMPUTED_VALUE"""),"")</f>
        <v/>
      </c>
      <c r="BD202" s="2" t="str">
        <f ca="1">IFERROR(__xludf.DUMMYFUNCTION("""COMPUTED_VALUE"""),"")</f>
        <v/>
      </c>
      <c r="BE202" s="2" t="str">
        <f ca="1">IFERROR(__xludf.DUMMYFUNCTION("""COMPUTED_VALUE"""),"")</f>
        <v/>
      </c>
      <c r="BF202" t="str">
        <f ca="1">IFERROR(__xludf.DUMMYFUNCTION("""COMPUTED_VALUE"""),"")</f>
        <v/>
      </c>
      <c r="BG202" t="str">
        <f ca="1">IFERROR(__xludf.DUMMYFUNCTION("""COMPUTED_VALUE"""),"")</f>
        <v/>
      </c>
      <c r="BH202" s="2">
        <f ca="1">IFERROR(__xludf.DUMMYFUNCTION("""COMPUTED_VALUE"""),-37.3394814)</f>
        <v>-37.339481399999997</v>
      </c>
      <c r="BI202" s="13">
        <f ca="1">IFERROR(__xludf.DUMMYFUNCTION("""COMPUTED_VALUE"""),175.1663208)</f>
        <v>175.16632079999999</v>
      </c>
      <c r="BJ202" s="9">
        <f ca="1">IFERROR(__xludf.DUMMYFUNCTION("""COMPUTED_VALUE"""),43402)</f>
        <v>43402</v>
      </c>
      <c r="BK202" s="4">
        <f ca="1">IFERROR(__xludf.DUMMYFUNCTION("""COMPUTED_VALUE"""),0.958518518516939)</f>
        <v>0.95851851851693903</v>
      </c>
    </row>
    <row r="203" spans="1:63" ht="12.5" x14ac:dyDescent="0.25">
      <c r="A203" s="7" t="str">
        <f ca="1">IFERROR(__xludf.DUMMYFUNCTION("""COMPUTED_VALUE"""),"")</f>
        <v/>
      </c>
      <c r="B203" s="8" t="str">
        <f ca="1">IFERROR(__xludf.DUMMYFUNCTION("""COMPUTED_VALUE"""),"Waikato")</f>
        <v>Waikato</v>
      </c>
      <c r="C203" s="2">
        <f ca="1">IFERROR(__xludf.DUMMYFUNCTION("""COMPUTED_VALUE"""),23)</f>
        <v>23</v>
      </c>
      <c r="D203" s="9" t="str">
        <f ca="1">IFERROR(__xludf.DUMMYFUNCTION("""COMPUTED_VALUE"""),"")</f>
        <v/>
      </c>
      <c r="E203" s="4" t="str">
        <f ca="1">IFERROR(__xludf.DUMMYFUNCTION("""COMPUTED_VALUE"""),"")</f>
        <v/>
      </c>
      <c r="F203" s="2" t="str">
        <f ca="1">IFERROR(__xludf.DUMMYFUNCTION("""COMPUTED_VALUE"""),"")</f>
        <v/>
      </c>
      <c r="G203" s="2" t="str">
        <f ca="1">IFERROR(__xludf.DUMMYFUNCTION("""COMPUTED_VALUE"""),"GPS: I converted data downloaded from ARGOS using Pinpoint software")</f>
        <v>GPS: I converted data downloaded from ARGOS using Pinpoint software</v>
      </c>
      <c r="H203" s="2" t="str">
        <f ca="1">IFERROR(__xludf.DUMMYFUNCTION("""COMPUTED_VALUE"""),"3D")</f>
        <v>3D</v>
      </c>
      <c r="I203" s="2" t="str">
        <f ca="1">IFERROR(__xludf.DUMMYFUNCTION("""COMPUTED_VALUE"""),"")</f>
        <v/>
      </c>
      <c r="J203" s="2" t="str">
        <f ca="1">IFERROR(__xludf.DUMMYFUNCTION("""COMPUTED_VALUE"""),"")</f>
        <v/>
      </c>
      <c r="K203" s="2" t="str">
        <f ca="1">IFERROR(__xludf.DUMMYFUNCTION("""COMPUTED_VALUE"""),"")</f>
        <v/>
      </c>
      <c r="L203" s="2" t="str">
        <f ca="1">IFERROR(__xludf.DUMMYFUNCTION("""COMPUTED_VALUE"""),"")</f>
        <v/>
      </c>
      <c r="M203" s="5" t="str">
        <f ca="1">IFERROR(__xludf.DUMMYFUNCTION("""COMPUTED_VALUE"""),"")</f>
        <v/>
      </c>
      <c r="N203" s="5" t="str">
        <f ca="1">IFERROR(__xludf.DUMMYFUNCTION("""COMPUTED_VALUE"""),"")</f>
        <v/>
      </c>
      <c r="O203" s="2" t="str">
        <f ca="1">IFERROR(__xludf.DUMMYFUNCTION("""COMPUTED_VALUE"""),"")</f>
        <v/>
      </c>
      <c r="P203" s="2" t="str">
        <f ca="1">IFERROR(__xludf.DUMMYFUNCTION("""COMPUTED_VALUE"""),"")</f>
        <v/>
      </c>
      <c r="Q203" s="2" t="str">
        <f ca="1">IFERROR(__xludf.DUMMYFUNCTION("""COMPUTED_VALUE"""),"")</f>
        <v/>
      </c>
      <c r="R203" s="2" t="str">
        <f ca="1">IFERROR(__xludf.DUMMYFUNCTION("""COMPUTED_VALUE"""),"")</f>
        <v/>
      </c>
      <c r="S203" s="2" t="str">
        <f ca="1">IFERROR(__xludf.DUMMYFUNCTION("""COMPUTED_VALUE"""),"")</f>
        <v/>
      </c>
      <c r="T203" s="2" t="str">
        <f ca="1">IFERROR(__xludf.DUMMYFUNCTION("""COMPUTED_VALUE"""),"")</f>
        <v/>
      </c>
      <c r="U203" s="2" t="str">
        <f ca="1">IFERROR(__xludf.DUMMYFUNCTION("""COMPUTED_VALUE"""),"")</f>
        <v/>
      </c>
      <c r="V203" s="2" t="str">
        <f ca="1">IFERROR(__xludf.DUMMYFUNCTION("""COMPUTED_VALUE"""),"")</f>
        <v/>
      </c>
      <c r="W203" s="2" t="str">
        <f ca="1">IFERROR(__xludf.DUMMYFUNCTION("""COMPUTED_VALUE"""),"")</f>
        <v/>
      </c>
      <c r="X203" s="2" t="str">
        <f ca="1">IFERROR(__xludf.DUMMYFUNCTION("""COMPUTED_VALUE"""),"")</f>
        <v/>
      </c>
      <c r="Y203" s="2" t="str">
        <f ca="1">IFERROR(__xludf.DUMMYFUNCTION("""COMPUTED_VALUE"""),"")</f>
        <v/>
      </c>
      <c r="Z203" s="2" t="str">
        <f ca="1">IFERROR(__xludf.DUMMYFUNCTION("""COMPUTED_VALUE"""),"")</f>
        <v/>
      </c>
      <c r="AA203" s="2" t="str">
        <f ca="1">IFERROR(__xludf.DUMMYFUNCTION("""COMPUTED_VALUE"""),"")</f>
        <v/>
      </c>
      <c r="AB203" s="2" t="str">
        <f ca="1">IFERROR(__xludf.DUMMYFUNCTION("""COMPUTED_VALUE"""),"")</f>
        <v/>
      </c>
      <c r="AC203" s="2" t="str">
        <f ca="1">IFERROR(__xludf.DUMMYFUNCTION("""COMPUTED_VALUE"""),"")</f>
        <v/>
      </c>
      <c r="AD203" s="2" t="str">
        <f ca="1">IFERROR(__xludf.DUMMYFUNCTION("""COMPUTED_VALUE"""),"")</f>
        <v/>
      </c>
      <c r="AE203" s="2" t="str">
        <f ca="1">IFERROR(__xludf.DUMMYFUNCTION("""COMPUTED_VALUE"""),"")</f>
        <v/>
      </c>
      <c r="AF203" s="2" t="str">
        <f ca="1">IFERROR(__xludf.DUMMYFUNCTION("""COMPUTED_VALUE"""),"")</f>
        <v/>
      </c>
      <c r="AG203" s="2" t="str">
        <f ca="1">IFERROR(__xludf.DUMMYFUNCTION("""COMPUTED_VALUE"""),"")</f>
        <v/>
      </c>
      <c r="AH203" s="2" t="str">
        <f ca="1">IFERROR(__xludf.DUMMYFUNCTION("""COMPUTED_VALUE"""),"")</f>
        <v/>
      </c>
      <c r="AI203" s="2" t="str">
        <f ca="1">IFERROR(__xludf.DUMMYFUNCTION("""COMPUTED_VALUE"""),"")</f>
        <v/>
      </c>
      <c r="AJ203" s="2" t="str">
        <f ca="1">IFERROR(__xludf.DUMMYFUNCTION("""COMPUTED_VALUE"""),"")</f>
        <v/>
      </c>
      <c r="AK203" s="2" t="str">
        <f ca="1">IFERROR(__xludf.DUMMYFUNCTION("""COMPUTED_VALUE"""),"")</f>
        <v/>
      </c>
      <c r="AL203" s="2" t="str">
        <f ca="1">IFERROR(__xludf.DUMMYFUNCTION("""COMPUTED_VALUE"""),"")</f>
        <v/>
      </c>
      <c r="AM203" s="2" t="str">
        <f ca="1">IFERROR(__xludf.DUMMYFUNCTION("""COMPUTED_VALUE"""),"")</f>
        <v/>
      </c>
      <c r="AN203" s="2" t="str">
        <f ca="1">IFERROR(__xludf.DUMMYFUNCTION("""COMPUTED_VALUE"""),"")</f>
        <v/>
      </c>
      <c r="AO203" s="2" t="str">
        <f ca="1">IFERROR(__xludf.DUMMYFUNCTION("""COMPUTED_VALUE"""),"")</f>
        <v/>
      </c>
      <c r="AP203" s="2" t="str">
        <f ca="1">IFERROR(__xludf.DUMMYFUNCTION("""COMPUTED_VALUE"""),"")</f>
        <v/>
      </c>
      <c r="AQ203" s="2" t="str">
        <f ca="1">IFERROR(__xludf.DUMMYFUNCTION("""COMPUTED_VALUE"""),"")</f>
        <v/>
      </c>
      <c r="AR203" s="2" t="str">
        <f ca="1">IFERROR(__xludf.DUMMYFUNCTION("""COMPUTED_VALUE"""),"")</f>
        <v/>
      </c>
      <c r="AS203" s="2" t="str">
        <f ca="1">IFERROR(__xludf.DUMMYFUNCTION("""COMPUTED_VALUE"""),"")</f>
        <v/>
      </c>
      <c r="AT203" s="2" t="str">
        <f ca="1">IFERROR(__xludf.DUMMYFUNCTION("""COMPUTED_VALUE"""),"")</f>
        <v/>
      </c>
      <c r="AU203" s="2" t="str">
        <f ca="1">IFERROR(__xludf.DUMMYFUNCTION("""COMPUTED_VALUE"""),"")</f>
        <v/>
      </c>
      <c r="AV203" s="2" t="str">
        <f ca="1">IFERROR(__xludf.DUMMYFUNCTION("""COMPUTED_VALUE"""),"")</f>
        <v/>
      </c>
      <c r="AW203" s="2" t="str">
        <f ca="1">IFERROR(__xludf.DUMMYFUNCTION("""COMPUTED_VALUE"""),"")</f>
        <v/>
      </c>
      <c r="AX203" s="2" t="str">
        <f ca="1">IFERROR(__xludf.DUMMYFUNCTION("""COMPUTED_VALUE"""),"")</f>
        <v/>
      </c>
      <c r="AY203" s="2" t="str">
        <f ca="1">IFERROR(__xludf.DUMMYFUNCTION("""COMPUTED_VALUE"""),"")</f>
        <v/>
      </c>
      <c r="AZ203" s="2" t="str">
        <f ca="1">IFERROR(__xludf.DUMMYFUNCTION("""COMPUTED_VALUE"""),"")</f>
        <v/>
      </c>
      <c r="BA203" s="2" t="str">
        <f ca="1">IFERROR(__xludf.DUMMYFUNCTION("""COMPUTED_VALUE"""),"")</f>
        <v/>
      </c>
      <c r="BB203" s="2" t="str">
        <f ca="1">IFERROR(__xludf.DUMMYFUNCTION("""COMPUTED_VALUE"""),"")</f>
        <v/>
      </c>
      <c r="BC203" s="2" t="str">
        <f ca="1">IFERROR(__xludf.DUMMYFUNCTION("""COMPUTED_VALUE"""),"")</f>
        <v/>
      </c>
      <c r="BD203" s="2" t="str">
        <f ca="1">IFERROR(__xludf.DUMMYFUNCTION("""COMPUTED_VALUE"""),"")</f>
        <v/>
      </c>
      <c r="BE203" s="2" t="str">
        <f ca="1">IFERROR(__xludf.DUMMYFUNCTION("""COMPUTED_VALUE"""),"")</f>
        <v/>
      </c>
      <c r="BF203" t="str">
        <f ca="1">IFERROR(__xludf.DUMMYFUNCTION("""COMPUTED_VALUE"""),"")</f>
        <v/>
      </c>
      <c r="BG203" t="str">
        <f ca="1">IFERROR(__xludf.DUMMYFUNCTION("""COMPUTED_VALUE"""),"")</f>
        <v/>
      </c>
      <c r="BH203" s="2">
        <f ca="1">IFERROR(__xludf.DUMMYFUNCTION("""COMPUTED_VALUE"""),-37.3392258)</f>
        <v>-37.339225800000001</v>
      </c>
      <c r="BI203" s="12">
        <f ca="1">IFERROR(__xludf.DUMMYFUNCTION("""COMPUTED_VALUE"""),175.1657562)</f>
        <v>175.1657562</v>
      </c>
      <c r="BJ203" s="9">
        <f ca="1">IFERROR(__xludf.DUMMYFUNCTION("""COMPUTED_VALUE"""),43404)</f>
        <v>43404</v>
      </c>
      <c r="BK203" s="4">
        <f ca="1">IFERROR(__xludf.DUMMYFUNCTION("""COMPUTED_VALUE"""),0.457777777777664)</f>
        <v>0.45777777777766399</v>
      </c>
    </row>
    <row r="204" spans="1:63" ht="12.5" x14ac:dyDescent="0.25">
      <c r="A204" s="7" t="str">
        <f ca="1">IFERROR(__xludf.DUMMYFUNCTION("""COMPUTED_VALUE"""),"")</f>
        <v/>
      </c>
      <c r="B204" s="8" t="str">
        <f ca="1">IFERROR(__xludf.DUMMYFUNCTION("""COMPUTED_VALUE"""),"Waikato")</f>
        <v>Waikato</v>
      </c>
      <c r="C204" s="2">
        <f ca="1">IFERROR(__xludf.DUMMYFUNCTION("""COMPUTED_VALUE"""),23)</f>
        <v>23</v>
      </c>
      <c r="D204" s="9" t="str">
        <f ca="1">IFERROR(__xludf.DUMMYFUNCTION("""COMPUTED_VALUE"""),"")</f>
        <v/>
      </c>
      <c r="E204" s="4" t="str">
        <f ca="1">IFERROR(__xludf.DUMMYFUNCTION("""COMPUTED_VALUE"""),"")</f>
        <v/>
      </c>
      <c r="F204" s="2" t="str">
        <f ca="1">IFERROR(__xludf.DUMMYFUNCTION("""COMPUTED_VALUE"""),"")</f>
        <v/>
      </c>
      <c r="G204" s="2" t="str">
        <f ca="1">IFERROR(__xludf.DUMMYFUNCTION("""COMPUTED_VALUE"""),"GPS: I converted data downloaded from ARGOS using Pinpoint software")</f>
        <v>GPS: I converted data downloaded from ARGOS using Pinpoint software</v>
      </c>
      <c r="H204" s="2" t="str">
        <f ca="1">IFERROR(__xludf.DUMMYFUNCTION("""COMPUTED_VALUE"""),"3D")</f>
        <v>3D</v>
      </c>
      <c r="I204" s="2" t="str">
        <f ca="1">IFERROR(__xludf.DUMMYFUNCTION("""COMPUTED_VALUE"""),"")</f>
        <v/>
      </c>
      <c r="J204" s="2" t="str">
        <f ca="1">IFERROR(__xludf.DUMMYFUNCTION("""COMPUTED_VALUE"""),"")</f>
        <v/>
      </c>
      <c r="K204" s="2" t="str">
        <f ca="1">IFERROR(__xludf.DUMMYFUNCTION("""COMPUTED_VALUE"""),"")</f>
        <v/>
      </c>
      <c r="L204" s="2" t="str">
        <f ca="1">IFERROR(__xludf.DUMMYFUNCTION("""COMPUTED_VALUE"""),"")</f>
        <v/>
      </c>
      <c r="M204" s="5" t="str">
        <f ca="1">IFERROR(__xludf.DUMMYFUNCTION("""COMPUTED_VALUE"""),"")</f>
        <v/>
      </c>
      <c r="N204" s="5" t="str">
        <f ca="1">IFERROR(__xludf.DUMMYFUNCTION("""COMPUTED_VALUE"""),"")</f>
        <v/>
      </c>
      <c r="O204" s="2" t="str">
        <f ca="1">IFERROR(__xludf.DUMMYFUNCTION("""COMPUTED_VALUE"""),"")</f>
        <v/>
      </c>
      <c r="P204" s="2" t="str">
        <f ca="1">IFERROR(__xludf.DUMMYFUNCTION("""COMPUTED_VALUE"""),"")</f>
        <v/>
      </c>
      <c r="Q204" s="2" t="str">
        <f ca="1">IFERROR(__xludf.DUMMYFUNCTION("""COMPUTED_VALUE"""),"")</f>
        <v/>
      </c>
      <c r="R204" s="2" t="str">
        <f ca="1">IFERROR(__xludf.DUMMYFUNCTION("""COMPUTED_VALUE"""),"")</f>
        <v/>
      </c>
      <c r="S204" s="2" t="str">
        <f ca="1">IFERROR(__xludf.DUMMYFUNCTION("""COMPUTED_VALUE"""),"")</f>
        <v/>
      </c>
      <c r="T204" s="2" t="str">
        <f ca="1">IFERROR(__xludf.DUMMYFUNCTION("""COMPUTED_VALUE"""),"")</f>
        <v/>
      </c>
      <c r="U204" s="2" t="str">
        <f ca="1">IFERROR(__xludf.DUMMYFUNCTION("""COMPUTED_VALUE"""),"")</f>
        <v/>
      </c>
      <c r="V204" s="2" t="str">
        <f ca="1">IFERROR(__xludf.DUMMYFUNCTION("""COMPUTED_VALUE"""),"")</f>
        <v/>
      </c>
      <c r="W204" s="2" t="str">
        <f ca="1">IFERROR(__xludf.DUMMYFUNCTION("""COMPUTED_VALUE"""),"")</f>
        <v/>
      </c>
      <c r="X204" s="2" t="str">
        <f ca="1">IFERROR(__xludf.DUMMYFUNCTION("""COMPUTED_VALUE"""),"")</f>
        <v/>
      </c>
      <c r="Y204" s="2" t="str">
        <f ca="1">IFERROR(__xludf.DUMMYFUNCTION("""COMPUTED_VALUE"""),"")</f>
        <v/>
      </c>
      <c r="Z204" s="2" t="str">
        <f ca="1">IFERROR(__xludf.DUMMYFUNCTION("""COMPUTED_VALUE"""),"")</f>
        <v/>
      </c>
      <c r="AA204" s="2" t="str">
        <f ca="1">IFERROR(__xludf.DUMMYFUNCTION("""COMPUTED_VALUE"""),"")</f>
        <v/>
      </c>
      <c r="AB204" s="2" t="str">
        <f ca="1">IFERROR(__xludf.DUMMYFUNCTION("""COMPUTED_VALUE"""),"")</f>
        <v/>
      </c>
      <c r="AC204" s="2" t="str">
        <f ca="1">IFERROR(__xludf.DUMMYFUNCTION("""COMPUTED_VALUE"""),"")</f>
        <v/>
      </c>
      <c r="AD204" s="2" t="str">
        <f ca="1">IFERROR(__xludf.DUMMYFUNCTION("""COMPUTED_VALUE"""),"")</f>
        <v/>
      </c>
      <c r="AE204" s="2" t="str">
        <f ca="1">IFERROR(__xludf.DUMMYFUNCTION("""COMPUTED_VALUE"""),"")</f>
        <v/>
      </c>
      <c r="AF204" s="2" t="str">
        <f ca="1">IFERROR(__xludf.DUMMYFUNCTION("""COMPUTED_VALUE"""),"")</f>
        <v/>
      </c>
      <c r="AG204" s="2" t="str">
        <f ca="1">IFERROR(__xludf.DUMMYFUNCTION("""COMPUTED_VALUE"""),"")</f>
        <v/>
      </c>
      <c r="AH204" s="2" t="str">
        <f ca="1">IFERROR(__xludf.DUMMYFUNCTION("""COMPUTED_VALUE"""),"")</f>
        <v/>
      </c>
      <c r="AI204" s="2" t="str">
        <f ca="1">IFERROR(__xludf.DUMMYFUNCTION("""COMPUTED_VALUE"""),"")</f>
        <v/>
      </c>
      <c r="AJ204" s="2" t="str">
        <f ca="1">IFERROR(__xludf.DUMMYFUNCTION("""COMPUTED_VALUE"""),"")</f>
        <v/>
      </c>
      <c r="AK204" s="2" t="str">
        <f ca="1">IFERROR(__xludf.DUMMYFUNCTION("""COMPUTED_VALUE"""),"")</f>
        <v/>
      </c>
      <c r="AL204" s="2" t="str">
        <f ca="1">IFERROR(__xludf.DUMMYFUNCTION("""COMPUTED_VALUE"""),"")</f>
        <v/>
      </c>
      <c r="AM204" s="2" t="str">
        <f ca="1">IFERROR(__xludf.DUMMYFUNCTION("""COMPUTED_VALUE"""),"")</f>
        <v/>
      </c>
      <c r="AN204" s="2" t="str">
        <f ca="1">IFERROR(__xludf.DUMMYFUNCTION("""COMPUTED_VALUE"""),"")</f>
        <v/>
      </c>
      <c r="AO204" s="2" t="str">
        <f ca="1">IFERROR(__xludf.DUMMYFUNCTION("""COMPUTED_VALUE"""),"")</f>
        <v/>
      </c>
      <c r="AP204" s="2" t="str">
        <f ca="1">IFERROR(__xludf.DUMMYFUNCTION("""COMPUTED_VALUE"""),"")</f>
        <v/>
      </c>
      <c r="AQ204" s="2" t="str">
        <f ca="1">IFERROR(__xludf.DUMMYFUNCTION("""COMPUTED_VALUE"""),"")</f>
        <v/>
      </c>
      <c r="AR204" s="2" t="str">
        <f ca="1">IFERROR(__xludf.DUMMYFUNCTION("""COMPUTED_VALUE"""),"")</f>
        <v/>
      </c>
      <c r="AS204" s="2" t="str">
        <f ca="1">IFERROR(__xludf.DUMMYFUNCTION("""COMPUTED_VALUE"""),"")</f>
        <v/>
      </c>
      <c r="AT204" s="2" t="str">
        <f ca="1">IFERROR(__xludf.DUMMYFUNCTION("""COMPUTED_VALUE"""),"")</f>
        <v/>
      </c>
      <c r="AU204" s="2" t="str">
        <f ca="1">IFERROR(__xludf.DUMMYFUNCTION("""COMPUTED_VALUE"""),"")</f>
        <v/>
      </c>
      <c r="AV204" s="2" t="str">
        <f ca="1">IFERROR(__xludf.DUMMYFUNCTION("""COMPUTED_VALUE"""),"")</f>
        <v/>
      </c>
      <c r="AW204" s="2" t="str">
        <f ca="1">IFERROR(__xludf.DUMMYFUNCTION("""COMPUTED_VALUE"""),"")</f>
        <v/>
      </c>
      <c r="AX204" s="2" t="str">
        <f ca="1">IFERROR(__xludf.DUMMYFUNCTION("""COMPUTED_VALUE"""),"")</f>
        <v/>
      </c>
      <c r="AY204" s="2" t="str">
        <f ca="1">IFERROR(__xludf.DUMMYFUNCTION("""COMPUTED_VALUE"""),"")</f>
        <v/>
      </c>
      <c r="AZ204" s="2" t="str">
        <f ca="1">IFERROR(__xludf.DUMMYFUNCTION("""COMPUTED_VALUE"""),"")</f>
        <v/>
      </c>
      <c r="BA204" s="2" t="str">
        <f ca="1">IFERROR(__xludf.DUMMYFUNCTION("""COMPUTED_VALUE"""),"")</f>
        <v/>
      </c>
      <c r="BB204" s="2" t="str">
        <f ca="1">IFERROR(__xludf.DUMMYFUNCTION("""COMPUTED_VALUE"""),"")</f>
        <v/>
      </c>
      <c r="BC204" s="2" t="str">
        <f ca="1">IFERROR(__xludf.DUMMYFUNCTION("""COMPUTED_VALUE"""),"")</f>
        <v/>
      </c>
      <c r="BD204" s="2" t="str">
        <f ca="1">IFERROR(__xludf.DUMMYFUNCTION("""COMPUTED_VALUE"""),"")</f>
        <v/>
      </c>
      <c r="BE204" s="2" t="str">
        <f ca="1">IFERROR(__xludf.DUMMYFUNCTION("""COMPUTED_VALUE"""),"")</f>
        <v/>
      </c>
      <c r="BF204" t="str">
        <f ca="1">IFERROR(__xludf.DUMMYFUNCTION("""COMPUTED_VALUE"""),"")</f>
        <v/>
      </c>
      <c r="BG204" t="str">
        <f ca="1">IFERROR(__xludf.DUMMYFUNCTION("""COMPUTED_VALUE"""),"")</f>
        <v/>
      </c>
      <c r="BH204" s="2">
        <f ca="1">IFERROR(__xludf.DUMMYFUNCTION("""COMPUTED_VALUE"""),-37.3422203)</f>
        <v>-37.342220300000001</v>
      </c>
      <c r="BI204" s="13">
        <f ca="1">IFERROR(__xludf.DUMMYFUNCTION("""COMPUTED_VALUE"""),175.1678772)</f>
        <v>175.16787719999999</v>
      </c>
      <c r="BJ204" s="9">
        <f ca="1">IFERROR(__xludf.DUMMYFUNCTION("""COMPUTED_VALUE"""),43404)</f>
        <v>43404</v>
      </c>
      <c r="BK204" s="4">
        <f ca="1">IFERROR(__xludf.DUMMYFUNCTION("""COMPUTED_VALUE"""),0.958518518516939)</f>
        <v>0.95851851851693903</v>
      </c>
    </row>
    <row r="205" spans="1:63" ht="12.5" x14ac:dyDescent="0.25">
      <c r="A205" s="7" t="str">
        <f ca="1">IFERROR(__xludf.DUMMYFUNCTION("""COMPUTED_VALUE"""),"")</f>
        <v/>
      </c>
      <c r="B205" s="8" t="str">
        <f ca="1">IFERROR(__xludf.DUMMYFUNCTION("""COMPUTED_VALUE"""),"Waikato")</f>
        <v>Waikato</v>
      </c>
      <c r="C205" s="2">
        <f ca="1">IFERROR(__xludf.DUMMYFUNCTION("""COMPUTED_VALUE"""),23)</f>
        <v>23</v>
      </c>
      <c r="D205" s="9" t="str">
        <f ca="1">IFERROR(__xludf.DUMMYFUNCTION("""COMPUTED_VALUE"""),"")</f>
        <v/>
      </c>
      <c r="E205" s="4" t="str">
        <f ca="1">IFERROR(__xludf.DUMMYFUNCTION("""COMPUTED_VALUE"""),"")</f>
        <v/>
      </c>
      <c r="F205" s="2" t="str">
        <f ca="1">IFERROR(__xludf.DUMMYFUNCTION("""COMPUTED_VALUE"""),"")</f>
        <v/>
      </c>
      <c r="G205" s="2" t="str">
        <f ca="1">IFERROR(__xludf.DUMMYFUNCTION("""COMPUTED_VALUE"""),"GPS: I converted data downloaded from ARGOS using Pinpoint software")</f>
        <v>GPS: I converted data downloaded from ARGOS using Pinpoint software</v>
      </c>
      <c r="H205" s="2" t="str">
        <f ca="1">IFERROR(__xludf.DUMMYFUNCTION("""COMPUTED_VALUE"""),"3D")</f>
        <v>3D</v>
      </c>
      <c r="I205" s="2" t="str">
        <f ca="1">IFERROR(__xludf.DUMMYFUNCTION("""COMPUTED_VALUE"""),"")</f>
        <v/>
      </c>
      <c r="J205" s="2" t="str">
        <f ca="1">IFERROR(__xludf.DUMMYFUNCTION("""COMPUTED_VALUE"""),"")</f>
        <v/>
      </c>
      <c r="K205" s="2" t="str">
        <f ca="1">IFERROR(__xludf.DUMMYFUNCTION("""COMPUTED_VALUE"""),"")</f>
        <v/>
      </c>
      <c r="L205" s="2" t="str">
        <f ca="1">IFERROR(__xludf.DUMMYFUNCTION("""COMPUTED_VALUE"""),"")</f>
        <v/>
      </c>
      <c r="M205" s="5" t="str">
        <f ca="1">IFERROR(__xludf.DUMMYFUNCTION("""COMPUTED_VALUE"""),"")</f>
        <v/>
      </c>
      <c r="N205" s="5" t="str">
        <f ca="1">IFERROR(__xludf.DUMMYFUNCTION("""COMPUTED_VALUE"""),"")</f>
        <v/>
      </c>
      <c r="O205" s="2" t="str">
        <f ca="1">IFERROR(__xludf.DUMMYFUNCTION("""COMPUTED_VALUE"""),"")</f>
        <v/>
      </c>
      <c r="P205" s="2" t="str">
        <f ca="1">IFERROR(__xludf.DUMMYFUNCTION("""COMPUTED_VALUE"""),"")</f>
        <v/>
      </c>
      <c r="Q205" s="2" t="str">
        <f ca="1">IFERROR(__xludf.DUMMYFUNCTION("""COMPUTED_VALUE"""),"")</f>
        <v/>
      </c>
      <c r="R205" s="2" t="str">
        <f ca="1">IFERROR(__xludf.DUMMYFUNCTION("""COMPUTED_VALUE"""),"")</f>
        <v/>
      </c>
      <c r="S205" s="2" t="str">
        <f ca="1">IFERROR(__xludf.DUMMYFUNCTION("""COMPUTED_VALUE"""),"")</f>
        <v/>
      </c>
      <c r="T205" s="2" t="str">
        <f ca="1">IFERROR(__xludf.DUMMYFUNCTION("""COMPUTED_VALUE"""),"")</f>
        <v/>
      </c>
      <c r="U205" s="2" t="str">
        <f ca="1">IFERROR(__xludf.DUMMYFUNCTION("""COMPUTED_VALUE"""),"")</f>
        <v/>
      </c>
      <c r="V205" s="2" t="str">
        <f ca="1">IFERROR(__xludf.DUMMYFUNCTION("""COMPUTED_VALUE"""),"")</f>
        <v/>
      </c>
      <c r="W205" s="2" t="str">
        <f ca="1">IFERROR(__xludf.DUMMYFUNCTION("""COMPUTED_VALUE"""),"")</f>
        <v/>
      </c>
      <c r="X205" s="2" t="str">
        <f ca="1">IFERROR(__xludf.DUMMYFUNCTION("""COMPUTED_VALUE"""),"")</f>
        <v/>
      </c>
      <c r="Y205" s="2" t="str">
        <f ca="1">IFERROR(__xludf.DUMMYFUNCTION("""COMPUTED_VALUE"""),"")</f>
        <v/>
      </c>
      <c r="Z205" s="2" t="str">
        <f ca="1">IFERROR(__xludf.DUMMYFUNCTION("""COMPUTED_VALUE"""),"")</f>
        <v/>
      </c>
      <c r="AA205" s="2" t="str">
        <f ca="1">IFERROR(__xludf.DUMMYFUNCTION("""COMPUTED_VALUE"""),"")</f>
        <v/>
      </c>
      <c r="AB205" s="2" t="str">
        <f ca="1">IFERROR(__xludf.DUMMYFUNCTION("""COMPUTED_VALUE"""),"")</f>
        <v/>
      </c>
      <c r="AC205" s="2" t="str">
        <f ca="1">IFERROR(__xludf.DUMMYFUNCTION("""COMPUTED_VALUE"""),"")</f>
        <v/>
      </c>
      <c r="AD205" s="2" t="str">
        <f ca="1">IFERROR(__xludf.DUMMYFUNCTION("""COMPUTED_VALUE"""),"")</f>
        <v/>
      </c>
      <c r="AE205" s="2" t="str">
        <f ca="1">IFERROR(__xludf.DUMMYFUNCTION("""COMPUTED_VALUE"""),"")</f>
        <v/>
      </c>
      <c r="AF205" s="2" t="str">
        <f ca="1">IFERROR(__xludf.DUMMYFUNCTION("""COMPUTED_VALUE"""),"")</f>
        <v/>
      </c>
      <c r="AG205" s="2" t="str">
        <f ca="1">IFERROR(__xludf.DUMMYFUNCTION("""COMPUTED_VALUE"""),"")</f>
        <v/>
      </c>
      <c r="AH205" s="2" t="str">
        <f ca="1">IFERROR(__xludf.DUMMYFUNCTION("""COMPUTED_VALUE"""),"")</f>
        <v/>
      </c>
      <c r="AI205" s="2" t="str">
        <f ca="1">IFERROR(__xludf.DUMMYFUNCTION("""COMPUTED_VALUE"""),"")</f>
        <v/>
      </c>
      <c r="AJ205" s="2" t="str">
        <f ca="1">IFERROR(__xludf.DUMMYFUNCTION("""COMPUTED_VALUE"""),"")</f>
        <v/>
      </c>
      <c r="AK205" s="2" t="str">
        <f ca="1">IFERROR(__xludf.DUMMYFUNCTION("""COMPUTED_VALUE"""),"")</f>
        <v/>
      </c>
      <c r="AL205" s="2" t="str">
        <f ca="1">IFERROR(__xludf.DUMMYFUNCTION("""COMPUTED_VALUE"""),"")</f>
        <v/>
      </c>
      <c r="AM205" s="2" t="str">
        <f ca="1">IFERROR(__xludf.DUMMYFUNCTION("""COMPUTED_VALUE"""),"")</f>
        <v/>
      </c>
      <c r="AN205" s="2" t="str">
        <f ca="1">IFERROR(__xludf.DUMMYFUNCTION("""COMPUTED_VALUE"""),"")</f>
        <v/>
      </c>
      <c r="AO205" s="2" t="str">
        <f ca="1">IFERROR(__xludf.DUMMYFUNCTION("""COMPUTED_VALUE"""),"")</f>
        <v/>
      </c>
      <c r="AP205" s="2" t="str">
        <f ca="1">IFERROR(__xludf.DUMMYFUNCTION("""COMPUTED_VALUE"""),"")</f>
        <v/>
      </c>
      <c r="AQ205" s="2" t="str">
        <f ca="1">IFERROR(__xludf.DUMMYFUNCTION("""COMPUTED_VALUE"""),"")</f>
        <v/>
      </c>
      <c r="AR205" s="2" t="str">
        <f ca="1">IFERROR(__xludf.DUMMYFUNCTION("""COMPUTED_VALUE"""),"")</f>
        <v/>
      </c>
      <c r="AS205" s="2" t="str">
        <f ca="1">IFERROR(__xludf.DUMMYFUNCTION("""COMPUTED_VALUE"""),"")</f>
        <v/>
      </c>
      <c r="AT205" s="2" t="str">
        <f ca="1">IFERROR(__xludf.DUMMYFUNCTION("""COMPUTED_VALUE"""),"")</f>
        <v/>
      </c>
      <c r="AU205" s="2" t="str">
        <f ca="1">IFERROR(__xludf.DUMMYFUNCTION("""COMPUTED_VALUE"""),"")</f>
        <v/>
      </c>
      <c r="AV205" s="2" t="str">
        <f ca="1">IFERROR(__xludf.DUMMYFUNCTION("""COMPUTED_VALUE"""),"")</f>
        <v/>
      </c>
      <c r="AW205" s="2" t="str">
        <f ca="1">IFERROR(__xludf.DUMMYFUNCTION("""COMPUTED_VALUE"""),"")</f>
        <v/>
      </c>
      <c r="AX205" s="2" t="str">
        <f ca="1">IFERROR(__xludf.DUMMYFUNCTION("""COMPUTED_VALUE"""),"")</f>
        <v/>
      </c>
      <c r="AY205" s="2" t="str">
        <f ca="1">IFERROR(__xludf.DUMMYFUNCTION("""COMPUTED_VALUE"""),"")</f>
        <v/>
      </c>
      <c r="AZ205" s="2" t="str">
        <f ca="1">IFERROR(__xludf.DUMMYFUNCTION("""COMPUTED_VALUE"""),"")</f>
        <v/>
      </c>
      <c r="BA205" s="2" t="str">
        <f ca="1">IFERROR(__xludf.DUMMYFUNCTION("""COMPUTED_VALUE"""),"")</f>
        <v/>
      </c>
      <c r="BB205" s="2" t="str">
        <f ca="1">IFERROR(__xludf.DUMMYFUNCTION("""COMPUTED_VALUE"""),"")</f>
        <v/>
      </c>
      <c r="BC205" s="2" t="str">
        <f ca="1">IFERROR(__xludf.DUMMYFUNCTION("""COMPUTED_VALUE"""),"")</f>
        <v/>
      </c>
      <c r="BD205" s="2" t="str">
        <f ca="1">IFERROR(__xludf.DUMMYFUNCTION("""COMPUTED_VALUE"""),"")</f>
        <v/>
      </c>
      <c r="BE205" s="2" t="str">
        <f ca="1">IFERROR(__xludf.DUMMYFUNCTION("""COMPUTED_VALUE"""),"")</f>
        <v/>
      </c>
      <c r="BF205" t="str">
        <f ca="1">IFERROR(__xludf.DUMMYFUNCTION("""COMPUTED_VALUE"""),"")</f>
        <v/>
      </c>
      <c r="BG205" t="str">
        <f ca="1">IFERROR(__xludf.DUMMYFUNCTION("""COMPUTED_VALUE"""),"")</f>
        <v/>
      </c>
      <c r="BH205" s="2">
        <f ca="1">IFERROR(__xludf.DUMMYFUNCTION("""COMPUTED_VALUE"""),-37.3397903)</f>
        <v>-37.339790299999997</v>
      </c>
      <c r="BI205" s="12">
        <f ca="1">IFERROR(__xludf.DUMMYFUNCTION("""COMPUTED_VALUE"""),175.1653748)</f>
        <v>175.1653748</v>
      </c>
      <c r="BJ205" s="9">
        <f ca="1">IFERROR(__xludf.DUMMYFUNCTION("""COMPUTED_VALUE"""),43406)</f>
        <v>43406</v>
      </c>
      <c r="BK205" s="4">
        <f ca="1">IFERROR(__xludf.DUMMYFUNCTION("""COMPUTED_VALUE"""),0.457777777777664)</f>
        <v>0.45777777777766399</v>
      </c>
    </row>
    <row r="206" spans="1:63" ht="12.5" x14ac:dyDescent="0.25">
      <c r="A206" s="7" t="str">
        <f ca="1">IFERROR(__xludf.DUMMYFUNCTION("""COMPUTED_VALUE"""),"")</f>
        <v/>
      </c>
      <c r="B206" s="8" t="str">
        <f ca="1">IFERROR(__xludf.DUMMYFUNCTION("""COMPUTED_VALUE"""),"Waikato")</f>
        <v>Waikato</v>
      </c>
      <c r="C206" s="2">
        <f ca="1">IFERROR(__xludf.DUMMYFUNCTION("""COMPUTED_VALUE"""),23)</f>
        <v>23</v>
      </c>
      <c r="D206" s="9" t="str">
        <f ca="1">IFERROR(__xludf.DUMMYFUNCTION("""COMPUTED_VALUE"""),"")</f>
        <v/>
      </c>
      <c r="E206" s="4" t="str">
        <f ca="1">IFERROR(__xludf.DUMMYFUNCTION("""COMPUTED_VALUE"""),"")</f>
        <v/>
      </c>
      <c r="F206" s="2" t="str">
        <f ca="1">IFERROR(__xludf.DUMMYFUNCTION("""COMPUTED_VALUE"""),"")</f>
        <v/>
      </c>
      <c r="G206" s="2" t="str">
        <f ca="1">IFERROR(__xludf.DUMMYFUNCTION("""COMPUTED_VALUE"""),"GPS: I converted data downloaded from ARGOS using Pinpoint software")</f>
        <v>GPS: I converted data downloaded from ARGOS using Pinpoint software</v>
      </c>
      <c r="H206" s="2" t="str">
        <f ca="1">IFERROR(__xludf.DUMMYFUNCTION("""COMPUTED_VALUE"""),"3D")</f>
        <v>3D</v>
      </c>
      <c r="I206" s="2" t="str">
        <f ca="1">IFERROR(__xludf.DUMMYFUNCTION("""COMPUTED_VALUE"""),"")</f>
        <v/>
      </c>
      <c r="J206" s="2" t="str">
        <f ca="1">IFERROR(__xludf.DUMMYFUNCTION("""COMPUTED_VALUE"""),"")</f>
        <v/>
      </c>
      <c r="K206" s="2" t="str">
        <f ca="1">IFERROR(__xludf.DUMMYFUNCTION("""COMPUTED_VALUE"""),"")</f>
        <v/>
      </c>
      <c r="L206" s="2" t="str">
        <f ca="1">IFERROR(__xludf.DUMMYFUNCTION("""COMPUTED_VALUE"""),"")</f>
        <v/>
      </c>
      <c r="M206" s="5" t="str">
        <f ca="1">IFERROR(__xludf.DUMMYFUNCTION("""COMPUTED_VALUE"""),"")</f>
        <v/>
      </c>
      <c r="N206" s="5" t="str">
        <f ca="1">IFERROR(__xludf.DUMMYFUNCTION("""COMPUTED_VALUE"""),"")</f>
        <v/>
      </c>
      <c r="O206" s="2" t="str">
        <f ca="1">IFERROR(__xludf.DUMMYFUNCTION("""COMPUTED_VALUE"""),"")</f>
        <v/>
      </c>
      <c r="P206" s="2" t="str">
        <f ca="1">IFERROR(__xludf.DUMMYFUNCTION("""COMPUTED_VALUE"""),"")</f>
        <v/>
      </c>
      <c r="Q206" s="2" t="str">
        <f ca="1">IFERROR(__xludf.DUMMYFUNCTION("""COMPUTED_VALUE"""),"")</f>
        <v/>
      </c>
      <c r="R206" s="2" t="str">
        <f ca="1">IFERROR(__xludf.DUMMYFUNCTION("""COMPUTED_VALUE"""),"")</f>
        <v/>
      </c>
      <c r="S206" s="2" t="str">
        <f ca="1">IFERROR(__xludf.DUMMYFUNCTION("""COMPUTED_VALUE"""),"")</f>
        <v/>
      </c>
      <c r="T206" s="2" t="str">
        <f ca="1">IFERROR(__xludf.DUMMYFUNCTION("""COMPUTED_VALUE"""),"")</f>
        <v/>
      </c>
      <c r="U206" s="2" t="str">
        <f ca="1">IFERROR(__xludf.DUMMYFUNCTION("""COMPUTED_VALUE"""),"")</f>
        <v/>
      </c>
      <c r="V206" s="2" t="str">
        <f ca="1">IFERROR(__xludf.DUMMYFUNCTION("""COMPUTED_VALUE"""),"")</f>
        <v/>
      </c>
      <c r="W206" s="2" t="str">
        <f ca="1">IFERROR(__xludf.DUMMYFUNCTION("""COMPUTED_VALUE"""),"")</f>
        <v/>
      </c>
      <c r="X206" s="2" t="str">
        <f ca="1">IFERROR(__xludf.DUMMYFUNCTION("""COMPUTED_VALUE"""),"")</f>
        <v/>
      </c>
      <c r="Y206" s="2" t="str">
        <f ca="1">IFERROR(__xludf.DUMMYFUNCTION("""COMPUTED_VALUE"""),"")</f>
        <v/>
      </c>
      <c r="Z206" s="2" t="str">
        <f ca="1">IFERROR(__xludf.DUMMYFUNCTION("""COMPUTED_VALUE"""),"")</f>
        <v/>
      </c>
      <c r="AA206" s="2" t="str">
        <f ca="1">IFERROR(__xludf.DUMMYFUNCTION("""COMPUTED_VALUE"""),"")</f>
        <v/>
      </c>
      <c r="AB206" s="2" t="str">
        <f ca="1">IFERROR(__xludf.DUMMYFUNCTION("""COMPUTED_VALUE"""),"")</f>
        <v/>
      </c>
      <c r="AC206" s="2" t="str">
        <f ca="1">IFERROR(__xludf.DUMMYFUNCTION("""COMPUTED_VALUE"""),"")</f>
        <v/>
      </c>
      <c r="AD206" s="2" t="str">
        <f ca="1">IFERROR(__xludf.DUMMYFUNCTION("""COMPUTED_VALUE"""),"")</f>
        <v/>
      </c>
      <c r="AE206" s="2" t="str">
        <f ca="1">IFERROR(__xludf.DUMMYFUNCTION("""COMPUTED_VALUE"""),"")</f>
        <v/>
      </c>
      <c r="AF206" s="2" t="str">
        <f ca="1">IFERROR(__xludf.DUMMYFUNCTION("""COMPUTED_VALUE"""),"")</f>
        <v/>
      </c>
      <c r="AG206" s="2" t="str">
        <f ca="1">IFERROR(__xludf.DUMMYFUNCTION("""COMPUTED_VALUE"""),"")</f>
        <v/>
      </c>
      <c r="AH206" s="2" t="str">
        <f ca="1">IFERROR(__xludf.DUMMYFUNCTION("""COMPUTED_VALUE"""),"")</f>
        <v/>
      </c>
      <c r="AI206" s="2" t="str">
        <f ca="1">IFERROR(__xludf.DUMMYFUNCTION("""COMPUTED_VALUE"""),"")</f>
        <v/>
      </c>
      <c r="AJ206" s="2" t="str">
        <f ca="1">IFERROR(__xludf.DUMMYFUNCTION("""COMPUTED_VALUE"""),"")</f>
        <v/>
      </c>
      <c r="AK206" s="2" t="str">
        <f ca="1">IFERROR(__xludf.DUMMYFUNCTION("""COMPUTED_VALUE"""),"")</f>
        <v/>
      </c>
      <c r="AL206" s="2" t="str">
        <f ca="1">IFERROR(__xludf.DUMMYFUNCTION("""COMPUTED_VALUE"""),"")</f>
        <v/>
      </c>
      <c r="AM206" s="2" t="str">
        <f ca="1">IFERROR(__xludf.DUMMYFUNCTION("""COMPUTED_VALUE"""),"")</f>
        <v/>
      </c>
      <c r="AN206" s="2" t="str">
        <f ca="1">IFERROR(__xludf.DUMMYFUNCTION("""COMPUTED_VALUE"""),"")</f>
        <v/>
      </c>
      <c r="AO206" s="2" t="str">
        <f ca="1">IFERROR(__xludf.DUMMYFUNCTION("""COMPUTED_VALUE"""),"")</f>
        <v/>
      </c>
      <c r="AP206" s="2" t="str">
        <f ca="1">IFERROR(__xludf.DUMMYFUNCTION("""COMPUTED_VALUE"""),"")</f>
        <v/>
      </c>
      <c r="AQ206" s="2" t="str">
        <f ca="1">IFERROR(__xludf.DUMMYFUNCTION("""COMPUTED_VALUE"""),"")</f>
        <v/>
      </c>
      <c r="AR206" s="2" t="str">
        <f ca="1">IFERROR(__xludf.DUMMYFUNCTION("""COMPUTED_VALUE"""),"")</f>
        <v/>
      </c>
      <c r="AS206" s="2" t="str">
        <f ca="1">IFERROR(__xludf.DUMMYFUNCTION("""COMPUTED_VALUE"""),"")</f>
        <v/>
      </c>
      <c r="AT206" s="2" t="str">
        <f ca="1">IFERROR(__xludf.DUMMYFUNCTION("""COMPUTED_VALUE"""),"")</f>
        <v/>
      </c>
      <c r="AU206" s="2" t="str">
        <f ca="1">IFERROR(__xludf.DUMMYFUNCTION("""COMPUTED_VALUE"""),"")</f>
        <v/>
      </c>
      <c r="AV206" s="2" t="str">
        <f ca="1">IFERROR(__xludf.DUMMYFUNCTION("""COMPUTED_VALUE"""),"")</f>
        <v/>
      </c>
      <c r="AW206" s="2" t="str">
        <f ca="1">IFERROR(__xludf.DUMMYFUNCTION("""COMPUTED_VALUE"""),"")</f>
        <v/>
      </c>
      <c r="AX206" s="2" t="str">
        <f ca="1">IFERROR(__xludf.DUMMYFUNCTION("""COMPUTED_VALUE"""),"")</f>
        <v/>
      </c>
      <c r="AY206" s="2" t="str">
        <f ca="1">IFERROR(__xludf.DUMMYFUNCTION("""COMPUTED_VALUE"""),"")</f>
        <v/>
      </c>
      <c r="AZ206" s="2" t="str">
        <f ca="1">IFERROR(__xludf.DUMMYFUNCTION("""COMPUTED_VALUE"""),"")</f>
        <v/>
      </c>
      <c r="BA206" s="2" t="str">
        <f ca="1">IFERROR(__xludf.DUMMYFUNCTION("""COMPUTED_VALUE"""),"")</f>
        <v/>
      </c>
      <c r="BB206" s="2" t="str">
        <f ca="1">IFERROR(__xludf.DUMMYFUNCTION("""COMPUTED_VALUE"""),"")</f>
        <v/>
      </c>
      <c r="BC206" s="2" t="str">
        <f ca="1">IFERROR(__xludf.DUMMYFUNCTION("""COMPUTED_VALUE"""),"")</f>
        <v/>
      </c>
      <c r="BD206" s="2" t="str">
        <f ca="1">IFERROR(__xludf.DUMMYFUNCTION("""COMPUTED_VALUE"""),"")</f>
        <v/>
      </c>
      <c r="BE206" s="2" t="str">
        <f ca="1">IFERROR(__xludf.DUMMYFUNCTION("""COMPUTED_VALUE"""),"")</f>
        <v/>
      </c>
      <c r="BF206" t="str">
        <f ca="1">IFERROR(__xludf.DUMMYFUNCTION("""COMPUTED_VALUE"""),"")</f>
        <v/>
      </c>
      <c r="BG206" t="str">
        <f ca="1">IFERROR(__xludf.DUMMYFUNCTION("""COMPUTED_VALUE"""),"")</f>
        <v/>
      </c>
      <c r="BH206" s="2">
        <f ca="1">IFERROR(__xludf.DUMMYFUNCTION("""COMPUTED_VALUE"""),-37.3428345)</f>
        <v>-37.342834500000002</v>
      </c>
      <c r="BI206" s="13">
        <f ca="1">IFERROR(__xludf.DUMMYFUNCTION("""COMPUTED_VALUE"""),175.1652527)</f>
        <v>175.1652527</v>
      </c>
      <c r="BJ206" s="9">
        <f ca="1">IFERROR(__xludf.DUMMYFUNCTION("""COMPUTED_VALUE"""),43406)</f>
        <v>43406</v>
      </c>
      <c r="BK206" s="4">
        <f ca="1">IFERROR(__xludf.DUMMYFUNCTION("""COMPUTED_VALUE"""),0.875555555554456)</f>
        <v>0.87555555555445597</v>
      </c>
    </row>
    <row r="207" spans="1:63" ht="12.5" x14ac:dyDescent="0.25">
      <c r="A207" s="7" t="str">
        <f ca="1">IFERROR(__xludf.DUMMYFUNCTION("""COMPUTED_VALUE"""),"")</f>
        <v/>
      </c>
      <c r="B207" s="8" t="str">
        <f ca="1">IFERROR(__xludf.DUMMYFUNCTION("""COMPUTED_VALUE"""),"Waikato")</f>
        <v>Waikato</v>
      </c>
      <c r="C207" s="2">
        <f ca="1">IFERROR(__xludf.DUMMYFUNCTION("""COMPUTED_VALUE"""),23)</f>
        <v>23</v>
      </c>
      <c r="D207" s="9" t="str">
        <f ca="1">IFERROR(__xludf.DUMMYFUNCTION("""COMPUTED_VALUE"""),"")</f>
        <v/>
      </c>
      <c r="E207" s="4" t="str">
        <f ca="1">IFERROR(__xludf.DUMMYFUNCTION("""COMPUTED_VALUE"""),"")</f>
        <v/>
      </c>
      <c r="F207" s="2" t="str">
        <f ca="1">IFERROR(__xludf.DUMMYFUNCTION("""COMPUTED_VALUE"""),"")</f>
        <v/>
      </c>
      <c r="G207" s="2" t="str">
        <f ca="1">IFERROR(__xludf.DUMMYFUNCTION("""COMPUTED_VALUE"""),"GPS: I converted data downloaded from ARGOS using Pinpoint software")</f>
        <v>GPS: I converted data downloaded from ARGOS using Pinpoint software</v>
      </c>
      <c r="H207" s="2" t="str">
        <f ca="1">IFERROR(__xludf.DUMMYFUNCTION("""COMPUTED_VALUE"""),"3D")</f>
        <v>3D</v>
      </c>
      <c r="I207" s="2" t="str">
        <f ca="1">IFERROR(__xludf.DUMMYFUNCTION("""COMPUTED_VALUE"""),"")</f>
        <v/>
      </c>
      <c r="J207" s="2" t="str">
        <f ca="1">IFERROR(__xludf.DUMMYFUNCTION("""COMPUTED_VALUE"""),"")</f>
        <v/>
      </c>
      <c r="K207" s="2" t="str">
        <f ca="1">IFERROR(__xludf.DUMMYFUNCTION("""COMPUTED_VALUE"""),"")</f>
        <v/>
      </c>
      <c r="L207" s="2" t="str">
        <f ca="1">IFERROR(__xludf.DUMMYFUNCTION("""COMPUTED_VALUE"""),"")</f>
        <v/>
      </c>
      <c r="M207" s="5" t="str">
        <f ca="1">IFERROR(__xludf.DUMMYFUNCTION("""COMPUTED_VALUE"""),"")</f>
        <v/>
      </c>
      <c r="N207" s="5" t="str">
        <f ca="1">IFERROR(__xludf.DUMMYFUNCTION("""COMPUTED_VALUE"""),"")</f>
        <v/>
      </c>
      <c r="O207" s="2" t="str">
        <f ca="1">IFERROR(__xludf.DUMMYFUNCTION("""COMPUTED_VALUE"""),"")</f>
        <v/>
      </c>
      <c r="P207" s="2" t="str">
        <f ca="1">IFERROR(__xludf.DUMMYFUNCTION("""COMPUTED_VALUE"""),"")</f>
        <v/>
      </c>
      <c r="Q207" s="2" t="str">
        <f ca="1">IFERROR(__xludf.DUMMYFUNCTION("""COMPUTED_VALUE"""),"")</f>
        <v/>
      </c>
      <c r="R207" s="2" t="str">
        <f ca="1">IFERROR(__xludf.DUMMYFUNCTION("""COMPUTED_VALUE"""),"")</f>
        <v/>
      </c>
      <c r="S207" s="2" t="str">
        <f ca="1">IFERROR(__xludf.DUMMYFUNCTION("""COMPUTED_VALUE"""),"")</f>
        <v/>
      </c>
      <c r="T207" s="2" t="str">
        <f ca="1">IFERROR(__xludf.DUMMYFUNCTION("""COMPUTED_VALUE"""),"")</f>
        <v/>
      </c>
      <c r="U207" s="2" t="str">
        <f ca="1">IFERROR(__xludf.DUMMYFUNCTION("""COMPUTED_VALUE"""),"")</f>
        <v/>
      </c>
      <c r="V207" s="2" t="str">
        <f ca="1">IFERROR(__xludf.DUMMYFUNCTION("""COMPUTED_VALUE"""),"")</f>
        <v/>
      </c>
      <c r="W207" s="2" t="str">
        <f ca="1">IFERROR(__xludf.DUMMYFUNCTION("""COMPUTED_VALUE"""),"")</f>
        <v/>
      </c>
      <c r="X207" s="2" t="str">
        <f ca="1">IFERROR(__xludf.DUMMYFUNCTION("""COMPUTED_VALUE"""),"")</f>
        <v/>
      </c>
      <c r="Y207" s="2" t="str">
        <f ca="1">IFERROR(__xludf.DUMMYFUNCTION("""COMPUTED_VALUE"""),"")</f>
        <v/>
      </c>
      <c r="Z207" s="2" t="str">
        <f ca="1">IFERROR(__xludf.DUMMYFUNCTION("""COMPUTED_VALUE"""),"")</f>
        <v/>
      </c>
      <c r="AA207" s="2" t="str">
        <f ca="1">IFERROR(__xludf.DUMMYFUNCTION("""COMPUTED_VALUE"""),"")</f>
        <v/>
      </c>
      <c r="AB207" s="2" t="str">
        <f ca="1">IFERROR(__xludf.DUMMYFUNCTION("""COMPUTED_VALUE"""),"")</f>
        <v/>
      </c>
      <c r="AC207" s="2" t="str">
        <f ca="1">IFERROR(__xludf.DUMMYFUNCTION("""COMPUTED_VALUE"""),"")</f>
        <v/>
      </c>
      <c r="AD207" s="2" t="str">
        <f ca="1">IFERROR(__xludf.DUMMYFUNCTION("""COMPUTED_VALUE"""),"")</f>
        <v/>
      </c>
      <c r="AE207" s="2" t="str">
        <f ca="1">IFERROR(__xludf.DUMMYFUNCTION("""COMPUTED_VALUE"""),"")</f>
        <v/>
      </c>
      <c r="AF207" s="2" t="str">
        <f ca="1">IFERROR(__xludf.DUMMYFUNCTION("""COMPUTED_VALUE"""),"")</f>
        <v/>
      </c>
      <c r="AG207" s="2" t="str">
        <f ca="1">IFERROR(__xludf.DUMMYFUNCTION("""COMPUTED_VALUE"""),"")</f>
        <v/>
      </c>
      <c r="AH207" s="2" t="str">
        <f ca="1">IFERROR(__xludf.DUMMYFUNCTION("""COMPUTED_VALUE"""),"")</f>
        <v/>
      </c>
      <c r="AI207" s="2" t="str">
        <f ca="1">IFERROR(__xludf.DUMMYFUNCTION("""COMPUTED_VALUE"""),"")</f>
        <v/>
      </c>
      <c r="AJ207" s="2" t="str">
        <f ca="1">IFERROR(__xludf.DUMMYFUNCTION("""COMPUTED_VALUE"""),"")</f>
        <v/>
      </c>
      <c r="AK207" s="2" t="str">
        <f ca="1">IFERROR(__xludf.DUMMYFUNCTION("""COMPUTED_VALUE"""),"")</f>
        <v/>
      </c>
      <c r="AL207" s="2" t="str">
        <f ca="1">IFERROR(__xludf.DUMMYFUNCTION("""COMPUTED_VALUE"""),"")</f>
        <v/>
      </c>
      <c r="AM207" s="2" t="str">
        <f ca="1">IFERROR(__xludf.DUMMYFUNCTION("""COMPUTED_VALUE"""),"")</f>
        <v/>
      </c>
      <c r="AN207" s="2" t="str">
        <f ca="1">IFERROR(__xludf.DUMMYFUNCTION("""COMPUTED_VALUE"""),"")</f>
        <v/>
      </c>
      <c r="AO207" s="2" t="str">
        <f ca="1">IFERROR(__xludf.DUMMYFUNCTION("""COMPUTED_VALUE"""),"")</f>
        <v/>
      </c>
      <c r="AP207" s="2" t="str">
        <f ca="1">IFERROR(__xludf.DUMMYFUNCTION("""COMPUTED_VALUE"""),"")</f>
        <v/>
      </c>
      <c r="AQ207" s="2" t="str">
        <f ca="1">IFERROR(__xludf.DUMMYFUNCTION("""COMPUTED_VALUE"""),"")</f>
        <v/>
      </c>
      <c r="AR207" s="2" t="str">
        <f ca="1">IFERROR(__xludf.DUMMYFUNCTION("""COMPUTED_VALUE"""),"")</f>
        <v/>
      </c>
      <c r="AS207" s="2" t="str">
        <f ca="1">IFERROR(__xludf.DUMMYFUNCTION("""COMPUTED_VALUE"""),"")</f>
        <v/>
      </c>
      <c r="AT207" s="2" t="str">
        <f ca="1">IFERROR(__xludf.DUMMYFUNCTION("""COMPUTED_VALUE"""),"")</f>
        <v/>
      </c>
      <c r="AU207" s="2" t="str">
        <f ca="1">IFERROR(__xludf.DUMMYFUNCTION("""COMPUTED_VALUE"""),"")</f>
        <v/>
      </c>
      <c r="AV207" s="2" t="str">
        <f ca="1">IFERROR(__xludf.DUMMYFUNCTION("""COMPUTED_VALUE"""),"")</f>
        <v/>
      </c>
      <c r="AW207" s="2" t="str">
        <f ca="1">IFERROR(__xludf.DUMMYFUNCTION("""COMPUTED_VALUE"""),"")</f>
        <v/>
      </c>
      <c r="AX207" s="2" t="str">
        <f ca="1">IFERROR(__xludf.DUMMYFUNCTION("""COMPUTED_VALUE"""),"")</f>
        <v/>
      </c>
      <c r="AY207" s="2" t="str">
        <f ca="1">IFERROR(__xludf.DUMMYFUNCTION("""COMPUTED_VALUE"""),"")</f>
        <v/>
      </c>
      <c r="AZ207" s="2" t="str">
        <f ca="1">IFERROR(__xludf.DUMMYFUNCTION("""COMPUTED_VALUE"""),"")</f>
        <v/>
      </c>
      <c r="BA207" s="2" t="str">
        <f ca="1">IFERROR(__xludf.DUMMYFUNCTION("""COMPUTED_VALUE"""),"")</f>
        <v/>
      </c>
      <c r="BB207" s="2" t="str">
        <f ca="1">IFERROR(__xludf.DUMMYFUNCTION("""COMPUTED_VALUE"""),"")</f>
        <v/>
      </c>
      <c r="BC207" s="2" t="str">
        <f ca="1">IFERROR(__xludf.DUMMYFUNCTION("""COMPUTED_VALUE"""),"")</f>
        <v/>
      </c>
      <c r="BD207" s="2" t="str">
        <f ca="1">IFERROR(__xludf.DUMMYFUNCTION("""COMPUTED_VALUE"""),"")</f>
        <v/>
      </c>
      <c r="BE207" s="2" t="str">
        <f ca="1">IFERROR(__xludf.DUMMYFUNCTION("""COMPUTED_VALUE"""),"")</f>
        <v/>
      </c>
      <c r="BF207" t="str">
        <f ca="1">IFERROR(__xludf.DUMMYFUNCTION("""COMPUTED_VALUE"""),"")</f>
        <v/>
      </c>
      <c r="BG207" t="str">
        <f ca="1">IFERROR(__xludf.DUMMYFUNCTION("""COMPUTED_VALUE"""),"")</f>
        <v/>
      </c>
      <c r="BH207" s="2">
        <f ca="1">IFERROR(__xludf.DUMMYFUNCTION("""COMPUTED_VALUE"""),-37.3426819)</f>
        <v>-37.342681900000002</v>
      </c>
      <c r="BI207" s="12">
        <f ca="1">IFERROR(__xludf.DUMMYFUNCTION("""COMPUTED_VALUE"""),175.1656647)</f>
        <v>175.16566470000001</v>
      </c>
      <c r="BJ207" s="9">
        <f ca="1">IFERROR(__xludf.DUMMYFUNCTION("""COMPUTED_VALUE"""),43406)</f>
        <v>43406</v>
      </c>
      <c r="BK207" s="4">
        <f ca="1">IFERROR(__xludf.DUMMYFUNCTION("""COMPUTED_VALUE"""),0.958518518516939)</f>
        <v>0.95851851851693903</v>
      </c>
    </row>
    <row r="208" spans="1:63" ht="12.5" x14ac:dyDescent="0.25">
      <c r="A208" s="7" t="str">
        <f ca="1">IFERROR(__xludf.DUMMYFUNCTION("""COMPUTED_VALUE"""),"")</f>
        <v/>
      </c>
      <c r="B208" s="8" t="str">
        <f ca="1">IFERROR(__xludf.DUMMYFUNCTION("""COMPUTED_VALUE"""),"Waikato")</f>
        <v>Waikato</v>
      </c>
      <c r="C208" s="2">
        <f ca="1">IFERROR(__xludf.DUMMYFUNCTION("""COMPUTED_VALUE"""),23)</f>
        <v>23</v>
      </c>
      <c r="D208" s="9" t="str">
        <f ca="1">IFERROR(__xludf.DUMMYFUNCTION("""COMPUTED_VALUE"""),"")</f>
        <v/>
      </c>
      <c r="E208" s="4" t="str">
        <f ca="1">IFERROR(__xludf.DUMMYFUNCTION("""COMPUTED_VALUE"""),"")</f>
        <v/>
      </c>
      <c r="F208" s="2" t="str">
        <f ca="1">IFERROR(__xludf.DUMMYFUNCTION("""COMPUTED_VALUE"""),"")</f>
        <v/>
      </c>
      <c r="G208" s="2" t="str">
        <f ca="1">IFERROR(__xludf.DUMMYFUNCTION("""COMPUTED_VALUE"""),"GPS: I converted data downloaded from ARGOS using Pinpoint software")</f>
        <v>GPS: I converted data downloaded from ARGOS using Pinpoint software</v>
      </c>
      <c r="H208" s="2" t="str">
        <f ca="1">IFERROR(__xludf.DUMMYFUNCTION("""COMPUTED_VALUE"""),"3D")</f>
        <v>3D</v>
      </c>
      <c r="I208" s="2" t="str">
        <f ca="1">IFERROR(__xludf.DUMMYFUNCTION("""COMPUTED_VALUE"""),"")</f>
        <v/>
      </c>
      <c r="J208" s="2" t="str">
        <f ca="1">IFERROR(__xludf.DUMMYFUNCTION("""COMPUTED_VALUE"""),"")</f>
        <v/>
      </c>
      <c r="K208" s="2" t="str">
        <f ca="1">IFERROR(__xludf.DUMMYFUNCTION("""COMPUTED_VALUE"""),"")</f>
        <v/>
      </c>
      <c r="L208" s="2" t="str">
        <f ca="1">IFERROR(__xludf.DUMMYFUNCTION("""COMPUTED_VALUE"""),"")</f>
        <v/>
      </c>
      <c r="M208" s="5" t="str">
        <f ca="1">IFERROR(__xludf.DUMMYFUNCTION("""COMPUTED_VALUE"""),"")</f>
        <v/>
      </c>
      <c r="N208" s="5" t="str">
        <f ca="1">IFERROR(__xludf.DUMMYFUNCTION("""COMPUTED_VALUE"""),"")</f>
        <v/>
      </c>
      <c r="O208" s="2" t="str">
        <f ca="1">IFERROR(__xludf.DUMMYFUNCTION("""COMPUTED_VALUE"""),"")</f>
        <v/>
      </c>
      <c r="P208" s="2" t="str">
        <f ca="1">IFERROR(__xludf.DUMMYFUNCTION("""COMPUTED_VALUE"""),"")</f>
        <v/>
      </c>
      <c r="Q208" s="2" t="str">
        <f ca="1">IFERROR(__xludf.DUMMYFUNCTION("""COMPUTED_VALUE"""),"")</f>
        <v/>
      </c>
      <c r="R208" s="2" t="str">
        <f ca="1">IFERROR(__xludf.DUMMYFUNCTION("""COMPUTED_VALUE"""),"")</f>
        <v/>
      </c>
      <c r="S208" s="2" t="str">
        <f ca="1">IFERROR(__xludf.DUMMYFUNCTION("""COMPUTED_VALUE"""),"")</f>
        <v/>
      </c>
      <c r="T208" s="2" t="str">
        <f ca="1">IFERROR(__xludf.DUMMYFUNCTION("""COMPUTED_VALUE"""),"")</f>
        <v/>
      </c>
      <c r="U208" s="2" t="str">
        <f ca="1">IFERROR(__xludf.DUMMYFUNCTION("""COMPUTED_VALUE"""),"")</f>
        <v/>
      </c>
      <c r="V208" s="2" t="str">
        <f ca="1">IFERROR(__xludf.DUMMYFUNCTION("""COMPUTED_VALUE"""),"")</f>
        <v/>
      </c>
      <c r="W208" s="2" t="str">
        <f ca="1">IFERROR(__xludf.DUMMYFUNCTION("""COMPUTED_VALUE"""),"")</f>
        <v/>
      </c>
      <c r="X208" s="2" t="str">
        <f ca="1">IFERROR(__xludf.DUMMYFUNCTION("""COMPUTED_VALUE"""),"")</f>
        <v/>
      </c>
      <c r="Y208" s="2" t="str">
        <f ca="1">IFERROR(__xludf.DUMMYFUNCTION("""COMPUTED_VALUE"""),"")</f>
        <v/>
      </c>
      <c r="Z208" s="2" t="str">
        <f ca="1">IFERROR(__xludf.DUMMYFUNCTION("""COMPUTED_VALUE"""),"")</f>
        <v/>
      </c>
      <c r="AA208" s="2" t="str">
        <f ca="1">IFERROR(__xludf.DUMMYFUNCTION("""COMPUTED_VALUE"""),"")</f>
        <v/>
      </c>
      <c r="AB208" s="2" t="str">
        <f ca="1">IFERROR(__xludf.DUMMYFUNCTION("""COMPUTED_VALUE"""),"")</f>
        <v/>
      </c>
      <c r="AC208" s="2" t="str">
        <f ca="1">IFERROR(__xludf.DUMMYFUNCTION("""COMPUTED_VALUE"""),"")</f>
        <v/>
      </c>
      <c r="AD208" s="2" t="str">
        <f ca="1">IFERROR(__xludf.DUMMYFUNCTION("""COMPUTED_VALUE"""),"")</f>
        <v/>
      </c>
      <c r="AE208" s="2" t="str">
        <f ca="1">IFERROR(__xludf.DUMMYFUNCTION("""COMPUTED_VALUE"""),"")</f>
        <v/>
      </c>
      <c r="AF208" s="2" t="str">
        <f ca="1">IFERROR(__xludf.DUMMYFUNCTION("""COMPUTED_VALUE"""),"")</f>
        <v/>
      </c>
      <c r="AG208" s="2" t="str">
        <f ca="1">IFERROR(__xludf.DUMMYFUNCTION("""COMPUTED_VALUE"""),"")</f>
        <v/>
      </c>
      <c r="AH208" s="2" t="str">
        <f ca="1">IFERROR(__xludf.DUMMYFUNCTION("""COMPUTED_VALUE"""),"")</f>
        <v/>
      </c>
      <c r="AI208" s="2" t="str">
        <f ca="1">IFERROR(__xludf.DUMMYFUNCTION("""COMPUTED_VALUE"""),"")</f>
        <v/>
      </c>
      <c r="AJ208" s="2" t="str">
        <f ca="1">IFERROR(__xludf.DUMMYFUNCTION("""COMPUTED_VALUE"""),"")</f>
        <v/>
      </c>
      <c r="AK208" s="2" t="str">
        <f ca="1">IFERROR(__xludf.DUMMYFUNCTION("""COMPUTED_VALUE"""),"")</f>
        <v/>
      </c>
      <c r="AL208" s="2" t="str">
        <f ca="1">IFERROR(__xludf.DUMMYFUNCTION("""COMPUTED_VALUE"""),"")</f>
        <v/>
      </c>
      <c r="AM208" s="2" t="str">
        <f ca="1">IFERROR(__xludf.DUMMYFUNCTION("""COMPUTED_VALUE"""),"")</f>
        <v/>
      </c>
      <c r="AN208" s="2" t="str">
        <f ca="1">IFERROR(__xludf.DUMMYFUNCTION("""COMPUTED_VALUE"""),"")</f>
        <v/>
      </c>
      <c r="AO208" s="2" t="str">
        <f ca="1">IFERROR(__xludf.DUMMYFUNCTION("""COMPUTED_VALUE"""),"")</f>
        <v/>
      </c>
      <c r="AP208" s="2" t="str">
        <f ca="1">IFERROR(__xludf.DUMMYFUNCTION("""COMPUTED_VALUE"""),"")</f>
        <v/>
      </c>
      <c r="AQ208" s="2" t="str">
        <f ca="1">IFERROR(__xludf.DUMMYFUNCTION("""COMPUTED_VALUE"""),"")</f>
        <v/>
      </c>
      <c r="AR208" s="2" t="str">
        <f ca="1">IFERROR(__xludf.DUMMYFUNCTION("""COMPUTED_VALUE"""),"")</f>
        <v/>
      </c>
      <c r="AS208" s="2" t="str">
        <f ca="1">IFERROR(__xludf.DUMMYFUNCTION("""COMPUTED_VALUE"""),"")</f>
        <v/>
      </c>
      <c r="AT208" s="2" t="str">
        <f ca="1">IFERROR(__xludf.DUMMYFUNCTION("""COMPUTED_VALUE"""),"")</f>
        <v/>
      </c>
      <c r="AU208" s="2" t="str">
        <f ca="1">IFERROR(__xludf.DUMMYFUNCTION("""COMPUTED_VALUE"""),"")</f>
        <v/>
      </c>
      <c r="AV208" s="2" t="str">
        <f ca="1">IFERROR(__xludf.DUMMYFUNCTION("""COMPUTED_VALUE"""),"")</f>
        <v/>
      </c>
      <c r="AW208" s="2" t="str">
        <f ca="1">IFERROR(__xludf.DUMMYFUNCTION("""COMPUTED_VALUE"""),"")</f>
        <v/>
      </c>
      <c r="AX208" s="2" t="str">
        <f ca="1">IFERROR(__xludf.DUMMYFUNCTION("""COMPUTED_VALUE"""),"")</f>
        <v/>
      </c>
      <c r="AY208" s="2" t="str">
        <f ca="1">IFERROR(__xludf.DUMMYFUNCTION("""COMPUTED_VALUE"""),"")</f>
        <v/>
      </c>
      <c r="AZ208" s="2" t="str">
        <f ca="1">IFERROR(__xludf.DUMMYFUNCTION("""COMPUTED_VALUE"""),"")</f>
        <v/>
      </c>
      <c r="BA208" s="2" t="str">
        <f ca="1">IFERROR(__xludf.DUMMYFUNCTION("""COMPUTED_VALUE"""),"")</f>
        <v/>
      </c>
      <c r="BB208" s="2" t="str">
        <f ca="1">IFERROR(__xludf.DUMMYFUNCTION("""COMPUTED_VALUE"""),"")</f>
        <v/>
      </c>
      <c r="BC208" s="2" t="str">
        <f ca="1">IFERROR(__xludf.DUMMYFUNCTION("""COMPUTED_VALUE"""),"")</f>
        <v/>
      </c>
      <c r="BD208" s="2" t="str">
        <f ca="1">IFERROR(__xludf.DUMMYFUNCTION("""COMPUTED_VALUE"""),"")</f>
        <v/>
      </c>
      <c r="BE208" s="2" t="str">
        <f ca="1">IFERROR(__xludf.DUMMYFUNCTION("""COMPUTED_VALUE"""),"")</f>
        <v/>
      </c>
      <c r="BF208" t="str">
        <f ca="1">IFERROR(__xludf.DUMMYFUNCTION("""COMPUTED_VALUE"""),"")</f>
        <v/>
      </c>
      <c r="BG208" t="str">
        <f ca="1">IFERROR(__xludf.DUMMYFUNCTION("""COMPUTED_VALUE"""),"")</f>
        <v/>
      </c>
      <c r="BH208" s="2">
        <f ca="1">IFERROR(__xludf.DUMMYFUNCTION("""COMPUTED_VALUE"""),-37.3389168)</f>
        <v>-37.3389168</v>
      </c>
      <c r="BI208" s="13">
        <f ca="1">IFERROR(__xludf.DUMMYFUNCTION("""COMPUTED_VALUE"""),175.1658325)</f>
        <v>175.16583249999999</v>
      </c>
      <c r="BJ208" s="9">
        <f ca="1">IFERROR(__xludf.DUMMYFUNCTION("""COMPUTED_VALUE"""),43408)</f>
        <v>43408</v>
      </c>
      <c r="BK208" s="4">
        <f ca="1">IFERROR(__xludf.DUMMYFUNCTION("""COMPUTED_VALUE"""),0.457777777777664)</f>
        <v>0.45777777777766399</v>
      </c>
    </row>
    <row r="209" spans="1:63" ht="12.5" x14ac:dyDescent="0.25">
      <c r="A209" s="7" t="str">
        <f ca="1">IFERROR(__xludf.DUMMYFUNCTION("""COMPUTED_VALUE"""),"")</f>
        <v/>
      </c>
      <c r="B209" s="8" t="str">
        <f ca="1">IFERROR(__xludf.DUMMYFUNCTION("""COMPUTED_VALUE"""),"Waikato")</f>
        <v>Waikato</v>
      </c>
      <c r="C209" s="2">
        <f ca="1">IFERROR(__xludf.DUMMYFUNCTION("""COMPUTED_VALUE"""),23)</f>
        <v>23</v>
      </c>
      <c r="D209" s="9" t="str">
        <f ca="1">IFERROR(__xludf.DUMMYFUNCTION("""COMPUTED_VALUE"""),"")</f>
        <v/>
      </c>
      <c r="E209" s="4" t="str">
        <f ca="1">IFERROR(__xludf.DUMMYFUNCTION("""COMPUTED_VALUE"""),"")</f>
        <v/>
      </c>
      <c r="F209" s="2" t="str">
        <f ca="1">IFERROR(__xludf.DUMMYFUNCTION("""COMPUTED_VALUE"""),"")</f>
        <v/>
      </c>
      <c r="G209" s="2" t="str">
        <f ca="1">IFERROR(__xludf.DUMMYFUNCTION("""COMPUTED_VALUE"""),"GPS: I converted data downloaded from ARGOS using Pinpoint software")</f>
        <v>GPS: I converted data downloaded from ARGOS using Pinpoint software</v>
      </c>
      <c r="H209" s="2" t="str">
        <f ca="1">IFERROR(__xludf.DUMMYFUNCTION("""COMPUTED_VALUE"""),"3D")</f>
        <v>3D</v>
      </c>
      <c r="I209" s="2" t="str">
        <f ca="1">IFERROR(__xludf.DUMMYFUNCTION("""COMPUTED_VALUE"""),"")</f>
        <v/>
      </c>
      <c r="J209" s="2" t="str">
        <f ca="1">IFERROR(__xludf.DUMMYFUNCTION("""COMPUTED_VALUE"""),"")</f>
        <v/>
      </c>
      <c r="K209" s="2" t="str">
        <f ca="1">IFERROR(__xludf.DUMMYFUNCTION("""COMPUTED_VALUE"""),"")</f>
        <v/>
      </c>
      <c r="L209" s="2" t="str">
        <f ca="1">IFERROR(__xludf.DUMMYFUNCTION("""COMPUTED_VALUE"""),"")</f>
        <v/>
      </c>
      <c r="M209" s="5" t="str">
        <f ca="1">IFERROR(__xludf.DUMMYFUNCTION("""COMPUTED_VALUE"""),"")</f>
        <v/>
      </c>
      <c r="N209" s="5" t="str">
        <f ca="1">IFERROR(__xludf.DUMMYFUNCTION("""COMPUTED_VALUE"""),"")</f>
        <v/>
      </c>
      <c r="O209" s="2" t="str">
        <f ca="1">IFERROR(__xludf.DUMMYFUNCTION("""COMPUTED_VALUE"""),"")</f>
        <v/>
      </c>
      <c r="P209" s="2" t="str">
        <f ca="1">IFERROR(__xludf.DUMMYFUNCTION("""COMPUTED_VALUE"""),"")</f>
        <v/>
      </c>
      <c r="Q209" s="2" t="str">
        <f ca="1">IFERROR(__xludf.DUMMYFUNCTION("""COMPUTED_VALUE"""),"")</f>
        <v/>
      </c>
      <c r="R209" s="2" t="str">
        <f ca="1">IFERROR(__xludf.DUMMYFUNCTION("""COMPUTED_VALUE"""),"")</f>
        <v/>
      </c>
      <c r="S209" s="2" t="str">
        <f ca="1">IFERROR(__xludf.DUMMYFUNCTION("""COMPUTED_VALUE"""),"")</f>
        <v/>
      </c>
      <c r="T209" s="2" t="str">
        <f ca="1">IFERROR(__xludf.DUMMYFUNCTION("""COMPUTED_VALUE"""),"")</f>
        <v/>
      </c>
      <c r="U209" s="2" t="str">
        <f ca="1">IFERROR(__xludf.DUMMYFUNCTION("""COMPUTED_VALUE"""),"")</f>
        <v/>
      </c>
      <c r="V209" s="2" t="str">
        <f ca="1">IFERROR(__xludf.DUMMYFUNCTION("""COMPUTED_VALUE"""),"")</f>
        <v/>
      </c>
      <c r="W209" s="2" t="str">
        <f ca="1">IFERROR(__xludf.DUMMYFUNCTION("""COMPUTED_VALUE"""),"")</f>
        <v/>
      </c>
      <c r="X209" s="2" t="str">
        <f ca="1">IFERROR(__xludf.DUMMYFUNCTION("""COMPUTED_VALUE"""),"")</f>
        <v/>
      </c>
      <c r="Y209" s="2" t="str">
        <f ca="1">IFERROR(__xludf.DUMMYFUNCTION("""COMPUTED_VALUE"""),"")</f>
        <v/>
      </c>
      <c r="Z209" s="2" t="str">
        <f ca="1">IFERROR(__xludf.DUMMYFUNCTION("""COMPUTED_VALUE"""),"")</f>
        <v/>
      </c>
      <c r="AA209" s="2" t="str">
        <f ca="1">IFERROR(__xludf.DUMMYFUNCTION("""COMPUTED_VALUE"""),"")</f>
        <v/>
      </c>
      <c r="AB209" s="2" t="str">
        <f ca="1">IFERROR(__xludf.DUMMYFUNCTION("""COMPUTED_VALUE"""),"")</f>
        <v/>
      </c>
      <c r="AC209" s="2" t="str">
        <f ca="1">IFERROR(__xludf.DUMMYFUNCTION("""COMPUTED_VALUE"""),"")</f>
        <v/>
      </c>
      <c r="AD209" s="2" t="str">
        <f ca="1">IFERROR(__xludf.DUMMYFUNCTION("""COMPUTED_VALUE"""),"")</f>
        <v/>
      </c>
      <c r="AE209" s="2" t="str">
        <f ca="1">IFERROR(__xludf.DUMMYFUNCTION("""COMPUTED_VALUE"""),"")</f>
        <v/>
      </c>
      <c r="AF209" s="2" t="str">
        <f ca="1">IFERROR(__xludf.DUMMYFUNCTION("""COMPUTED_VALUE"""),"")</f>
        <v/>
      </c>
      <c r="AG209" s="2" t="str">
        <f ca="1">IFERROR(__xludf.DUMMYFUNCTION("""COMPUTED_VALUE"""),"")</f>
        <v/>
      </c>
      <c r="AH209" s="2" t="str">
        <f ca="1">IFERROR(__xludf.DUMMYFUNCTION("""COMPUTED_VALUE"""),"")</f>
        <v/>
      </c>
      <c r="AI209" s="2" t="str">
        <f ca="1">IFERROR(__xludf.DUMMYFUNCTION("""COMPUTED_VALUE"""),"")</f>
        <v/>
      </c>
      <c r="AJ209" s="2" t="str">
        <f ca="1">IFERROR(__xludf.DUMMYFUNCTION("""COMPUTED_VALUE"""),"")</f>
        <v/>
      </c>
      <c r="AK209" s="2" t="str">
        <f ca="1">IFERROR(__xludf.DUMMYFUNCTION("""COMPUTED_VALUE"""),"")</f>
        <v/>
      </c>
      <c r="AL209" s="2" t="str">
        <f ca="1">IFERROR(__xludf.DUMMYFUNCTION("""COMPUTED_VALUE"""),"")</f>
        <v/>
      </c>
      <c r="AM209" s="2" t="str">
        <f ca="1">IFERROR(__xludf.DUMMYFUNCTION("""COMPUTED_VALUE"""),"")</f>
        <v/>
      </c>
      <c r="AN209" s="2" t="str">
        <f ca="1">IFERROR(__xludf.DUMMYFUNCTION("""COMPUTED_VALUE"""),"")</f>
        <v/>
      </c>
      <c r="AO209" s="2" t="str">
        <f ca="1">IFERROR(__xludf.DUMMYFUNCTION("""COMPUTED_VALUE"""),"")</f>
        <v/>
      </c>
      <c r="AP209" s="2" t="str">
        <f ca="1">IFERROR(__xludf.DUMMYFUNCTION("""COMPUTED_VALUE"""),"")</f>
        <v/>
      </c>
      <c r="AQ209" s="2" t="str">
        <f ca="1">IFERROR(__xludf.DUMMYFUNCTION("""COMPUTED_VALUE"""),"")</f>
        <v/>
      </c>
      <c r="AR209" s="2" t="str">
        <f ca="1">IFERROR(__xludf.DUMMYFUNCTION("""COMPUTED_VALUE"""),"")</f>
        <v/>
      </c>
      <c r="AS209" s="2" t="str">
        <f ca="1">IFERROR(__xludf.DUMMYFUNCTION("""COMPUTED_VALUE"""),"")</f>
        <v/>
      </c>
      <c r="AT209" s="2" t="str">
        <f ca="1">IFERROR(__xludf.DUMMYFUNCTION("""COMPUTED_VALUE"""),"")</f>
        <v/>
      </c>
      <c r="AU209" s="2" t="str">
        <f ca="1">IFERROR(__xludf.DUMMYFUNCTION("""COMPUTED_VALUE"""),"")</f>
        <v/>
      </c>
      <c r="AV209" s="2" t="str">
        <f ca="1">IFERROR(__xludf.DUMMYFUNCTION("""COMPUTED_VALUE"""),"")</f>
        <v/>
      </c>
      <c r="AW209" s="2" t="str">
        <f ca="1">IFERROR(__xludf.DUMMYFUNCTION("""COMPUTED_VALUE"""),"")</f>
        <v/>
      </c>
      <c r="AX209" s="2" t="str">
        <f ca="1">IFERROR(__xludf.DUMMYFUNCTION("""COMPUTED_VALUE"""),"")</f>
        <v/>
      </c>
      <c r="AY209" s="2" t="str">
        <f ca="1">IFERROR(__xludf.DUMMYFUNCTION("""COMPUTED_VALUE"""),"")</f>
        <v/>
      </c>
      <c r="AZ209" s="2" t="str">
        <f ca="1">IFERROR(__xludf.DUMMYFUNCTION("""COMPUTED_VALUE"""),"")</f>
        <v/>
      </c>
      <c r="BA209" s="2" t="str">
        <f ca="1">IFERROR(__xludf.DUMMYFUNCTION("""COMPUTED_VALUE"""),"")</f>
        <v/>
      </c>
      <c r="BB209" s="2" t="str">
        <f ca="1">IFERROR(__xludf.DUMMYFUNCTION("""COMPUTED_VALUE"""),"")</f>
        <v/>
      </c>
      <c r="BC209" s="2" t="str">
        <f ca="1">IFERROR(__xludf.DUMMYFUNCTION("""COMPUTED_VALUE"""),"")</f>
        <v/>
      </c>
      <c r="BD209" s="2" t="str">
        <f ca="1">IFERROR(__xludf.DUMMYFUNCTION("""COMPUTED_VALUE"""),"")</f>
        <v/>
      </c>
      <c r="BE209" s="2" t="str">
        <f ca="1">IFERROR(__xludf.DUMMYFUNCTION("""COMPUTED_VALUE"""),"")</f>
        <v/>
      </c>
      <c r="BF209" t="str">
        <f ca="1">IFERROR(__xludf.DUMMYFUNCTION("""COMPUTED_VALUE"""),"")</f>
        <v/>
      </c>
      <c r="BG209" t="str">
        <f ca="1">IFERROR(__xludf.DUMMYFUNCTION("""COMPUTED_VALUE"""),"")</f>
        <v/>
      </c>
      <c r="BH209" s="2">
        <f ca="1">IFERROR(__xludf.DUMMYFUNCTION("""COMPUTED_VALUE"""),-37.3388672)</f>
        <v>-37.338867200000003</v>
      </c>
      <c r="BI209" s="12">
        <f ca="1">IFERROR(__xludf.DUMMYFUNCTION("""COMPUTED_VALUE"""),175.1658325)</f>
        <v>175.16583249999999</v>
      </c>
      <c r="BJ209" s="9">
        <f ca="1">IFERROR(__xludf.DUMMYFUNCTION("""COMPUTED_VALUE"""),43408)</f>
        <v>43408</v>
      </c>
      <c r="BK209" s="4">
        <f ca="1">IFERROR(__xludf.DUMMYFUNCTION("""COMPUTED_VALUE"""),0.958518518516939)</f>
        <v>0.95851851851693903</v>
      </c>
    </row>
    <row r="210" spans="1:63" ht="12.5" x14ac:dyDescent="0.25">
      <c r="A210" s="7" t="str">
        <f ca="1">IFERROR(__xludf.DUMMYFUNCTION("""COMPUTED_VALUE"""),"")</f>
        <v/>
      </c>
      <c r="B210" s="8" t="str">
        <f ca="1">IFERROR(__xludf.DUMMYFUNCTION("""COMPUTED_VALUE"""),"Waikato")</f>
        <v>Waikato</v>
      </c>
      <c r="C210" s="2">
        <f ca="1">IFERROR(__xludf.DUMMYFUNCTION("""COMPUTED_VALUE"""),23)</f>
        <v>23</v>
      </c>
      <c r="D210" s="9" t="str">
        <f ca="1">IFERROR(__xludf.DUMMYFUNCTION("""COMPUTED_VALUE"""),"")</f>
        <v/>
      </c>
      <c r="E210" s="4" t="str">
        <f ca="1">IFERROR(__xludf.DUMMYFUNCTION("""COMPUTED_VALUE"""),"")</f>
        <v/>
      </c>
      <c r="F210" s="2" t="str">
        <f ca="1">IFERROR(__xludf.DUMMYFUNCTION("""COMPUTED_VALUE"""),"")</f>
        <v/>
      </c>
      <c r="G210" s="2" t="str">
        <f ca="1">IFERROR(__xludf.DUMMYFUNCTION("""COMPUTED_VALUE"""),"GPS: I converted data downloaded from ARGOS using Pinpoint software")</f>
        <v>GPS: I converted data downloaded from ARGOS using Pinpoint software</v>
      </c>
      <c r="H210" s="2" t="str">
        <f ca="1">IFERROR(__xludf.DUMMYFUNCTION("""COMPUTED_VALUE"""),"3D")</f>
        <v>3D</v>
      </c>
      <c r="I210" s="2" t="str">
        <f ca="1">IFERROR(__xludf.DUMMYFUNCTION("""COMPUTED_VALUE"""),"")</f>
        <v/>
      </c>
      <c r="J210" s="2" t="str">
        <f ca="1">IFERROR(__xludf.DUMMYFUNCTION("""COMPUTED_VALUE"""),"")</f>
        <v/>
      </c>
      <c r="K210" s="2" t="str">
        <f ca="1">IFERROR(__xludf.DUMMYFUNCTION("""COMPUTED_VALUE"""),"")</f>
        <v/>
      </c>
      <c r="L210" s="2" t="str">
        <f ca="1">IFERROR(__xludf.DUMMYFUNCTION("""COMPUTED_VALUE"""),"")</f>
        <v/>
      </c>
      <c r="M210" s="5" t="str">
        <f ca="1">IFERROR(__xludf.DUMMYFUNCTION("""COMPUTED_VALUE"""),"")</f>
        <v/>
      </c>
      <c r="N210" s="5" t="str">
        <f ca="1">IFERROR(__xludf.DUMMYFUNCTION("""COMPUTED_VALUE"""),"")</f>
        <v/>
      </c>
      <c r="O210" s="2" t="str">
        <f ca="1">IFERROR(__xludf.DUMMYFUNCTION("""COMPUTED_VALUE"""),"")</f>
        <v/>
      </c>
      <c r="P210" s="2" t="str">
        <f ca="1">IFERROR(__xludf.DUMMYFUNCTION("""COMPUTED_VALUE"""),"")</f>
        <v/>
      </c>
      <c r="Q210" s="2" t="str">
        <f ca="1">IFERROR(__xludf.DUMMYFUNCTION("""COMPUTED_VALUE"""),"")</f>
        <v/>
      </c>
      <c r="R210" s="2" t="str">
        <f ca="1">IFERROR(__xludf.DUMMYFUNCTION("""COMPUTED_VALUE"""),"")</f>
        <v/>
      </c>
      <c r="S210" s="2" t="str">
        <f ca="1">IFERROR(__xludf.DUMMYFUNCTION("""COMPUTED_VALUE"""),"")</f>
        <v/>
      </c>
      <c r="T210" s="2" t="str">
        <f ca="1">IFERROR(__xludf.DUMMYFUNCTION("""COMPUTED_VALUE"""),"")</f>
        <v/>
      </c>
      <c r="U210" s="2" t="str">
        <f ca="1">IFERROR(__xludf.DUMMYFUNCTION("""COMPUTED_VALUE"""),"")</f>
        <v/>
      </c>
      <c r="V210" s="2" t="str">
        <f ca="1">IFERROR(__xludf.DUMMYFUNCTION("""COMPUTED_VALUE"""),"")</f>
        <v/>
      </c>
      <c r="W210" s="2" t="str">
        <f ca="1">IFERROR(__xludf.DUMMYFUNCTION("""COMPUTED_VALUE"""),"")</f>
        <v/>
      </c>
      <c r="X210" s="2" t="str">
        <f ca="1">IFERROR(__xludf.DUMMYFUNCTION("""COMPUTED_VALUE"""),"")</f>
        <v/>
      </c>
      <c r="Y210" s="2" t="str">
        <f ca="1">IFERROR(__xludf.DUMMYFUNCTION("""COMPUTED_VALUE"""),"")</f>
        <v/>
      </c>
      <c r="Z210" s="2" t="str">
        <f ca="1">IFERROR(__xludf.DUMMYFUNCTION("""COMPUTED_VALUE"""),"")</f>
        <v/>
      </c>
      <c r="AA210" s="2" t="str">
        <f ca="1">IFERROR(__xludf.DUMMYFUNCTION("""COMPUTED_VALUE"""),"")</f>
        <v/>
      </c>
      <c r="AB210" s="2" t="str">
        <f ca="1">IFERROR(__xludf.DUMMYFUNCTION("""COMPUTED_VALUE"""),"")</f>
        <v/>
      </c>
      <c r="AC210" s="2" t="str">
        <f ca="1">IFERROR(__xludf.DUMMYFUNCTION("""COMPUTED_VALUE"""),"")</f>
        <v/>
      </c>
      <c r="AD210" s="2" t="str">
        <f ca="1">IFERROR(__xludf.DUMMYFUNCTION("""COMPUTED_VALUE"""),"")</f>
        <v/>
      </c>
      <c r="AE210" s="2" t="str">
        <f ca="1">IFERROR(__xludf.DUMMYFUNCTION("""COMPUTED_VALUE"""),"")</f>
        <v/>
      </c>
      <c r="AF210" s="2" t="str">
        <f ca="1">IFERROR(__xludf.DUMMYFUNCTION("""COMPUTED_VALUE"""),"")</f>
        <v/>
      </c>
      <c r="AG210" s="2" t="str">
        <f ca="1">IFERROR(__xludf.DUMMYFUNCTION("""COMPUTED_VALUE"""),"")</f>
        <v/>
      </c>
      <c r="AH210" s="2" t="str">
        <f ca="1">IFERROR(__xludf.DUMMYFUNCTION("""COMPUTED_VALUE"""),"")</f>
        <v/>
      </c>
      <c r="AI210" s="2" t="str">
        <f ca="1">IFERROR(__xludf.DUMMYFUNCTION("""COMPUTED_VALUE"""),"")</f>
        <v/>
      </c>
      <c r="AJ210" s="2" t="str">
        <f ca="1">IFERROR(__xludf.DUMMYFUNCTION("""COMPUTED_VALUE"""),"")</f>
        <v/>
      </c>
      <c r="AK210" s="2" t="str">
        <f ca="1">IFERROR(__xludf.DUMMYFUNCTION("""COMPUTED_VALUE"""),"")</f>
        <v/>
      </c>
      <c r="AL210" s="2" t="str">
        <f ca="1">IFERROR(__xludf.DUMMYFUNCTION("""COMPUTED_VALUE"""),"")</f>
        <v/>
      </c>
      <c r="AM210" s="2" t="str">
        <f ca="1">IFERROR(__xludf.DUMMYFUNCTION("""COMPUTED_VALUE"""),"")</f>
        <v/>
      </c>
      <c r="AN210" s="2" t="str">
        <f ca="1">IFERROR(__xludf.DUMMYFUNCTION("""COMPUTED_VALUE"""),"")</f>
        <v/>
      </c>
      <c r="AO210" s="2" t="str">
        <f ca="1">IFERROR(__xludf.DUMMYFUNCTION("""COMPUTED_VALUE"""),"")</f>
        <v/>
      </c>
      <c r="AP210" s="2" t="str">
        <f ca="1">IFERROR(__xludf.DUMMYFUNCTION("""COMPUTED_VALUE"""),"")</f>
        <v/>
      </c>
      <c r="AQ210" s="2" t="str">
        <f ca="1">IFERROR(__xludf.DUMMYFUNCTION("""COMPUTED_VALUE"""),"")</f>
        <v/>
      </c>
      <c r="AR210" s="2" t="str">
        <f ca="1">IFERROR(__xludf.DUMMYFUNCTION("""COMPUTED_VALUE"""),"")</f>
        <v/>
      </c>
      <c r="AS210" s="2" t="str">
        <f ca="1">IFERROR(__xludf.DUMMYFUNCTION("""COMPUTED_VALUE"""),"")</f>
        <v/>
      </c>
      <c r="AT210" s="2" t="str">
        <f ca="1">IFERROR(__xludf.DUMMYFUNCTION("""COMPUTED_VALUE"""),"")</f>
        <v/>
      </c>
      <c r="AU210" s="2" t="str">
        <f ca="1">IFERROR(__xludf.DUMMYFUNCTION("""COMPUTED_VALUE"""),"")</f>
        <v/>
      </c>
      <c r="AV210" s="2" t="str">
        <f ca="1">IFERROR(__xludf.DUMMYFUNCTION("""COMPUTED_VALUE"""),"")</f>
        <v/>
      </c>
      <c r="AW210" s="2" t="str">
        <f ca="1">IFERROR(__xludf.DUMMYFUNCTION("""COMPUTED_VALUE"""),"")</f>
        <v/>
      </c>
      <c r="AX210" s="2" t="str">
        <f ca="1">IFERROR(__xludf.DUMMYFUNCTION("""COMPUTED_VALUE"""),"")</f>
        <v/>
      </c>
      <c r="AY210" s="2" t="str">
        <f ca="1">IFERROR(__xludf.DUMMYFUNCTION("""COMPUTED_VALUE"""),"")</f>
        <v/>
      </c>
      <c r="AZ210" s="2" t="str">
        <f ca="1">IFERROR(__xludf.DUMMYFUNCTION("""COMPUTED_VALUE"""),"")</f>
        <v/>
      </c>
      <c r="BA210" s="2" t="str">
        <f ca="1">IFERROR(__xludf.DUMMYFUNCTION("""COMPUTED_VALUE"""),"")</f>
        <v/>
      </c>
      <c r="BB210" s="2" t="str">
        <f ca="1">IFERROR(__xludf.DUMMYFUNCTION("""COMPUTED_VALUE"""),"")</f>
        <v/>
      </c>
      <c r="BC210" s="2" t="str">
        <f ca="1">IFERROR(__xludf.DUMMYFUNCTION("""COMPUTED_VALUE"""),"")</f>
        <v/>
      </c>
      <c r="BD210" s="2" t="str">
        <f ca="1">IFERROR(__xludf.DUMMYFUNCTION("""COMPUTED_VALUE"""),"")</f>
        <v/>
      </c>
      <c r="BE210" s="2" t="str">
        <f ca="1">IFERROR(__xludf.DUMMYFUNCTION("""COMPUTED_VALUE"""),"")</f>
        <v/>
      </c>
      <c r="BF210" t="str">
        <f ca="1">IFERROR(__xludf.DUMMYFUNCTION("""COMPUTED_VALUE"""),"")</f>
        <v/>
      </c>
      <c r="BG210" t="str">
        <f ca="1">IFERROR(__xludf.DUMMYFUNCTION("""COMPUTED_VALUE"""),"")</f>
        <v/>
      </c>
      <c r="BH210" s="2">
        <f ca="1">IFERROR(__xludf.DUMMYFUNCTION("""COMPUTED_VALUE"""),-37.3398399)</f>
        <v>-37.339839900000001</v>
      </c>
      <c r="BI210" s="13">
        <f ca="1">IFERROR(__xludf.DUMMYFUNCTION("""COMPUTED_VALUE"""),175.1654053)</f>
        <v>175.1654053</v>
      </c>
      <c r="BJ210" s="9">
        <f ca="1">IFERROR(__xludf.DUMMYFUNCTION("""COMPUTED_VALUE"""),43410)</f>
        <v>43410</v>
      </c>
      <c r="BK210" s="4">
        <f ca="1">IFERROR(__xludf.DUMMYFUNCTION("""COMPUTED_VALUE"""),0.457777777777664)</f>
        <v>0.45777777777766399</v>
      </c>
    </row>
    <row r="211" spans="1:63" ht="12.5" x14ac:dyDescent="0.25">
      <c r="A211" s="7" t="str">
        <f ca="1">IFERROR(__xludf.DUMMYFUNCTION("""COMPUTED_VALUE"""),"")</f>
        <v/>
      </c>
      <c r="B211" s="8" t="str">
        <f ca="1">IFERROR(__xludf.DUMMYFUNCTION("""COMPUTED_VALUE"""),"Waikato")</f>
        <v>Waikato</v>
      </c>
      <c r="C211" s="2">
        <f ca="1">IFERROR(__xludf.DUMMYFUNCTION("""COMPUTED_VALUE"""),23)</f>
        <v>23</v>
      </c>
      <c r="D211" s="9" t="str">
        <f ca="1">IFERROR(__xludf.DUMMYFUNCTION("""COMPUTED_VALUE"""),"")</f>
        <v/>
      </c>
      <c r="E211" s="4" t="str">
        <f ca="1">IFERROR(__xludf.DUMMYFUNCTION("""COMPUTED_VALUE"""),"")</f>
        <v/>
      </c>
      <c r="F211" s="2" t="str">
        <f ca="1">IFERROR(__xludf.DUMMYFUNCTION("""COMPUTED_VALUE"""),"")</f>
        <v/>
      </c>
      <c r="G211" s="2" t="str">
        <f ca="1">IFERROR(__xludf.DUMMYFUNCTION("""COMPUTED_VALUE"""),"GPS: I converted data downloaded from ARGOS using Pinpoint software")</f>
        <v>GPS: I converted data downloaded from ARGOS using Pinpoint software</v>
      </c>
      <c r="H211" s="2" t="str">
        <f ca="1">IFERROR(__xludf.DUMMYFUNCTION("""COMPUTED_VALUE"""),"3D")</f>
        <v>3D</v>
      </c>
      <c r="I211" s="2" t="str">
        <f ca="1">IFERROR(__xludf.DUMMYFUNCTION("""COMPUTED_VALUE"""),"")</f>
        <v/>
      </c>
      <c r="J211" s="2" t="str">
        <f ca="1">IFERROR(__xludf.DUMMYFUNCTION("""COMPUTED_VALUE"""),"")</f>
        <v/>
      </c>
      <c r="K211" s="2" t="str">
        <f ca="1">IFERROR(__xludf.DUMMYFUNCTION("""COMPUTED_VALUE"""),"")</f>
        <v/>
      </c>
      <c r="L211" s="2" t="str">
        <f ca="1">IFERROR(__xludf.DUMMYFUNCTION("""COMPUTED_VALUE"""),"")</f>
        <v/>
      </c>
      <c r="M211" s="5" t="str">
        <f ca="1">IFERROR(__xludf.DUMMYFUNCTION("""COMPUTED_VALUE"""),"")</f>
        <v/>
      </c>
      <c r="N211" s="5" t="str">
        <f ca="1">IFERROR(__xludf.DUMMYFUNCTION("""COMPUTED_VALUE"""),"")</f>
        <v/>
      </c>
      <c r="O211" s="2" t="str">
        <f ca="1">IFERROR(__xludf.DUMMYFUNCTION("""COMPUTED_VALUE"""),"")</f>
        <v/>
      </c>
      <c r="P211" s="2" t="str">
        <f ca="1">IFERROR(__xludf.DUMMYFUNCTION("""COMPUTED_VALUE"""),"")</f>
        <v/>
      </c>
      <c r="Q211" s="2" t="str">
        <f ca="1">IFERROR(__xludf.DUMMYFUNCTION("""COMPUTED_VALUE"""),"")</f>
        <v/>
      </c>
      <c r="R211" s="2" t="str">
        <f ca="1">IFERROR(__xludf.DUMMYFUNCTION("""COMPUTED_VALUE"""),"")</f>
        <v/>
      </c>
      <c r="S211" s="2" t="str">
        <f ca="1">IFERROR(__xludf.DUMMYFUNCTION("""COMPUTED_VALUE"""),"")</f>
        <v/>
      </c>
      <c r="T211" s="2" t="str">
        <f ca="1">IFERROR(__xludf.DUMMYFUNCTION("""COMPUTED_VALUE"""),"")</f>
        <v/>
      </c>
      <c r="U211" s="2" t="str">
        <f ca="1">IFERROR(__xludf.DUMMYFUNCTION("""COMPUTED_VALUE"""),"")</f>
        <v/>
      </c>
      <c r="V211" s="2" t="str">
        <f ca="1">IFERROR(__xludf.DUMMYFUNCTION("""COMPUTED_VALUE"""),"")</f>
        <v/>
      </c>
      <c r="W211" s="2" t="str">
        <f ca="1">IFERROR(__xludf.DUMMYFUNCTION("""COMPUTED_VALUE"""),"")</f>
        <v/>
      </c>
      <c r="X211" s="2" t="str">
        <f ca="1">IFERROR(__xludf.DUMMYFUNCTION("""COMPUTED_VALUE"""),"")</f>
        <v/>
      </c>
      <c r="Y211" s="2" t="str">
        <f ca="1">IFERROR(__xludf.DUMMYFUNCTION("""COMPUTED_VALUE"""),"")</f>
        <v/>
      </c>
      <c r="Z211" s="2" t="str">
        <f ca="1">IFERROR(__xludf.DUMMYFUNCTION("""COMPUTED_VALUE"""),"")</f>
        <v/>
      </c>
      <c r="AA211" s="2" t="str">
        <f ca="1">IFERROR(__xludf.DUMMYFUNCTION("""COMPUTED_VALUE"""),"")</f>
        <v/>
      </c>
      <c r="AB211" s="2" t="str">
        <f ca="1">IFERROR(__xludf.DUMMYFUNCTION("""COMPUTED_VALUE"""),"")</f>
        <v/>
      </c>
      <c r="AC211" s="2" t="str">
        <f ca="1">IFERROR(__xludf.DUMMYFUNCTION("""COMPUTED_VALUE"""),"")</f>
        <v/>
      </c>
      <c r="AD211" s="2" t="str">
        <f ca="1">IFERROR(__xludf.DUMMYFUNCTION("""COMPUTED_VALUE"""),"")</f>
        <v/>
      </c>
      <c r="AE211" s="2" t="str">
        <f ca="1">IFERROR(__xludf.DUMMYFUNCTION("""COMPUTED_VALUE"""),"")</f>
        <v/>
      </c>
      <c r="AF211" s="2" t="str">
        <f ca="1">IFERROR(__xludf.DUMMYFUNCTION("""COMPUTED_VALUE"""),"")</f>
        <v/>
      </c>
      <c r="AG211" s="2" t="str">
        <f ca="1">IFERROR(__xludf.DUMMYFUNCTION("""COMPUTED_VALUE"""),"")</f>
        <v/>
      </c>
      <c r="AH211" s="2" t="str">
        <f ca="1">IFERROR(__xludf.DUMMYFUNCTION("""COMPUTED_VALUE"""),"")</f>
        <v/>
      </c>
      <c r="AI211" s="2" t="str">
        <f ca="1">IFERROR(__xludf.DUMMYFUNCTION("""COMPUTED_VALUE"""),"")</f>
        <v/>
      </c>
      <c r="AJ211" s="2" t="str">
        <f ca="1">IFERROR(__xludf.DUMMYFUNCTION("""COMPUTED_VALUE"""),"")</f>
        <v/>
      </c>
      <c r="AK211" s="2" t="str">
        <f ca="1">IFERROR(__xludf.DUMMYFUNCTION("""COMPUTED_VALUE"""),"")</f>
        <v/>
      </c>
      <c r="AL211" s="2" t="str">
        <f ca="1">IFERROR(__xludf.DUMMYFUNCTION("""COMPUTED_VALUE"""),"")</f>
        <v/>
      </c>
      <c r="AM211" s="2" t="str">
        <f ca="1">IFERROR(__xludf.DUMMYFUNCTION("""COMPUTED_VALUE"""),"")</f>
        <v/>
      </c>
      <c r="AN211" s="2" t="str">
        <f ca="1">IFERROR(__xludf.DUMMYFUNCTION("""COMPUTED_VALUE"""),"")</f>
        <v/>
      </c>
      <c r="AO211" s="2" t="str">
        <f ca="1">IFERROR(__xludf.DUMMYFUNCTION("""COMPUTED_VALUE"""),"")</f>
        <v/>
      </c>
      <c r="AP211" s="2" t="str">
        <f ca="1">IFERROR(__xludf.DUMMYFUNCTION("""COMPUTED_VALUE"""),"")</f>
        <v/>
      </c>
      <c r="AQ211" s="2" t="str">
        <f ca="1">IFERROR(__xludf.DUMMYFUNCTION("""COMPUTED_VALUE"""),"")</f>
        <v/>
      </c>
      <c r="AR211" s="2" t="str">
        <f ca="1">IFERROR(__xludf.DUMMYFUNCTION("""COMPUTED_VALUE"""),"")</f>
        <v/>
      </c>
      <c r="AS211" s="2" t="str">
        <f ca="1">IFERROR(__xludf.DUMMYFUNCTION("""COMPUTED_VALUE"""),"")</f>
        <v/>
      </c>
      <c r="AT211" s="2" t="str">
        <f ca="1">IFERROR(__xludf.DUMMYFUNCTION("""COMPUTED_VALUE"""),"")</f>
        <v/>
      </c>
      <c r="AU211" s="2" t="str">
        <f ca="1">IFERROR(__xludf.DUMMYFUNCTION("""COMPUTED_VALUE"""),"")</f>
        <v/>
      </c>
      <c r="AV211" s="2" t="str">
        <f ca="1">IFERROR(__xludf.DUMMYFUNCTION("""COMPUTED_VALUE"""),"")</f>
        <v/>
      </c>
      <c r="AW211" s="2" t="str">
        <f ca="1">IFERROR(__xludf.DUMMYFUNCTION("""COMPUTED_VALUE"""),"")</f>
        <v/>
      </c>
      <c r="AX211" s="2" t="str">
        <f ca="1">IFERROR(__xludf.DUMMYFUNCTION("""COMPUTED_VALUE"""),"")</f>
        <v/>
      </c>
      <c r="AY211" s="2" t="str">
        <f ca="1">IFERROR(__xludf.DUMMYFUNCTION("""COMPUTED_VALUE"""),"")</f>
        <v/>
      </c>
      <c r="AZ211" s="2" t="str">
        <f ca="1">IFERROR(__xludf.DUMMYFUNCTION("""COMPUTED_VALUE"""),"")</f>
        <v/>
      </c>
      <c r="BA211" s="2" t="str">
        <f ca="1">IFERROR(__xludf.DUMMYFUNCTION("""COMPUTED_VALUE"""),"")</f>
        <v/>
      </c>
      <c r="BB211" s="2" t="str">
        <f ca="1">IFERROR(__xludf.DUMMYFUNCTION("""COMPUTED_VALUE"""),"")</f>
        <v/>
      </c>
      <c r="BC211" s="2" t="str">
        <f ca="1">IFERROR(__xludf.DUMMYFUNCTION("""COMPUTED_VALUE"""),"")</f>
        <v/>
      </c>
      <c r="BD211" s="2" t="str">
        <f ca="1">IFERROR(__xludf.DUMMYFUNCTION("""COMPUTED_VALUE"""),"")</f>
        <v/>
      </c>
      <c r="BE211" s="2" t="str">
        <f ca="1">IFERROR(__xludf.DUMMYFUNCTION("""COMPUTED_VALUE"""),"")</f>
        <v/>
      </c>
      <c r="BF211" t="str">
        <f ca="1">IFERROR(__xludf.DUMMYFUNCTION("""COMPUTED_VALUE"""),"")</f>
        <v/>
      </c>
      <c r="BG211" t="str">
        <f ca="1">IFERROR(__xludf.DUMMYFUNCTION("""COMPUTED_VALUE"""),"")</f>
        <v/>
      </c>
      <c r="BH211" s="2">
        <f ca="1">IFERROR(__xludf.DUMMYFUNCTION("""COMPUTED_VALUE"""),-37.3420944)</f>
        <v>-37.342094400000001</v>
      </c>
      <c r="BI211" s="12">
        <f ca="1">IFERROR(__xludf.DUMMYFUNCTION("""COMPUTED_VALUE"""),175.1678009)</f>
        <v>175.1678009</v>
      </c>
      <c r="BJ211" s="9">
        <f ca="1">IFERROR(__xludf.DUMMYFUNCTION("""COMPUTED_VALUE"""),43410)</f>
        <v>43410</v>
      </c>
      <c r="BK211" s="4">
        <f ca="1">IFERROR(__xludf.DUMMYFUNCTION("""COMPUTED_VALUE"""),0.958518518516939)</f>
        <v>0.95851851851693903</v>
      </c>
    </row>
    <row r="212" spans="1:63" ht="12.5" x14ac:dyDescent="0.25">
      <c r="A212" s="7" t="str">
        <f ca="1">IFERROR(__xludf.DUMMYFUNCTION("""COMPUTED_VALUE"""),"")</f>
        <v/>
      </c>
      <c r="B212" s="8" t="str">
        <f ca="1">IFERROR(__xludf.DUMMYFUNCTION("""COMPUTED_VALUE"""),"Waikato")</f>
        <v>Waikato</v>
      </c>
      <c r="C212" s="2">
        <f ca="1">IFERROR(__xludf.DUMMYFUNCTION("""COMPUTED_VALUE"""),23)</f>
        <v>23</v>
      </c>
      <c r="D212" s="9" t="str">
        <f ca="1">IFERROR(__xludf.DUMMYFUNCTION("""COMPUTED_VALUE"""),"")</f>
        <v/>
      </c>
      <c r="E212" s="4" t="str">
        <f ca="1">IFERROR(__xludf.DUMMYFUNCTION("""COMPUTED_VALUE"""),"")</f>
        <v/>
      </c>
      <c r="F212" s="2" t="str">
        <f ca="1">IFERROR(__xludf.DUMMYFUNCTION("""COMPUTED_VALUE"""),"")</f>
        <v/>
      </c>
      <c r="G212" s="2" t="str">
        <f ca="1">IFERROR(__xludf.DUMMYFUNCTION("""COMPUTED_VALUE"""),"GPS: I converted data downloaded from ARGOS using Pinpoint software")</f>
        <v>GPS: I converted data downloaded from ARGOS using Pinpoint software</v>
      </c>
      <c r="H212" s="2" t="str">
        <f ca="1">IFERROR(__xludf.DUMMYFUNCTION("""COMPUTED_VALUE"""),"3D")</f>
        <v>3D</v>
      </c>
      <c r="I212" s="2" t="str">
        <f ca="1">IFERROR(__xludf.DUMMYFUNCTION("""COMPUTED_VALUE"""),"")</f>
        <v/>
      </c>
      <c r="J212" s="2" t="str">
        <f ca="1">IFERROR(__xludf.DUMMYFUNCTION("""COMPUTED_VALUE"""),"")</f>
        <v/>
      </c>
      <c r="K212" s="2" t="str">
        <f ca="1">IFERROR(__xludf.DUMMYFUNCTION("""COMPUTED_VALUE"""),"")</f>
        <v/>
      </c>
      <c r="L212" s="2" t="str">
        <f ca="1">IFERROR(__xludf.DUMMYFUNCTION("""COMPUTED_VALUE"""),"")</f>
        <v/>
      </c>
      <c r="M212" s="5" t="str">
        <f ca="1">IFERROR(__xludf.DUMMYFUNCTION("""COMPUTED_VALUE"""),"")</f>
        <v/>
      </c>
      <c r="N212" s="5" t="str">
        <f ca="1">IFERROR(__xludf.DUMMYFUNCTION("""COMPUTED_VALUE"""),"")</f>
        <v/>
      </c>
      <c r="O212" s="2" t="str">
        <f ca="1">IFERROR(__xludf.DUMMYFUNCTION("""COMPUTED_VALUE"""),"")</f>
        <v/>
      </c>
      <c r="P212" s="2" t="str">
        <f ca="1">IFERROR(__xludf.DUMMYFUNCTION("""COMPUTED_VALUE"""),"")</f>
        <v/>
      </c>
      <c r="Q212" s="2" t="str">
        <f ca="1">IFERROR(__xludf.DUMMYFUNCTION("""COMPUTED_VALUE"""),"")</f>
        <v/>
      </c>
      <c r="R212" s="2" t="str">
        <f ca="1">IFERROR(__xludf.DUMMYFUNCTION("""COMPUTED_VALUE"""),"")</f>
        <v/>
      </c>
      <c r="S212" s="2" t="str">
        <f ca="1">IFERROR(__xludf.DUMMYFUNCTION("""COMPUTED_VALUE"""),"")</f>
        <v/>
      </c>
      <c r="T212" s="2" t="str">
        <f ca="1">IFERROR(__xludf.DUMMYFUNCTION("""COMPUTED_VALUE"""),"")</f>
        <v/>
      </c>
      <c r="U212" s="2" t="str">
        <f ca="1">IFERROR(__xludf.DUMMYFUNCTION("""COMPUTED_VALUE"""),"")</f>
        <v/>
      </c>
      <c r="V212" s="2" t="str">
        <f ca="1">IFERROR(__xludf.DUMMYFUNCTION("""COMPUTED_VALUE"""),"")</f>
        <v/>
      </c>
      <c r="W212" s="2" t="str">
        <f ca="1">IFERROR(__xludf.DUMMYFUNCTION("""COMPUTED_VALUE"""),"")</f>
        <v/>
      </c>
      <c r="X212" s="2" t="str">
        <f ca="1">IFERROR(__xludf.DUMMYFUNCTION("""COMPUTED_VALUE"""),"")</f>
        <v/>
      </c>
      <c r="Y212" s="2" t="str">
        <f ca="1">IFERROR(__xludf.DUMMYFUNCTION("""COMPUTED_VALUE"""),"")</f>
        <v/>
      </c>
      <c r="Z212" s="2" t="str">
        <f ca="1">IFERROR(__xludf.DUMMYFUNCTION("""COMPUTED_VALUE"""),"")</f>
        <v/>
      </c>
      <c r="AA212" s="2" t="str">
        <f ca="1">IFERROR(__xludf.DUMMYFUNCTION("""COMPUTED_VALUE"""),"")</f>
        <v/>
      </c>
      <c r="AB212" s="2" t="str">
        <f ca="1">IFERROR(__xludf.DUMMYFUNCTION("""COMPUTED_VALUE"""),"")</f>
        <v/>
      </c>
      <c r="AC212" s="2" t="str">
        <f ca="1">IFERROR(__xludf.DUMMYFUNCTION("""COMPUTED_VALUE"""),"")</f>
        <v/>
      </c>
      <c r="AD212" s="2" t="str">
        <f ca="1">IFERROR(__xludf.DUMMYFUNCTION("""COMPUTED_VALUE"""),"")</f>
        <v/>
      </c>
      <c r="AE212" s="2" t="str">
        <f ca="1">IFERROR(__xludf.DUMMYFUNCTION("""COMPUTED_VALUE"""),"")</f>
        <v/>
      </c>
      <c r="AF212" s="2" t="str">
        <f ca="1">IFERROR(__xludf.DUMMYFUNCTION("""COMPUTED_VALUE"""),"")</f>
        <v/>
      </c>
      <c r="AG212" s="2" t="str">
        <f ca="1">IFERROR(__xludf.DUMMYFUNCTION("""COMPUTED_VALUE"""),"")</f>
        <v/>
      </c>
      <c r="AH212" s="2" t="str">
        <f ca="1">IFERROR(__xludf.DUMMYFUNCTION("""COMPUTED_VALUE"""),"")</f>
        <v/>
      </c>
      <c r="AI212" s="2" t="str">
        <f ca="1">IFERROR(__xludf.DUMMYFUNCTION("""COMPUTED_VALUE"""),"")</f>
        <v/>
      </c>
      <c r="AJ212" s="2" t="str">
        <f ca="1">IFERROR(__xludf.DUMMYFUNCTION("""COMPUTED_VALUE"""),"")</f>
        <v/>
      </c>
      <c r="AK212" s="2" t="str">
        <f ca="1">IFERROR(__xludf.DUMMYFUNCTION("""COMPUTED_VALUE"""),"")</f>
        <v/>
      </c>
      <c r="AL212" s="2" t="str">
        <f ca="1">IFERROR(__xludf.DUMMYFUNCTION("""COMPUTED_VALUE"""),"")</f>
        <v/>
      </c>
      <c r="AM212" s="2" t="str">
        <f ca="1">IFERROR(__xludf.DUMMYFUNCTION("""COMPUTED_VALUE"""),"")</f>
        <v/>
      </c>
      <c r="AN212" s="2" t="str">
        <f ca="1">IFERROR(__xludf.DUMMYFUNCTION("""COMPUTED_VALUE"""),"")</f>
        <v/>
      </c>
      <c r="AO212" s="2" t="str">
        <f ca="1">IFERROR(__xludf.DUMMYFUNCTION("""COMPUTED_VALUE"""),"")</f>
        <v/>
      </c>
      <c r="AP212" s="2" t="str">
        <f ca="1">IFERROR(__xludf.DUMMYFUNCTION("""COMPUTED_VALUE"""),"")</f>
        <v/>
      </c>
      <c r="AQ212" s="2" t="str">
        <f ca="1">IFERROR(__xludf.DUMMYFUNCTION("""COMPUTED_VALUE"""),"")</f>
        <v/>
      </c>
      <c r="AR212" s="2" t="str">
        <f ca="1">IFERROR(__xludf.DUMMYFUNCTION("""COMPUTED_VALUE"""),"")</f>
        <v/>
      </c>
      <c r="AS212" s="2" t="str">
        <f ca="1">IFERROR(__xludf.DUMMYFUNCTION("""COMPUTED_VALUE"""),"")</f>
        <v/>
      </c>
      <c r="AT212" s="2" t="str">
        <f ca="1">IFERROR(__xludf.DUMMYFUNCTION("""COMPUTED_VALUE"""),"")</f>
        <v/>
      </c>
      <c r="AU212" s="2" t="str">
        <f ca="1">IFERROR(__xludf.DUMMYFUNCTION("""COMPUTED_VALUE"""),"")</f>
        <v/>
      </c>
      <c r="AV212" s="2" t="str">
        <f ca="1">IFERROR(__xludf.DUMMYFUNCTION("""COMPUTED_VALUE"""),"")</f>
        <v/>
      </c>
      <c r="AW212" s="2" t="str">
        <f ca="1">IFERROR(__xludf.DUMMYFUNCTION("""COMPUTED_VALUE"""),"")</f>
        <v/>
      </c>
      <c r="AX212" s="2" t="str">
        <f ca="1">IFERROR(__xludf.DUMMYFUNCTION("""COMPUTED_VALUE"""),"")</f>
        <v/>
      </c>
      <c r="AY212" s="2" t="str">
        <f ca="1">IFERROR(__xludf.DUMMYFUNCTION("""COMPUTED_VALUE"""),"")</f>
        <v/>
      </c>
      <c r="AZ212" s="2" t="str">
        <f ca="1">IFERROR(__xludf.DUMMYFUNCTION("""COMPUTED_VALUE"""),"")</f>
        <v/>
      </c>
      <c r="BA212" s="2" t="str">
        <f ca="1">IFERROR(__xludf.DUMMYFUNCTION("""COMPUTED_VALUE"""),"")</f>
        <v/>
      </c>
      <c r="BB212" s="2" t="str">
        <f ca="1">IFERROR(__xludf.DUMMYFUNCTION("""COMPUTED_VALUE"""),"")</f>
        <v/>
      </c>
      <c r="BC212" s="2" t="str">
        <f ca="1">IFERROR(__xludf.DUMMYFUNCTION("""COMPUTED_VALUE"""),"")</f>
        <v/>
      </c>
      <c r="BD212" s="2" t="str">
        <f ca="1">IFERROR(__xludf.DUMMYFUNCTION("""COMPUTED_VALUE"""),"")</f>
        <v/>
      </c>
      <c r="BE212" s="2" t="str">
        <f ca="1">IFERROR(__xludf.DUMMYFUNCTION("""COMPUTED_VALUE"""),"")</f>
        <v/>
      </c>
      <c r="BF212" t="str">
        <f ca="1">IFERROR(__xludf.DUMMYFUNCTION("""COMPUTED_VALUE"""),"")</f>
        <v/>
      </c>
      <c r="BG212" t="str">
        <f ca="1">IFERROR(__xludf.DUMMYFUNCTION("""COMPUTED_VALUE"""),"")</f>
        <v/>
      </c>
      <c r="BH212" s="2">
        <f ca="1">IFERROR(__xludf.DUMMYFUNCTION("""COMPUTED_VALUE"""),-37.3399429)</f>
        <v>-37.339942899999997</v>
      </c>
      <c r="BI212" s="13">
        <f ca="1">IFERROR(__xludf.DUMMYFUNCTION("""COMPUTED_VALUE"""),175.1654205)</f>
        <v>175.16542050000001</v>
      </c>
      <c r="BJ212" s="9">
        <f ca="1">IFERROR(__xludf.DUMMYFUNCTION("""COMPUTED_VALUE"""),43412)</f>
        <v>43412</v>
      </c>
      <c r="BK212" s="4">
        <f ca="1">IFERROR(__xludf.DUMMYFUNCTION("""COMPUTED_VALUE"""),0.457777777777664)</f>
        <v>0.45777777777766399</v>
      </c>
    </row>
    <row r="213" spans="1:63" ht="12.5" x14ac:dyDescent="0.25">
      <c r="A213" s="7" t="str">
        <f ca="1">IFERROR(__xludf.DUMMYFUNCTION("""COMPUTED_VALUE"""),"")</f>
        <v/>
      </c>
      <c r="B213" s="8" t="str">
        <f ca="1">IFERROR(__xludf.DUMMYFUNCTION("""COMPUTED_VALUE"""),"Waikato")</f>
        <v>Waikato</v>
      </c>
      <c r="C213" s="2">
        <f ca="1">IFERROR(__xludf.DUMMYFUNCTION("""COMPUTED_VALUE"""),23)</f>
        <v>23</v>
      </c>
      <c r="D213" s="9" t="str">
        <f ca="1">IFERROR(__xludf.DUMMYFUNCTION("""COMPUTED_VALUE"""),"")</f>
        <v/>
      </c>
      <c r="E213" s="4" t="str">
        <f ca="1">IFERROR(__xludf.DUMMYFUNCTION("""COMPUTED_VALUE"""),"")</f>
        <v/>
      </c>
      <c r="F213" s="2" t="str">
        <f ca="1">IFERROR(__xludf.DUMMYFUNCTION("""COMPUTED_VALUE"""),"")</f>
        <v/>
      </c>
      <c r="G213" s="2" t="str">
        <f ca="1">IFERROR(__xludf.DUMMYFUNCTION("""COMPUTED_VALUE"""),"GPS: I converted data downloaded from ARGOS using Pinpoint software")</f>
        <v>GPS: I converted data downloaded from ARGOS using Pinpoint software</v>
      </c>
      <c r="H213" s="2" t="str">
        <f ca="1">IFERROR(__xludf.DUMMYFUNCTION("""COMPUTED_VALUE"""),"3D")</f>
        <v>3D</v>
      </c>
      <c r="I213" s="2" t="str">
        <f ca="1">IFERROR(__xludf.DUMMYFUNCTION("""COMPUTED_VALUE"""),"")</f>
        <v/>
      </c>
      <c r="J213" s="2" t="str">
        <f ca="1">IFERROR(__xludf.DUMMYFUNCTION("""COMPUTED_VALUE"""),"")</f>
        <v/>
      </c>
      <c r="K213" s="2" t="str">
        <f ca="1">IFERROR(__xludf.DUMMYFUNCTION("""COMPUTED_VALUE"""),"")</f>
        <v/>
      </c>
      <c r="L213" s="2" t="str">
        <f ca="1">IFERROR(__xludf.DUMMYFUNCTION("""COMPUTED_VALUE"""),"")</f>
        <v/>
      </c>
      <c r="M213" s="5" t="str">
        <f ca="1">IFERROR(__xludf.DUMMYFUNCTION("""COMPUTED_VALUE"""),"")</f>
        <v/>
      </c>
      <c r="N213" s="5" t="str">
        <f ca="1">IFERROR(__xludf.DUMMYFUNCTION("""COMPUTED_VALUE"""),"")</f>
        <v/>
      </c>
      <c r="O213" s="2" t="str">
        <f ca="1">IFERROR(__xludf.DUMMYFUNCTION("""COMPUTED_VALUE"""),"")</f>
        <v/>
      </c>
      <c r="P213" s="2" t="str">
        <f ca="1">IFERROR(__xludf.DUMMYFUNCTION("""COMPUTED_VALUE"""),"")</f>
        <v/>
      </c>
      <c r="Q213" s="2" t="str">
        <f ca="1">IFERROR(__xludf.DUMMYFUNCTION("""COMPUTED_VALUE"""),"")</f>
        <v/>
      </c>
      <c r="R213" s="2" t="str">
        <f ca="1">IFERROR(__xludf.DUMMYFUNCTION("""COMPUTED_VALUE"""),"")</f>
        <v/>
      </c>
      <c r="S213" s="2" t="str">
        <f ca="1">IFERROR(__xludf.DUMMYFUNCTION("""COMPUTED_VALUE"""),"")</f>
        <v/>
      </c>
      <c r="T213" s="2" t="str">
        <f ca="1">IFERROR(__xludf.DUMMYFUNCTION("""COMPUTED_VALUE"""),"")</f>
        <v/>
      </c>
      <c r="U213" s="2" t="str">
        <f ca="1">IFERROR(__xludf.DUMMYFUNCTION("""COMPUTED_VALUE"""),"")</f>
        <v/>
      </c>
      <c r="V213" s="2" t="str">
        <f ca="1">IFERROR(__xludf.DUMMYFUNCTION("""COMPUTED_VALUE"""),"")</f>
        <v/>
      </c>
      <c r="W213" s="2" t="str">
        <f ca="1">IFERROR(__xludf.DUMMYFUNCTION("""COMPUTED_VALUE"""),"")</f>
        <v/>
      </c>
      <c r="X213" s="2" t="str">
        <f ca="1">IFERROR(__xludf.DUMMYFUNCTION("""COMPUTED_VALUE"""),"")</f>
        <v/>
      </c>
      <c r="Y213" s="2" t="str">
        <f ca="1">IFERROR(__xludf.DUMMYFUNCTION("""COMPUTED_VALUE"""),"")</f>
        <v/>
      </c>
      <c r="Z213" s="2" t="str">
        <f ca="1">IFERROR(__xludf.DUMMYFUNCTION("""COMPUTED_VALUE"""),"")</f>
        <v/>
      </c>
      <c r="AA213" s="2" t="str">
        <f ca="1">IFERROR(__xludf.DUMMYFUNCTION("""COMPUTED_VALUE"""),"")</f>
        <v/>
      </c>
      <c r="AB213" s="2" t="str">
        <f ca="1">IFERROR(__xludf.DUMMYFUNCTION("""COMPUTED_VALUE"""),"")</f>
        <v/>
      </c>
      <c r="AC213" s="2" t="str">
        <f ca="1">IFERROR(__xludf.DUMMYFUNCTION("""COMPUTED_VALUE"""),"")</f>
        <v/>
      </c>
      <c r="AD213" s="2" t="str">
        <f ca="1">IFERROR(__xludf.DUMMYFUNCTION("""COMPUTED_VALUE"""),"")</f>
        <v/>
      </c>
      <c r="AE213" s="2" t="str">
        <f ca="1">IFERROR(__xludf.DUMMYFUNCTION("""COMPUTED_VALUE"""),"")</f>
        <v/>
      </c>
      <c r="AF213" s="2" t="str">
        <f ca="1">IFERROR(__xludf.DUMMYFUNCTION("""COMPUTED_VALUE"""),"")</f>
        <v/>
      </c>
      <c r="AG213" s="2" t="str">
        <f ca="1">IFERROR(__xludf.DUMMYFUNCTION("""COMPUTED_VALUE"""),"")</f>
        <v/>
      </c>
      <c r="AH213" s="2" t="str">
        <f ca="1">IFERROR(__xludf.DUMMYFUNCTION("""COMPUTED_VALUE"""),"")</f>
        <v/>
      </c>
      <c r="AI213" s="2" t="str">
        <f ca="1">IFERROR(__xludf.DUMMYFUNCTION("""COMPUTED_VALUE"""),"")</f>
        <v/>
      </c>
      <c r="AJ213" s="2" t="str">
        <f ca="1">IFERROR(__xludf.DUMMYFUNCTION("""COMPUTED_VALUE"""),"")</f>
        <v/>
      </c>
      <c r="AK213" s="2" t="str">
        <f ca="1">IFERROR(__xludf.DUMMYFUNCTION("""COMPUTED_VALUE"""),"")</f>
        <v/>
      </c>
      <c r="AL213" s="2" t="str">
        <f ca="1">IFERROR(__xludf.DUMMYFUNCTION("""COMPUTED_VALUE"""),"")</f>
        <v/>
      </c>
      <c r="AM213" s="2" t="str">
        <f ca="1">IFERROR(__xludf.DUMMYFUNCTION("""COMPUTED_VALUE"""),"")</f>
        <v/>
      </c>
      <c r="AN213" s="2" t="str">
        <f ca="1">IFERROR(__xludf.DUMMYFUNCTION("""COMPUTED_VALUE"""),"")</f>
        <v/>
      </c>
      <c r="AO213" s="2" t="str">
        <f ca="1">IFERROR(__xludf.DUMMYFUNCTION("""COMPUTED_VALUE"""),"")</f>
        <v/>
      </c>
      <c r="AP213" s="2" t="str">
        <f ca="1">IFERROR(__xludf.DUMMYFUNCTION("""COMPUTED_VALUE"""),"")</f>
        <v/>
      </c>
      <c r="AQ213" s="2" t="str">
        <f ca="1">IFERROR(__xludf.DUMMYFUNCTION("""COMPUTED_VALUE"""),"")</f>
        <v/>
      </c>
      <c r="AR213" s="2" t="str">
        <f ca="1">IFERROR(__xludf.DUMMYFUNCTION("""COMPUTED_VALUE"""),"")</f>
        <v/>
      </c>
      <c r="AS213" s="2" t="str">
        <f ca="1">IFERROR(__xludf.DUMMYFUNCTION("""COMPUTED_VALUE"""),"")</f>
        <v/>
      </c>
      <c r="AT213" s="2" t="str">
        <f ca="1">IFERROR(__xludf.DUMMYFUNCTION("""COMPUTED_VALUE"""),"")</f>
        <v/>
      </c>
      <c r="AU213" s="2" t="str">
        <f ca="1">IFERROR(__xludf.DUMMYFUNCTION("""COMPUTED_VALUE"""),"")</f>
        <v/>
      </c>
      <c r="AV213" s="2" t="str">
        <f ca="1">IFERROR(__xludf.DUMMYFUNCTION("""COMPUTED_VALUE"""),"")</f>
        <v/>
      </c>
      <c r="AW213" s="2" t="str">
        <f ca="1">IFERROR(__xludf.DUMMYFUNCTION("""COMPUTED_VALUE"""),"")</f>
        <v/>
      </c>
      <c r="AX213" s="2" t="str">
        <f ca="1">IFERROR(__xludf.DUMMYFUNCTION("""COMPUTED_VALUE"""),"")</f>
        <v/>
      </c>
      <c r="AY213" s="2" t="str">
        <f ca="1">IFERROR(__xludf.DUMMYFUNCTION("""COMPUTED_VALUE"""),"")</f>
        <v/>
      </c>
      <c r="AZ213" s="2" t="str">
        <f ca="1">IFERROR(__xludf.DUMMYFUNCTION("""COMPUTED_VALUE"""),"")</f>
        <v/>
      </c>
      <c r="BA213" s="2" t="str">
        <f ca="1">IFERROR(__xludf.DUMMYFUNCTION("""COMPUTED_VALUE"""),"")</f>
        <v/>
      </c>
      <c r="BB213" s="2" t="str">
        <f ca="1">IFERROR(__xludf.DUMMYFUNCTION("""COMPUTED_VALUE"""),"")</f>
        <v/>
      </c>
      <c r="BC213" s="2" t="str">
        <f ca="1">IFERROR(__xludf.DUMMYFUNCTION("""COMPUTED_VALUE"""),"")</f>
        <v/>
      </c>
      <c r="BD213" s="2" t="str">
        <f ca="1">IFERROR(__xludf.DUMMYFUNCTION("""COMPUTED_VALUE"""),"")</f>
        <v/>
      </c>
      <c r="BE213" s="2" t="str">
        <f ca="1">IFERROR(__xludf.DUMMYFUNCTION("""COMPUTED_VALUE"""),"")</f>
        <v/>
      </c>
      <c r="BF213" t="str">
        <f ca="1">IFERROR(__xludf.DUMMYFUNCTION("""COMPUTED_VALUE"""),"")</f>
        <v/>
      </c>
      <c r="BG213" t="str">
        <f ca="1">IFERROR(__xludf.DUMMYFUNCTION("""COMPUTED_VALUE"""),"")</f>
        <v/>
      </c>
      <c r="BH213" s="2">
        <f ca="1">IFERROR(__xludf.DUMMYFUNCTION("""COMPUTED_VALUE"""),-37.3427315)</f>
        <v>-37.342731499999999</v>
      </c>
      <c r="BI213" s="12">
        <f ca="1">IFERROR(__xludf.DUMMYFUNCTION("""COMPUTED_VALUE"""),175.1733856)</f>
        <v>175.17338559999999</v>
      </c>
      <c r="BJ213" s="9">
        <f ca="1">IFERROR(__xludf.DUMMYFUNCTION("""COMPUTED_VALUE"""),43412)</f>
        <v>43412</v>
      </c>
      <c r="BK213" s="4">
        <f ca="1">IFERROR(__xludf.DUMMYFUNCTION("""COMPUTED_VALUE"""),0.958518518516939)</f>
        <v>0.95851851851693903</v>
      </c>
    </row>
    <row r="214" spans="1:63" ht="12.5" x14ac:dyDescent="0.25">
      <c r="A214" s="7" t="str">
        <f ca="1">IFERROR(__xludf.DUMMYFUNCTION("""COMPUTED_VALUE"""),"")</f>
        <v/>
      </c>
      <c r="B214" s="8" t="str">
        <f ca="1">IFERROR(__xludf.DUMMYFUNCTION("""COMPUTED_VALUE"""),"Waikato")</f>
        <v>Waikato</v>
      </c>
      <c r="C214" s="2">
        <f ca="1">IFERROR(__xludf.DUMMYFUNCTION("""COMPUTED_VALUE"""),23)</f>
        <v>23</v>
      </c>
      <c r="D214" s="9" t="str">
        <f ca="1">IFERROR(__xludf.DUMMYFUNCTION("""COMPUTED_VALUE"""),"")</f>
        <v/>
      </c>
      <c r="E214" s="4" t="str">
        <f ca="1">IFERROR(__xludf.DUMMYFUNCTION("""COMPUTED_VALUE"""),"")</f>
        <v/>
      </c>
      <c r="F214" s="2" t="str">
        <f ca="1">IFERROR(__xludf.DUMMYFUNCTION("""COMPUTED_VALUE"""),"")</f>
        <v/>
      </c>
      <c r="G214" s="2" t="str">
        <f ca="1">IFERROR(__xludf.DUMMYFUNCTION("""COMPUTED_VALUE"""),"GPS: I converted data downloaded from ARGOS using Pinpoint software")</f>
        <v>GPS: I converted data downloaded from ARGOS using Pinpoint software</v>
      </c>
      <c r="H214" s="2" t="str">
        <f ca="1">IFERROR(__xludf.DUMMYFUNCTION("""COMPUTED_VALUE"""),"3D")</f>
        <v>3D</v>
      </c>
      <c r="I214" s="2" t="str">
        <f ca="1">IFERROR(__xludf.DUMMYFUNCTION("""COMPUTED_VALUE"""),"")</f>
        <v/>
      </c>
      <c r="J214" s="2" t="str">
        <f ca="1">IFERROR(__xludf.DUMMYFUNCTION("""COMPUTED_VALUE"""),"")</f>
        <v/>
      </c>
      <c r="K214" s="2" t="str">
        <f ca="1">IFERROR(__xludf.DUMMYFUNCTION("""COMPUTED_VALUE"""),"")</f>
        <v/>
      </c>
      <c r="L214" s="2" t="str">
        <f ca="1">IFERROR(__xludf.DUMMYFUNCTION("""COMPUTED_VALUE"""),"")</f>
        <v/>
      </c>
      <c r="M214" s="5" t="str">
        <f ca="1">IFERROR(__xludf.DUMMYFUNCTION("""COMPUTED_VALUE"""),"")</f>
        <v/>
      </c>
      <c r="N214" s="5" t="str">
        <f ca="1">IFERROR(__xludf.DUMMYFUNCTION("""COMPUTED_VALUE"""),"")</f>
        <v/>
      </c>
      <c r="O214" s="2" t="str">
        <f ca="1">IFERROR(__xludf.DUMMYFUNCTION("""COMPUTED_VALUE"""),"")</f>
        <v/>
      </c>
      <c r="P214" s="2" t="str">
        <f ca="1">IFERROR(__xludf.DUMMYFUNCTION("""COMPUTED_VALUE"""),"")</f>
        <v/>
      </c>
      <c r="Q214" s="2" t="str">
        <f ca="1">IFERROR(__xludf.DUMMYFUNCTION("""COMPUTED_VALUE"""),"")</f>
        <v/>
      </c>
      <c r="R214" s="2" t="str">
        <f ca="1">IFERROR(__xludf.DUMMYFUNCTION("""COMPUTED_VALUE"""),"")</f>
        <v/>
      </c>
      <c r="S214" s="2" t="str">
        <f ca="1">IFERROR(__xludf.DUMMYFUNCTION("""COMPUTED_VALUE"""),"")</f>
        <v/>
      </c>
      <c r="T214" s="2" t="str">
        <f ca="1">IFERROR(__xludf.DUMMYFUNCTION("""COMPUTED_VALUE"""),"")</f>
        <v/>
      </c>
      <c r="U214" s="2" t="str">
        <f ca="1">IFERROR(__xludf.DUMMYFUNCTION("""COMPUTED_VALUE"""),"")</f>
        <v/>
      </c>
      <c r="V214" s="2" t="str">
        <f ca="1">IFERROR(__xludf.DUMMYFUNCTION("""COMPUTED_VALUE"""),"")</f>
        <v/>
      </c>
      <c r="W214" s="2" t="str">
        <f ca="1">IFERROR(__xludf.DUMMYFUNCTION("""COMPUTED_VALUE"""),"")</f>
        <v/>
      </c>
      <c r="X214" s="2" t="str">
        <f ca="1">IFERROR(__xludf.DUMMYFUNCTION("""COMPUTED_VALUE"""),"")</f>
        <v/>
      </c>
      <c r="Y214" s="2" t="str">
        <f ca="1">IFERROR(__xludf.DUMMYFUNCTION("""COMPUTED_VALUE"""),"")</f>
        <v/>
      </c>
      <c r="Z214" s="2" t="str">
        <f ca="1">IFERROR(__xludf.DUMMYFUNCTION("""COMPUTED_VALUE"""),"")</f>
        <v/>
      </c>
      <c r="AA214" s="2" t="str">
        <f ca="1">IFERROR(__xludf.DUMMYFUNCTION("""COMPUTED_VALUE"""),"")</f>
        <v/>
      </c>
      <c r="AB214" s="2" t="str">
        <f ca="1">IFERROR(__xludf.DUMMYFUNCTION("""COMPUTED_VALUE"""),"")</f>
        <v/>
      </c>
      <c r="AC214" s="2" t="str">
        <f ca="1">IFERROR(__xludf.DUMMYFUNCTION("""COMPUTED_VALUE"""),"")</f>
        <v/>
      </c>
      <c r="AD214" s="2" t="str">
        <f ca="1">IFERROR(__xludf.DUMMYFUNCTION("""COMPUTED_VALUE"""),"")</f>
        <v/>
      </c>
      <c r="AE214" s="2" t="str">
        <f ca="1">IFERROR(__xludf.DUMMYFUNCTION("""COMPUTED_VALUE"""),"")</f>
        <v/>
      </c>
      <c r="AF214" s="2" t="str">
        <f ca="1">IFERROR(__xludf.DUMMYFUNCTION("""COMPUTED_VALUE"""),"")</f>
        <v/>
      </c>
      <c r="AG214" s="2" t="str">
        <f ca="1">IFERROR(__xludf.DUMMYFUNCTION("""COMPUTED_VALUE"""),"")</f>
        <v/>
      </c>
      <c r="AH214" s="2" t="str">
        <f ca="1">IFERROR(__xludf.DUMMYFUNCTION("""COMPUTED_VALUE"""),"")</f>
        <v/>
      </c>
      <c r="AI214" s="2" t="str">
        <f ca="1">IFERROR(__xludf.DUMMYFUNCTION("""COMPUTED_VALUE"""),"")</f>
        <v/>
      </c>
      <c r="AJ214" s="2" t="str">
        <f ca="1">IFERROR(__xludf.DUMMYFUNCTION("""COMPUTED_VALUE"""),"")</f>
        <v/>
      </c>
      <c r="AK214" s="2" t="str">
        <f ca="1">IFERROR(__xludf.DUMMYFUNCTION("""COMPUTED_VALUE"""),"")</f>
        <v/>
      </c>
      <c r="AL214" s="2" t="str">
        <f ca="1">IFERROR(__xludf.DUMMYFUNCTION("""COMPUTED_VALUE"""),"")</f>
        <v/>
      </c>
      <c r="AM214" s="2" t="str">
        <f ca="1">IFERROR(__xludf.DUMMYFUNCTION("""COMPUTED_VALUE"""),"")</f>
        <v/>
      </c>
      <c r="AN214" s="2" t="str">
        <f ca="1">IFERROR(__xludf.DUMMYFUNCTION("""COMPUTED_VALUE"""),"")</f>
        <v/>
      </c>
      <c r="AO214" s="2" t="str">
        <f ca="1">IFERROR(__xludf.DUMMYFUNCTION("""COMPUTED_VALUE"""),"")</f>
        <v/>
      </c>
      <c r="AP214" s="2" t="str">
        <f ca="1">IFERROR(__xludf.DUMMYFUNCTION("""COMPUTED_VALUE"""),"")</f>
        <v/>
      </c>
      <c r="AQ214" s="2" t="str">
        <f ca="1">IFERROR(__xludf.DUMMYFUNCTION("""COMPUTED_VALUE"""),"")</f>
        <v/>
      </c>
      <c r="AR214" s="2" t="str">
        <f ca="1">IFERROR(__xludf.DUMMYFUNCTION("""COMPUTED_VALUE"""),"")</f>
        <v/>
      </c>
      <c r="AS214" s="2" t="str">
        <f ca="1">IFERROR(__xludf.DUMMYFUNCTION("""COMPUTED_VALUE"""),"")</f>
        <v/>
      </c>
      <c r="AT214" s="2" t="str">
        <f ca="1">IFERROR(__xludf.DUMMYFUNCTION("""COMPUTED_VALUE"""),"")</f>
        <v/>
      </c>
      <c r="AU214" s="2" t="str">
        <f ca="1">IFERROR(__xludf.DUMMYFUNCTION("""COMPUTED_VALUE"""),"")</f>
        <v/>
      </c>
      <c r="AV214" s="2" t="str">
        <f ca="1">IFERROR(__xludf.DUMMYFUNCTION("""COMPUTED_VALUE"""),"")</f>
        <v/>
      </c>
      <c r="AW214" s="2" t="str">
        <f ca="1">IFERROR(__xludf.DUMMYFUNCTION("""COMPUTED_VALUE"""),"")</f>
        <v/>
      </c>
      <c r="AX214" s="2" t="str">
        <f ca="1">IFERROR(__xludf.DUMMYFUNCTION("""COMPUTED_VALUE"""),"")</f>
        <v/>
      </c>
      <c r="AY214" s="2" t="str">
        <f ca="1">IFERROR(__xludf.DUMMYFUNCTION("""COMPUTED_VALUE"""),"")</f>
        <v/>
      </c>
      <c r="AZ214" s="2" t="str">
        <f ca="1">IFERROR(__xludf.DUMMYFUNCTION("""COMPUTED_VALUE"""),"")</f>
        <v/>
      </c>
      <c r="BA214" s="2" t="str">
        <f ca="1">IFERROR(__xludf.DUMMYFUNCTION("""COMPUTED_VALUE"""),"")</f>
        <v/>
      </c>
      <c r="BB214" s="2" t="str">
        <f ca="1">IFERROR(__xludf.DUMMYFUNCTION("""COMPUTED_VALUE"""),"")</f>
        <v/>
      </c>
      <c r="BC214" s="2" t="str">
        <f ca="1">IFERROR(__xludf.DUMMYFUNCTION("""COMPUTED_VALUE"""),"")</f>
        <v/>
      </c>
      <c r="BD214" s="2" t="str">
        <f ca="1">IFERROR(__xludf.DUMMYFUNCTION("""COMPUTED_VALUE"""),"")</f>
        <v/>
      </c>
      <c r="BE214" s="2" t="str">
        <f ca="1">IFERROR(__xludf.DUMMYFUNCTION("""COMPUTED_VALUE"""),"")</f>
        <v/>
      </c>
      <c r="BF214" t="str">
        <f ca="1">IFERROR(__xludf.DUMMYFUNCTION("""COMPUTED_VALUE"""),"")</f>
        <v/>
      </c>
      <c r="BG214" t="str">
        <f ca="1">IFERROR(__xludf.DUMMYFUNCTION("""COMPUTED_VALUE"""),"")</f>
        <v/>
      </c>
      <c r="BH214" s="2">
        <f ca="1">IFERROR(__xludf.DUMMYFUNCTION("""COMPUTED_VALUE"""),-37.3382263)</f>
        <v>-37.338226300000002</v>
      </c>
      <c r="BI214" s="13">
        <f ca="1">IFERROR(__xludf.DUMMYFUNCTION("""COMPUTED_VALUE"""),175.1692352)</f>
        <v>175.1692352</v>
      </c>
      <c r="BJ214" s="9">
        <f ca="1">IFERROR(__xludf.DUMMYFUNCTION("""COMPUTED_VALUE"""),43413)</f>
        <v>43413</v>
      </c>
      <c r="BK214" s="4">
        <f ca="1">IFERROR(__xludf.DUMMYFUNCTION("""COMPUTED_VALUE"""),0.874074074072268)</f>
        <v>0.874074074072268</v>
      </c>
    </row>
    <row r="215" spans="1:63" ht="12.5" x14ac:dyDescent="0.25">
      <c r="A215" s="7" t="str">
        <f ca="1">IFERROR(__xludf.DUMMYFUNCTION("""COMPUTED_VALUE"""),"")</f>
        <v/>
      </c>
      <c r="B215" s="8" t="str">
        <f ca="1">IFERROR(__xludf.DUMMYFUNCTION("""COMPUTED_VALUE"""),"Waikato")</f>
        <v>Waikato</v>
      </c>
      <c r="C215" s="2">
        <f ca="1">IFERROR(__xludf.DUMMYFUNCTION("""COMPUTED_VALUE"""),23)</f>
        <v>23</v>
      </c>
      <c r="D215" s="9" t="str">
        <f ca="1">IFERROR(__xludf.DUMMYFUNCTION("""COMPUTED_VALUE"""),"")</f>
        <v/>
      </c>
      <c r="E215" s="4" t="str">
        <f ca="1">IFERROR(__xludf.DUMMYFUNCTION("""COMPUTED_VALUE"""),"")</f>
        <v/>
      </c>
      <c r="F215" s="2" t="str">
        <f ca="1">IFERROR(__xludf.DUMMYFUNCTION("""COMPUTED_VALUE"""),"")</f>
        <v/>
      </c>
      <c r="G215" s="2" t="str">
        <f ca="1">IFERROR(__xludf.DUMMYFUNCTION("""COMPUTED_VALUE"""),"GPS: I converted data downloaded from ARGOS using Pinpoint software")</f>
        <v>GPS: I converted data downloaded from ARGOS using Pinpoint software</v>
      </c>
      <c r="H215" s="2" t="str">
        <f ca="1">IFERROR(__xludf.DUMMYFUNCTION("""COMPUTED_VALUE"""),"3D")</f>
        <v>3D</v>
      </c>
      <c r="I215" s="2" t="str">
        <f ca="1">IFERROR(__xludf.DUMMYFUNCTION("""COMPUTED_VALUE"""),"")</f>
        <v/>
      </c>
      <c r="J215" s="2" t="str">
        <f ca="1">IFERROR(__xludf.DUMMYFUNCTION("""COMPUTED_VALUE"""),"")</f>
        <v/>
      </c>
      <c r="K215" s="2" t="str">
        <f ca="1">IFERROR(__xludf.DUMMYFUNCTION("""COMPUTED_VALUE"""),"")</f>
        <v/>
      </c>
      <c r="L215" s="2" t="str">
        <f ca="1">IFERROR(__xludf.DUMMYFUNCTION("""COMPUTED_VALUE"""),"")</f>
        <v/>
      </c>
      <c r="M215" s="5" t="str">
        <f ca="1">IFERROR(__xludf.DUMMYFUNCTION("""COMPUTED_VALUE"""),"")</f>
        <v/>
      </c>
      <c r="N215" s="5" t="str">
        <f ca="1">IFERROR(__xludf.DUMMYFUNCTION("""COMPUTED_VALUE"""),"")</f>
        <v/>
      </c>
      <c r="O215" s="2" t="str">
        <f ca="1">IFERROR(__xludf.DUMMYFUNCTION("""COMPUTED_VALUE"""),"")</f>
        <v/>
      </c>
      <c r="P215" s="2" t="str">
        <f ca="1">IFERROR(__xludf.DUMMYFUNCTION("""COMPUTED_VALUE"""),"")</f>
        <v/>
      </c>
      <c r="Q215" s="2" t="str">
        <f ca="1">IFERROR(__xludf.DUMMYFUNCTION("""COMPUTED_VALUE"""),"")</f>
        <v/>
      </c>
      <c r="R215" s="2" t="str">
        <f ca="1">IFERROR(__xludf.DUMMYFUNCTION("""COMPUTED_VALUE"""),"")</f>
        <v/>
      </c>
      <c r="S215" s="2" t="str">
        <f ca="1">IFERROR(__xludf.DUMMYFUNCTION("""COMPUTED_VALUE"""),"")</f>
        <v/>
      </c>
      <c r="T215" s="2" t="str">
        <f ca="1">IFERROR(__xludf.DUMMYFUNCTION("""COMPUTED_VALUE"""),"")</f>
        <v/>
      </c>
      <c r="U215" s="2" t="str">
        <f ca="1">IFERROR(__xludf.DUMMYFUNCTION("""COMPUTED_VALUE"""),"")</f>
        <v/>
      </c>
      <c r="V215" s="2" t="str">
        <f ca="1">IFERROR(__xludf.DUMMYFUNCTION("""COMPUTED_VALUE"""),"")</f>
        <v/>
      </c>
      <c r="W215" s="2" t="str">
        <f ca="1">IFERROR(__xludf.DUMMYFUNCTION("""COMPUTED_VALUE"""),"")</f>
        <v/>
      </c>
      <c r="X215" s="2" t="str">
        <f ca="1">IFERROR(__xludf.DUMMYFUNCTION("""COMPUTED_VALUE"""),"")</f>
        <v/>
      </c>
      <c r="Y215" s="2" t="str">
        <f ca="1">IFERROR(__xludf.DUMMYFUNCTION("""COMPUTED_VALUE"""),"")</f>
        <v/>
      </c>
      <c r="Z215" s="2" t="str">
        <f ca="1">IFERROR(__xludf.DUMMYFUNCTION("""COMPUTED_VALUE"""),"")</f>
        <v/>
      </c>
      <c r="AA215" s="2" t="str">
        <f ca="1">IFERROR(__xludf.DUMMYFUNCTION("""COMPUTED_VALUE"""),"")</f>
        <v/>
      </c>
      <c r="AB215" s="2" t="str">
        <f ca="1">IFERROR(__xludf.DUMMYFUNCTION("""COMPUTED_VALUE"""),"")</f>
        <v/>
      </c>
      <c r="AC215" s="2" t="str">
        <f ca="1">IFERROR(__xludf.DUMMYFUNCTION("""COMPUTED_VALUE"""),"")</f>
        <v/>
      </c>
      <c r="AD215" s="2" t="str">
        <f ca="1">IFERROR(__xludf.DUMMYFUNCTION("""COMPUTED_VALUE"""),"")</f>
        <v/>
      </c>
      <c r="AE215" s="2" t="str">
        <f ca="1">IFERROR(__xludf.DUMMYFUNCTION("""COMPUTED_VALUE"""),"")</f>
        <v/>
      </c>
      <c r="AF215" s="2" t="str">
        <f ca="1">IFERROR(__xludf.DUMMYFUNCTION("""COMPUTED_VALUE"""),"")</f>
        <v/>
      </c>
      <c r="AG215" s="2" t="str">
        <f ca="1">IFERROR(__xludf.DUMMYFUNCTION("""COMPUTED_VALUE"""),"")</f>
        <v/>
      </c>
      <c r="AH215" s="2" t="str">
        <f ca="1">IFERROR(__xludf.DUMMYFUNCTION("""COMPUTED_VALUE"""),"")</f>
        <v/>
      </c>
      <c r="AI215" s="2" t="str">
        <f ca="1">IFERROR(__xludf.DUMMYFUNCTION("""COMPUTED_VALUE"""),"")</f>
        <v/>
      </c>
      <c r="AJ215" s="2" t="str">
        <f ca="1">IFERROR(__xludf.DUMMYFUNCTION("""COMPUTED_VALUE"""),"")</f>
        <v/>
      </c>
      <c r="AK215" s="2" t="str">
        <f ca="1">IFERROR(__xludf.DUMMYFUNCTION("""COMPUTED_VALUE"""),"")</f>
        <v/>
      </c>
      <c r="AL215" s="2" t="str">
        <f ca="1">IFERROR(__xludf.DUMMYFUNCTION("""COMPUTED_VALUE"""),"")</f>
        <v/>
      </c>
      <c r="AM215" s="2" t="str">
        <f ca="1">IFERROR(__xludf.DUMMYFUNCTION("""COMPUTED_VALUE"""),"")</f>
        <v/>
      </c>
      <c r="AN215" s="2" t="str">
        <f ca="1">IFERROR(__xludf.DUMMYFUNCTION("""COMPUTED_VALUE"""),"")</f>
        <v/>
      </c>
      <c r="AO215" s="2" t="str">
        <f ca="1">IFERROR(__xludf.DUMMYFUNCTION("""COMPUTED_VALUE"""),"")</f>
        <v/>
      </c>
      <c r="AP215" s="2" t="str">
        <f ca="1">IFERROR(__xludf.DUMMYFUNCTION("""COMPUTED_VALUE"""),"")</f>
        <v/>
      </c>
      <c r="AQ215" s="2" t="str">
        <f ca="1">IFERROR(__xludf.DUMMYFUNCTION("""COMPUTED_VALUE"""),"")</f>
        <v/>
      </c>
      <c r="AR215" s="2" t="str">
        <f ca="1">IFERROR(__xludf.DUMMYFUNCTION("""COMPUTED_VALUE"""),"")</f>
        <v/>
      </c>
      <c r="AS215" s="2" t="str">
        <f ca="1">IFERROR(__xludf.DUMMYFUNCTION("""COMPUTED_VALUE"""),"")</f>
        <v/>
      </c>
      <c r="AT215" s="2" t="str">
        <f ca="1">IFERROR(__xludf.DUMMYFUNCTION("""COMPUTED_VALUE"""),"")</f>
        <v/>
      </c>
      <c r="AU215" s="2" t="str">
        <f ca="1">IFERROR(__xludf.DUMMYFUNCTION("""COMPUTED_VALUE"""),"")</f>
        <v/>
      </c>
      <c r="AV215" s="2" t="str">
        <f ca="1">IFERROR(__xludf.DUMMYFUNCTION("""COMPUTED_VALUE"""),"")</f>
        <v/>
      </c>
      <c r="AW215" s="2" t="str">
        <f ca="1">IFERROR(__xludf.DUMMYFUNCTION("""COMPUTED_VALUE"""),"")</f>
        <v/>
      </c>
      <c r="AX215" s="2" t="str">
        <f ca="1">IFERROR(__xludf.DUMMYFUNCTION("""COMPUTED_VALUE"""),"")</f>
        <v/>
      </c>
      <c r="AY215" s="2" t="str">
        <f ca="1">IFERROR(__xludf.DUMMYFUNCTION("""COMPUTED_VALUE"""),"")</f>
        <v/>
      </c>
      <c r="AZ215" s="2" t="str">
        <f ca="1">IFERROR(__xludf.DUMMYFUNCTION("""COMPUTED_VALUE"""),"")</f>
        <v/>
      </c>
      <c r="BA215" s="2" t="str">
        <f ca="1">IFERROR(__xludf.DUMMYFUNCTION("""COMPUTED_VALUE"""),"")</f>
        <v/>
      </c>
      <c r="BB215" s="2" t="str">
        <f ca="1">IFERROR(__xludf.DUMMYFUNCTION("""COMPUTED_VALUE"""),"")</f>
        <v/>
      </c>
      <c r="BC215" s="2" t="str">
        <f ca="1">IFERROR(__xludf.DUMMYFUNCTION("""COMPUTED_VALUE"""),"")</f>
        <v/>
      </c>
      <c r="BD215" s="2" t="str">
        <f ca="1">IFERROR(__xludf.DUMMYFUNCTION("""COMPUTED_VALUE"""),"")</f>
        <v/>
      </c>
      <c r="BE215" s="2" t="str">
        <f ca="1">IFERROR(__xludf.DUMMYFUNCTION("""COMPUTED_VALUE"""),"")</f>
        <v/>
      </c>
      <c r="BF215" t="str">
        <f ca="1">IFERROR(__xludf.DUMMYFUNCTION("""COMPUTED_VALUE"""),"")</f>
        <v/>
      </c>
      <c r="BG215" t="str">
        <f ca="1">IFERROR(__xludf.DUMMYFUNCTION("""COMPUTED_VALUE"""),"")</f>
        <v/>
      </c>
      <c r="BH215" s="2">
        <f ca="1">IFERROR(__xludf.DUMMYFUNCTION("""COMPUTED_VALUE"""),-37.3380737)</f>
        <v>-37.338073700000002</v>
      </c>
      <c r="BI215" s="12">
        <f ca="1">IFERROR(__xludf.DUMMYFUNCTION("""COMPUTED_VALUE"""),175.1685791)</f>
        <v>175.16857909999999</v>
      </c>
      <c r="BJ215" s="9">
        <f ca="1">IFERROR(__xludf.DUMMYFUNCTION("""COMPUTED_VALUE"""),43414)</f>
        <v>43414</v>
      </c>
      <c r="BK215" s="4">
        <f ca="1">IFERROR(__xludf.DUMMYFUNCTION("""COMPUTED_VALUE"""),0.457777777777664)</f>
        <v>0.45777777777766399</v>
      </c>
    </row>
    <row r="216" spans="1:63" ht="12.5" x14ac:dyDescent="0.25">
      <c r="A216" s="7" t="str">
        <f ca="1">IFERROR(__xludf.DUMMYFUNCTION("""COMPUTED_VALUE"""),"")</f>
        <v/>
      </c>
      <c r="B216" s="8" t="str">
        <f ca="1">IFERROR(__xludf.DUMMYFUNCTION("""COMPUTED_VALUE"""),"Waikato")</f>
        <v>Waikato</v>
      </c>
      <c r="C216" s="2">
        <f ca="1">IFERROR(__xludf.DUMMYFUNCTION("""COMPUTED_VALUE"""),23)</f>
        <v>23</v>
      </c>
      <c r="D216" s="9" t="str">
        <f ca="1">IFERROR(__xludf.DUMMYFUNCTION("""COMPUTED_VALUE"""),"")</f>
        <v/>
      </c>
      <c r="E216" s="4" t="str">
        <f ca="1">IFERROR(__xludf.DUMMYFUNCTION("""COMPUTED_VALUE"""),"")</f>
        <v/>
      </c>
      <c r="F216" s="2" t="str">
        <f ca="1">IFERROR(__xludf.DUMMYFUNCTION("""COMPUTED_VALUE"""),"")</f>
        <v/>
      </c>
      <c r="G216" s="2" t="str">
        <f ca="1">IFERROR(__xludf.DUMMYFUNCTION("""COMPUTED_VALUE"""),"GPS: I converted data downloaded from ARGOS using Pinpoint software")</f>
        <v>GPS: I converted data downloaded from ARGOS using Pinpoint software</v>
      </c>
      <c r="H216" s="2" t="str">
        <f ca="1">IFERROR(__xludf.DUMMYFUNCTION("""COMPUTED_VALUE"""),"3D")</f>
        <v>3D</v>
      </c>
      <c r="I216" s="2" t="str">
        <f ca="1">IFERROR(__xludf.DUMMYFUNCTION("""COMPUTED_VALUE"""),"")</f>
        <v/>
      </c>
      <c r="J216" s="2" t="str">
        <f ca="1">IFERROR(__xludf.DUMMYFUNCTION("""COMPUTED_VALUE"""),"")</f>
        <v/>
      </c>
      <c r="K216" s="2" t="str">
        <f ca="1">IFERROR(__xludf.DUMMYFUNCTION("""COMPUTED_VALUE"""),"")</f>
        <v/>
      </c>
      <c r="L216" s="2" t="str">
        <f ca="1">IFERROR(__xludf.DUMMYFUNCTION("""COMPUTED_VALUE"""),"")</f>
        <v/>
      </c>
      <c r="M216" s="5" t="str">
        <f ca="1">IFERROR(__xludf.DUMMYFUNCTION("""COMPUTED_VALUE"""),"")</f>
        <v/>
      </c>
      <c r="N216" s="5" t="str">
        <f ca="1">IFERROR(__xludf.DUMMYFUNCTION("""COMPUTED_VALUE"""),"")</f>
        <v/>
      </c>
      <c r="O216" s="2" t="str">
        <f ca="1">IFERROR(__xludf.DUMMYFUNCTION("""COMPUTED_VALUE"""),"")</f>
        <v/>
      </c>
      <c r="P216" s="2" t="str">
        <f ca="1">IFERROR(__xludf.DUMMYFUNCTION("""COMPUTED_VALUE"""),"")</f>
        <v/>
      </c>
      <c r="Q216" s="2" t="str">
        <f ca="1">IFERROR(__xludf.DUMMYFUNCTION("""COMPUTED_VALUE"""),"")</f>
        <v/>
      </c>
      <c r="R216" s="2" t="str">
        <f ca="1">IFERROR(__xludf.DUMMYFUNCTION("""COMPUTED_VALUE"""),"")</f>
        <v/>
      </c>
      <c r="S216" s="2" t="str">
        <f ca="1">IFERROR(__xludf.DUMMYFUNCTION("""COMPUTED_VALUE"""),"")</f>
        <v/>
      </c>
      <c r="T216" s="2" t="str">
        <f ca="1">IFERROR(__xludf.DUMMYFUNCTION("""COMPUTED_VALUE"""),"")</f>
        <v/>
      </c>
      <c r="U216" s="2" t="str">
        <f ca="1">IFERROR(__xludf.DUMMYFUNCTION("""COMPUTED_VALUE"""),"")</f>
        <v/>
      </c>
      <c r="V216" s="2" t="str">
        <f ca="1">IFERROR(__xludf.DUMMYFUNCTION("""COMPUTED_VALUE"""),"")</f>
        <v/>
      </c>
      <c r="W216" s="2" t="str">
        <f ca="1">IFERROR(__xludf.DUMMYFUNCTION("""COMPUTED_VALUE"""),"")</f>
        <v/>
      </c>
      <c r="X216" s="2" t="str">
        <f ca="1">IFERROR(__xludf.DUMMYFUNCTION("""COMPUTED_VALUE"""),"")</f>
        <v/>
      </c>
      <c r="Y216" s="2" t="str">
        <f ca="1">IFERROR(__xludf.DUMMYFUNCTION("""COMPUTED_VALUE"""),"")</f>
        <v/>
      </c>
      <c r="Z216" s="2" t="str">
        <f ca="1">IFERROR(__xludf.DUMMYFUNCTION("""COMPUTED_VALUE"""),"")</f>
        <v/>
      </c>
      <c r="AA216" s="2" t="str">
        <f ca="1">IFERROR(__xludf.DUMMYFUNCTION("""COMPUTED_VALUE"""),"")</f>
        <v/>
      </c>
      <c r="AB216" s="2" t="str">
        <f ca="1">IFERROR(__xludf.DUMMYFUNCTION("""COMPUTED_VALUE"""),"")</f>
        <v/>
      </c>
      <c r="AC216" s="2" t="str">
        <f ca="1">IFERROR(__xludf.DUMMYFUNCTION("""COMPUTED_VALUE"""),"")</f>
        <v/>
      </c>
      <c r="AD216" s="2" t="str">
        <f ca="1">IFERROR(__xludf.DUMMYFUNCTION("""COMPUTED_VALUE"""),"")</f>
        <v/>
      </c>
      <c r="AE216" s="2" t="str">
        <f ca="1">IFERROR(__xludf.DUMMYFUNCTION("""COMPUTED_VALUE"""),"")</f>
        <v/>
      </c>
      <c r="AF216" s="2" t="str">
        <f ca="1">IFERROR(__xludf.DUMMYFUNCTION("""COMPUTED_VALUE"""),"")</f>
        <v/>
      </c>
      <c r="AG216" s="2" t="str">
        <f ca="1">IFERROR(__xludf.DUMMYFUNCTION("""COMPUTED_VALUE"""),"")</f>
        <v/>
      </c>
      <c r="AH216" s="2" t="str">
        <f ca="1">IFERROR(__xludf.DUMMYFUNCTION("""COMPUTED_VALUE"""),"")</f>
        <v/>
      </c>
      <c r="AI216" s="2" t="str">
        <f ca="1">IFERROR(__xludf.DUMMYFUNCTION("""COMPUTED_VALUE"""),"")</f>
        <v/>
      </c>
      <c r="AJ216" s="2" t="str">
        <f ca="1">IFERROR(__xludf.DUMMYFUNCTION("""COMPUTED_VALUE"""),"")</f>
        <v/>
      </c>
      <c r="AK216" s="2" t="str">
        <f ca="1">IFERROR(__xludf.DUMMYFUNCTION("""COMPUTED_VALUE"""),"")</f>
        <v/>
      </c>
      <c r="AL216" s="2" t="str">
        <f ca="1">IFERROR(__xludf.DUMMYFUNCTION("""COMPUTED_VALUE"""),"")</f>
        <v/>
      </c>
      <c r="AM216" s="2" t="str">
        <f ca="1">IFERROR(__xludf.DUMMYFUNCTION("""COMPUTED_VALUE"""),"")</f>
        <v/>
      </c>
      <c r="AN216" s="2" t="str">
        <f ca="1">IFERROR(__xludf.DUMMYFUNCTION("""COMPUTED_VALUE"""),"")</f>
        <v/>
      </c>
      <c r="AO216" s="2" t="str">
        <f ca="1">IFERROR(__xludf.DUMMYFUNCTION("""COMPUTED_VALUE"""),"")</f>
        <v/>
      </c>
      <c r="AP216" s="2" t="str">
        <f ca="1">IFERROR(__xludf.DUMMYFUNCTION("""COMPUTED_VALUE"""),"")</f>
        <v/>
      </c>
      <c r="AQ216" s="2" t="str">
        <f ca="1">IFERROR(__xludf.DUMMYFUNCTION("""COMPUTED_VALUE"""),"")</f>
        <v/>
      </c>
      <c r="AR216" s="2" t="str">
        <f ca="1">IFERROR(__xludf.DUMMYFUNCTION("""COMPUTED_VALUE"""),"")</f>
        <v/>
      </c>
      <c r="AS216" s="2" t="str">
        <f ca="1">IFERROR(__xludf.DUMMYFUNCTION("""COMPUTED_VALUE"""),"")</f>
        <v/>
      </c>
      <c r="AT216" s="2" t="str">
        <f ca="1">IFERROR(__xludf.DUMMYFUNCTION("""COMPUTED_VALUE"""),"")</f>
        <v/>
      </c>
      <c r="AU216" s="2" t="str">
        <f ca="1">IFERROR(__xludf.DUMMYFUNCTION("""COMPUTED_VALUE"""),"")</f>
        <v/>
      </c>
      <c r="AV216" s="2" t="str">
        <f ca="1">IFERROR(__xludf.DUMMYFUNCTION("""COMPUTED_VALUE"""),"")</f>
        <v/>
      </c>
      <c r="AW216" s="2" t="str">
        <f ca="1">IFERROR(__xludf.DUMMYFUNCTION("""COMPUTED_VALUE"""),"")</f>
        <v/>
      </c>
      <c r="AX216" s="2" t="str">
        <f ca="1">IFERROR(__xludf.DUMMYFUNCTION("""COMPUTED_VALUE"""),"")</f>
        <v/>
      </c>
      <c r="AY216" s="2" t="str">
        <f ca="1">IFERROR(__xludf.DUMMYFUNCTION("""COMPUTED_VALUE"""),"")</f>
        <v/>
      </c>
      <c r="AZ216" s="2" t="str">
        <f ca="1">IFERROR(__xludf.DUMMYFUNCTION("""COMPUTED_VALUE"""),"")</f>
        <v/>
      </c>
      <c r="BA216" s="2" t="str">
        <f ca="1">IFERROR(__xludf.DUMMYFUNCTION("""COMPUTED_VALUE"""),"")</f>
        <v/>
      </c>
      <c r="BB216" s="2" t="str">
        <f ca="1">IFERROR(__xludf.DUMMYFUNCTION("""COMPUTED_VALUE"""),"")</f>
        <v/>
      </c>
      <c r="BC216" s="2" t="str">
        <f ca="1">IFERROR(__xludf.DUMMYFUNCTION("""COMPUTED_VALUE"""),"")</f>
        <v/>
      </c>
      <c r="BD216" s="2" t="str">
        <f ca="1">IFERROR(__xludf.DUMMYFUNCTION("""COMPUTED_VALUE"""),"")</f>
        <v/>
      </c>
      <c r="BE216" s="2" t="str">
        <f ca="1">IFERROR(__xludf.DUMMYFUNCTION("""COMPUTED_VALUE"""),"")</f>
        <v/>
      </c>
      <c r="BF216" t="str">
        <f ca="1">IFERROR(__xludf.DUMMYFUNCTION("""COMPUTED_VALUE"""),"")</f>
        <v/>
      </c>
      <c r="BG216" t="str">
        <f ca="1">IFERROR(__xludf.DUMMYFUNCTION("""COMPUTED_VALUE"""),"")</f>
        <v/>
      </c>
      <c r="BH216" s="2">
        <f ca="1">IFERROR(__xludf.DUMMYFUNCTION("""COMPUTED_VALUE"""),-37.3426552)</f>
        <v>-37.342655200000003</v>
      </c>
      <c r="BI216" s="13">
        <f ca="1">IFERROR(__xludf.DUMMYFUNCTION("""COMPUTED_VALUE"""),175.1700134)</f>
        <v>175.17001339999999</v>
      </c>
      <c r="BJ216" s="9">
        <f ca="1">IFERROR(__xludf.DUMMYFUNCTION("""COMPUTED_VALUE"""),43414)</f>
        <v>43414</v>
      </c>
      <c r="BK216" s="4">
        <f ca="1">IFERROR(__xludf.DUMMYFUNCTION("""COMPUTED_VALUE"""),0.958518518516939)</f>
        <v>0.95851851851693903</v>
      </c>
    </row>
    <row r="217" spans="1:63" ht="12.5" x14ac:dyDescent="0.25">
      <c r="A217" s="7" t="str">
        <f ca="1">IFERROR(__xludf.DUMMYFUNCTION("""COMPUTED_VALUE"""),"")</f>
        <v/>
      </c>
      <c r="B217" s="8" t="str">
        <f ca="1">IFERROR(__xludf.DUMMYFUNCTION("""COMPUTED_VALUE"""),"Waikato")</f>
        <v>Waikato</v>
      </c>
      <c r="C217" s="2">
        <f ca="1">IFERROR(__xludf.DUMMYFUNCTION("""COMPUTED_VALUE"""),23)</f>
        <v>23</v>
      </c>
      <c r="D217" s="9" t="str">
        <f ca="1">IFERROR(__xludf.DUMMYFUNCTION("""COMPUTED_VALUE"""),"")</f>
        <v/>
      </c>
      <c r="E217" s="4" t="str">
        <f ca="1">IFERROR(__xludf.DUMMYFUNCTION("""COMPUTED_VALUE"""),"")</f>
        <v/>
      </c>
      <c r="F217" s="2" t="str">
        <f ca="1">IFERROR(__xludf.DUMMYFUNCTION("""COMPUTED_VALUE"""),"")</f>
        <v/>
      </c>
      <c r="G217" s="2" t="str">
        <f ca="1">IFERROR(__xludf.DUMMYFUNCTION("""COMPUTED_VALUE"""),"GPS: I converted data downloaded from ARGOS using Pinpoint software")</f>
        <v>GPS: I converted data downloaded from ARGOS using Pinpoint software</v>
      </c>
      <c r="H217" s="2" t="str">
        <f ca="1">IFERROR(__xludf.DUMMYFUNCTION("""COMPUTED_VALUE"""),"3D")</f>
        <v>3D</v>
      </c>
      <c r="I217" s="2" t="str">
        <f ca="1">IFERROR(__xludf.DUMMYFUNCTION("""COMPUTED_VALUE"""),"")</f>
        <v/>
      </c>
      <c r="J217" s="2" t="str">
        <f ca="1">IFERROR(__xludf.DUMMYFUNCTION("""COMPUTED_VALUE"""),"")</f>
        <v/>
      </c>
      <c r="K217" s="2" t="str">
        <f ca="1">IFERROR(__xludf.DUMMYFUNCTION("""COMPUTED_VALUE"""),"")</f>
        <v/>
      </c>
      <c r="L217" s="2" t="str">
        <f ca="1">IFERROR(__xludf.DUMMYFUNCTION("""COMPUTED_VALUE"""),"")</f>
        <v/>
      </c>
      <c r="M217" s="5" t="str">
        <f ca="1">IFERROR(__xludf.DUMMYFUNCTION("""COMPUTED_VALUE"""),"")</f>
        <v/>
      </c>
      <c r="N217" s="5" t="str">
        <f ca="1">IFERROR(__xludf.DUMMYFUNCTION("""COMPUTED_VALUE"""),"")</f>
        <v/>
      </c>
      <c r="O217" s="2" t="str">
        <f ca="1">IFERROR(__xludf.DUMMYFUNCTION("""COMPUTED_VALUE"""),"")</f>
        <v/>
      </c>
      <c r="P217" s="2" t="str">
        <f ca="1">IFERROR(__xludf.DUMMYFUNCTION("""COMPUTED_VALUE"""),"")</f>
        <v/>
      </c>
      <c r="Q217" s="2" t="str">
        <f ca="1">IFERROR(__xludf.DUMMYFUNCTION("""COMPUTED_VALUE"""),"")</f>
        <v/>
      </c>
      <c r="R217" s="2" t="str">
        <f ca="1">IFERROR(__xludf.DUMMYFUNCTION("""COMPUTED_VALUE"""),"")</f>
        <v/>
      </c>
      <c r="S217" s="2" t="str">
        <f ca="1">IFERROR(__xludf.DUMMYFUNCTION("""COMPUTED_VALUE"""),"")</f>
        <v/>
      </c>
      <c r="T217" s="2" t="str">
        <f ca="1">IFERROR(__xludf.DUMMYFUNCTION("""COMPUTED_VALUE"""),"")</f>
        <v/>
      </c>
      <c r="U217" s="2" t="str">
        <f ca="1">IFERROR(__xludf.DUMMYFUNCTION("""COMPUTED_VALUE"""),"")</f>
        <v/>
      </c>
      <c r="V217" s="2" t="str">
        <f ca="1">IFERROR(__xludf.DUMMYFUNCTION("""COMPUTED_VALUE"""),"")</f>
        <v/>
      </c>
      <c r="W217" s="2" t="str">
        <f ca="1">IFERROR(__xludf.DUMMYFUNCTION("""COMPUTED_VALUE"""),"")</f>
        <v/>
      </c>
      <c r="X217" s="2" t="str">
        <f ca="1">IFERROR(__xludf.DUMMYFUNCTION("""COMPUTED_VALUE"""),"")</f>
        <v/>
      </c>
      <c r="Y217" s="2" t="str">
        <f ca="1">IFERROR(__xludf.DUMMYFUNCTION("""COMPUTED_VALUE"""),"")</f>
        <v/>
      </c>
      <c r="Z217" s="2" t="str">
        <f ca="1">IFERROR(__xludf.DUMMYFUNCTION("""COMPUTED_VALUE"""),"")</f>
        <v/>
      </c>
      <c r="AA217" s="2" t="str">
        <f ca="1">IFERROR(__xludf.DUMMYFUNCTION("""COMPUTED_VALUE"""),"")</f>
        <v/>
      </c>
      <c r="AB217" s="2" t="str">
        <f ca="1">IFERROR(__xludf.DUMMYFUNCTION("""COMPUTED_VALUE"""),"")</f>
        <v/>
      </c>
      <c r="AC217" s="2" t="str">
        <f ca="1">IFERROR(__xludf.DUMMYFUNCTION("""COMPUTED_VALUE"""),"")</f>
        <v/>
      </c>
      <c r="AD217" s="2" t="str">
        <f ca="1">IFERROR(__xludf.DUMMYFUNCTION("""COMPUTED_VALUE"""),"")</f>
        <v/>
      </c>
      <c r="AE217" s="2" t="str">
        <f ca="1">IFERROR(__xludf.DUMMYFUNCTION("""COMPUTED_VALUE"""),"")</f>
        <v/>
      </c>
      <c r="AF217" s="2" t="str">
        <f ca="1">IFERROR(__xludf.DUMMYFUNCTION("""COMPUTED_VALUE"""),"")</f>
        <v/>
      </c>
      <c r="AG217" s="2" t="str">
        <f ca="1">IFERROR(__xludf.DUMMYFUNCTION("""COMPUTED_VALUE"""),"")</f>
        <v/>
      </c>
      <c r="AH217" s="2" t="str">
        <f ca="1">IFERROR(__xludf.DUMMYFUNCTION("""COMPUTED_VALUE"""),"")</f>
        <v/>
      </c>
      <c r="AI217" s="2" t="str">
        <f ca="1">IFERROR(__xludf.DUMMYFUNCTION("""COMPUTED_VALUE"""),"")</f>
        <v/>
      </c>
      <c r="AJ217" s="2" t="str">
        <f ca="1">IFERROR(__xludf.DUMMYFUNCTION("""COMPUTED_VALUE"""),"")</f>
        <v/>
      </c>
      <c r="AK217" s="2" t="str">
        <f ca="1">IFERROR(__xludf.DUMMYFUNCTION("""COMPUTED_VALUE"""),"")</f>
        <v/>
      </c>
      <c r="AL217" s="2" t="str">
        <f ca="1">IFERROR(__xludf.DUMMYFUNCTION("""COMPUTED_VALUE"""),"")</f>
        <v/>
      </c>
      <c r="AM217" s="2" t="str">
        <f ca="1">IFERROR(__xludf.DUMMYFUNCTION("""COMPUTED_VALUE"""),"")</f>
        <v/>
      </c>
      <c r="AN217" s="2" t="str">
        <f ca="1">IFERROR(__xludf.DUMMYFUNCTION("""COMPUTED_VALUE"""),"")</f>
        <v/>
      </c>
      <c r="AO217" s="2" t="str">
        <f ca="1">IFERROR(__xludf.DUMMYFUNCTION("""COMPUTED_VALUE"""),"")</f>
        <v/>
      </c>
      <c r="AP217" s="2" t="str">
        <f ca="1">IFERROR(__xludf.DUMMYFUNCTION("""COMPUTED_VALUE"""),"")</f>
        <v/>
      </c>
      <c r="AQ217" s="2" t="str">
        <f ca="1">IFERROR(__xludf.DUMMYFUNCTION("""COMPUTED_VALUE"""),"")</f>
        <v/>
      </c>
      <c r="AR217" s="2" t="str">
        <f ca="1">IFERROR(__xludf.DUMMYFUNCTION("""COMPUTED_VALUE"""),"")</f>
        <v/>
      </c>
      <c r="AS217" s="2" t="str">
        <f ca="1">IFERROR(__xludf.DUMMYFUNCTION("""COMPUTED_VALUE"""),"")</f>
        <v/>
      </c>
      <c r="AT217" s="2" t="str">
        <f ca="1">IFERROR(__xludf.DUMMYFUNCTION("""COMPUTED_VALUE"""),"")</f>
        <v/>
      </c>
      <c r="AU217" s="2" t="str">
        <f ca="1">IFERROR(__xludf.DUMMYFUNCTION("""COMPUTED_VALUE"""),"")</f>
        <v/>
      </c>
      <c r="AV217" s="2" t="str">
        <f ca="1">IFERROR(__xludf.DUMMYFUNCTION("""COMPUTED_VALUE"""),"")</f>
        <v/>
      </c>
      <c r="AW217" s="2" t="str">
        <f ca="1">IFERROR(__xludf.DUMMYFUNCTION("""COMPUTED_VALUE"""),"")</f>
        <v/>
      </c>
      <c r="AX217" s="2" t="str">
        <f ca="1">IFERROR(__xludf.DUMMYFUNCTION("""COMPUTED_VALUE"""),"")</f>
        <v/>
      </c>
      <c r="AY217" s="2" t="str">
        <f ca="1">IFERROR(__xludf.DUMMYFUNCTION("""COMPUTED_VALUE"""),"")</f>
        <v/>
      </c>
      <c r="AZ217" s="2" t="str">
        <f ca="1">IFERROR(__xludf.DUMMYFUNCTION("""COMPUTED_VALUE"""),"")</f>
        <v/>
      </c>
      <c r="BA217" s="2" t="str">
        <f ca="1">IFERROR(__xludf.DUMMYFUNCTION("""COMPUTED_VALUE"""),"")</f>
        <v/>
      </c>
      <c r="BB217" s="2" t="str">
        <f ca="1">IFERROR(__xludf.DUMMYFUNCTION("""COMPUTED_VALUE"""),"")</f>
        <v/>
      </c>
      <c r="BC217" s="2" t="str">
        <f ca="1">IFERROR(__xludf.DUMMYFUNCTION("""COMPUTED_VALUE"""),"")</f>
        <v/>
      </c>
      <c r="BD217" s="2" t="str">
        <f ca="1">IFERROR(__xludf.DUMMYFUNCTION("""COMPUTED_VALUE"""),"")</f>
        <v/>
      </c>
      <c r="BE217" s="2" t="str">
        <f ca="1">IFERROR(__xludf.DUMMYFUNCTION("""COMPUTED_VALUE"""),"")</f>
        <v/>
      </c>
      <c r="BF217" t="str">
        <f ca="1">IFERROR(__xludf.DUMMYFUNCTION("""COMPUTED_VALUE"""),"")</f>
        <v/>
      </c>
      <c r="BG217" t="str">
        <f ca="1">IFERROR(__xludf.DUMMYFUNCTION("""COMPUTED_VALUE"""),"")</f>
        <v/>
      </c>
      <c r="BH217" s="2">
        <f ca="1">IFERROR(__xludf.DUMMYFUNCTION("""COMPUTED_VALUE"""),-37.3393288)</f>
        <v>-37.339328799999997</v>
      </c>
      <c r="BI217" s="12">
        <f ca="1">IFERROR(__xludf.DUMMYFUNCTION("""COMPUTED_VALUE"""),175.1656799)</f>
        <v>175.16567989999999</v>
      </c>
      <c r="BJ217" s="9">
        <f ca="1">IFERROR(__xludf.DUMMYFUNCTION("""COMPUTED_VALUE"""),43416)</f>
        <v>43416</v>
      </c>
      <c r="BK217" s="4">
        <f ca="1">IFERROR(__xludf.DUMMYFUNCTION("""COMPUTED_VALUE"""),0.457777777777664)</f>
        <v>0.45777777777766399</v>
      </c>
    </row>
    <row r="218" spans="1:63" ht="12.5" x14ac:dyDescent="0.25">
      <c r="A218" s="7" t="str">
        <f ca="1">IFERROR(__xludf.DUMMYFUNCTION("""COMPUTED_VALUE"""),"")</f>
        <v/>
      </c>
      <c r="B218" s="8" t="str">
        <f ca="1">IFERROR(__xludf.DUMMYFUNCTION("""COMPUTED_VALUE"""),"Waikato")</f>
        <v>Waikato</v>
      </c>
      <c r="C218" s="2">
        <f ca="1">IFERROR(__xludf.DUMMYFUNCTION("""COMPUTED_VALUE"""),23)</f>
        <v>23</v>
      </c>
      <c r="D218" s="9" t="str">
        <f ca="1">IFERROR(__xludf.DUMMYFUNCTION("""COMPUTED_VALUE"""),"")</f>
        <v/>
      </c>
      <c r="E218" s="4" t="str">
        <f ca="1">IFERROR(__xludf.DUMMYFUNCTION("""COMPUTED_VALUE"""),"")</f>
        <v/>
      </c>
      <c r="F218" s="2" t="str">
        <f ca="1">IFERROR(__xludf.DUMMYFUNCTION("""COMPUTED_VALUE"""),"")</f>
        <v/>
      </c>
      <c r="G218" s="2" t="str">
        <f ca="1">IFERROR(__xludf.DUMMYFUNCTION("""COMPUTED_VALUE"""),"GPS: I converted data downloaded from ARGOS using Pinpoint software")</f>
        <v>GPS: I converted data downloaded from ARGOS using Pinpoint software</v>
      </c>
      <c r="H218" s="2" t="str">
        <f ca="1">IFERROR(__xludf.DUMMYFUNCTION("""COMPUTED_VALUE"""),"3D")</f>
        <v>3D</v>
      </c>
      <c r="I218" s="2" t="str">
        <f ca="1">IFERROR(__xludf.DUMMYFUNCTION("""COMPUTED_VALUE"""),"")</f>
        <v/>
      </c>
      <c r="J218" s="2" t="str">
        <f ca="1">IFERROR(__xludf.DUMMYFUNCTION("""COMPUTED_VALUE"""),"")</f>
        <v/>
      </c>
      <c r="K218" s="2" t="str">
        <f ca="1">IFERROR(__xludf.DUMMYFUNCTION("""COMPUTED_VALUE"""),"")</f>
        <v/>
      </c>
      <c r="L218" s="2" t="str">
        <f ca="1">IFERROR(__xludf.DUMMYFUNCTION("""COMPUTED_VALUE"""),"")</f>
        <v/>
      </c>
      <c r="M218" s="5" t="str">
        <f ca="1">IFERROR(__xludf.DUMMYFUNCTION("""COMPUTED_VALUE"""),"")</f>
        <v/>
      </c>
      <c r="N218" s="5" t="str">
        <f ca="1">IFERROR(__xludf.DUMMYFUNCTION("""COMPUTED_VALUE"""),"")</f>
        <v/>
      </c>
      <c r="O218" s="2" t="str">
        <f ca="1">IFERROR(__xludf.DUMMYFUNCTION("""COMPUTED_VALUE"""),"")</f>
        <v/>
      </c>
      <c r="P218" s="2" t="str">
        <f ca="1">IFERROR(__xludf.DUMMYFUNCTION("""COMPUTED_VALUE"""),"")</f>
        <v/>
      </c>
      <c r="Q218" s="2" t="str">
        <f ca="1">IFERROR(__xludf.DUMMYFUNCTION("""COMPUTED_VALUE"""),"")</f>
        <v/>
      </c>
      <c r="R218" s="2" t="str">
        <f ca="1">IFERROR(__xludf.DUMMYFUNCTION("""COMPUTED_VALUE"""),"")</f>
        <v/>
      </c>
      <c r="S218" s="2" t="str">
        <f ca="1">IFERROR(__xludf.DUMMYFUNCTION("""COMPUTED_VALUE"""),"")</f>
        <v/>
      </c>
      <c r="T218" s="2" t="str">
        <f ca="1">IFERROR(__xludf.DUMMYFUNCTION("""COMPUTED_VALUE"""),"")</f>
        <v/>
      </c>
      <c r="U218" s="2" t="str">
        <f ca="1">IFERROR(__xludf.DUMMYFUNCTION("""COMPUTED_VALUE"""),"")</f>
        <v/>
      </c>
      <c r="V218" s="2" t="str">
        <f ca="1">IFERROR(__xludf.DUMMYFUNCTION("""COMPUTED_VALUE"""),"")</f>
        <v/>
      </c>
      <c r="W218" s="2" t="str">
        <f ca="1">IFERROR(__xludf.DUMMYFUNCTION("""COMPUTED_VALUE"""),"")</f>
        <v/>
      </c>
      <c r="X218" s="2" t="str">
        <f ca="1">IFERROR(__xludf.DUMMYFUNCTION("""COMPUTED_VALUE"""),"")</f>
        <v/>
      </c>
      <c r="Y218" s="2" t="str">
        <f ca="1">IFERROR(__xludf.DUMMYFUNCTION("""COMPUTED_VALUE"""),"")</f>
        <v/>
      </c>
      <c r="Z218" s="2" t="str">
        <f ca="1">IFERROR(__xludf.DUMMYFUNCTION("""COMPUTED_VALUE"""),"")</f>
        <v/>
      </c>
      <c r="AA218" s="2" t="str">
        <f ca="1">IFERROR(__xludf.DUMMYFUNCTION("""COMPUTED_VALUE"""),"")</f>
        <v/>
      </c>
      <c r="AB218" s="2" t="str">
        <f ca="1">IFERROR(__xludf.DUMMYFUNCTION("""COMPUTED_VALUE"""),"")</f>
        <v/>
      </c>
      <c r="AC218" s="2" t="str">
        <f ca="1">IFERROR(__xludf.DUMMYFUNCTION("""COMPUTED_VALUE"""),"")</f>
        <v/>
      </c>
      <c r="AD218" s="2" t="str">
        <f ca="1">IFERROR(__xludf.DUMMYFUNCTION("""COMPUTED_VALUE"""),"")</f>
        <v/>
      </c>
      <c r="AE218" s="2" t="str">
        <f ca="1">IFERROR(__xludf.DUMMYFUNCTION("""COMPUTED_VALUE"""),"")</f>
        <v/>
      </c>
      <c r="AF218" s="2" t="str">
        <f ca="1">IFERROR(__xludf.DUMMYFUNCTION("""COMPUTED_VALUE"""),"")</f>
        <v/>
      </c>
      <c r="AG218" s="2" t="str">
        <f ca="1">IFERROR(__xludf.DUMMYFUNCTION("""COMPUTED_VALUE"""),"")</f>
        <v/>
      </c>
      <c r="AH218" s="2" t="str">
        <f ca="1">IFERROR(__xludf.DUMMYFUNCTION("""COMPUTED_VALUE"""),"")</f>
        <v/>
      </c>
      <c r="AI218" s="2" t="str">
        <f ca="1">IFERROR(__xludf.DUMMYFUNCTION("""COMPUTED_VALUE"""),"")</f>
        <v/>
      </c>
      <c r="AJ218" s="2" t="str">
        <f ca="1">IFERROR(__xludf.DUMMYFUNCTION("""COMPUTED_VALUE"""),"")</f>
        <v/>
      </c>
      <c r="AK218" s="2" t="str">
        <f ca="1">IFERROR(__xludf.DUMMYFUNCTION("""COMPUTED_VALUE"""),"")</f>
        <v/>
      </c>
      <c r="AL218" s="2" t="str">
        <f ca="1">IFERROR(__xludf.DUMMYFUNCTION("""COMPUTED_VALUE"""),"")</f>
        <v/>
      </c>
      <c r="AM218" s="2" t="str">
        <f ca="1">IFERROR(__xludf.DUMMYFUNCTION("""COMPUTED_VALUE"""),"")</f>
        <v/>
      </c>
      <c r="AN218" s="2" t="str">
        <f ca="1">IFERROR(__xludf.DUMMYFUNCTION("""COMPUTED_VALUE"""),"")</f>
        <v/>
      </c>
      <c r="AO218" s="2" t="str">
        <f ca="1">IFERROR(__xludf.DUMMYFUNCTION("""COMPUTED_VALUE"""),"")</f>
        <v/>
      </c>
      <c r="AP218" s="2" t="str">
        <f ca="1">IFERROR(__xludf.DUMMYFUNCTION("""COMPUTED_VALUE"""),"")</f>
        <v/>
      </c>
      <c r="AQ218" s="2" t="str">
        <f ca="1">IFERROR(__xludf.DUMMYFUNCTION("""COMPUTED_VALUE"""),"")</f>
        <v/>
      </c>
      <c r="AR218" s="2" t="str">
        <f ca="1">IFERROR(__xludf.DUMMYFUNCTION("""COMPUTED_VALUE"""),"")</f>
        <v/>
      </c>
      <c r="AS218" s="2" t="str">
        <f ca="1">IFERROR(__xludf.DUMMYFUNCTION("""COMPUTED_VALUE"""),"")</f>
        <v/>
      </c>
      <c r="AT218" s="2" t="str">
        <f ca="1">IFERROR(__xludf.DUMMYFUNCTION("""COMPUTED_VALUE"""),"")</f>
        <v/>
      </c>
      <c r="AU218" s="2" t="str">
        <f ca="1">IFERROR(__xludf.DUMMYFUNCTION("""COMPUTED_VALUE"""),"")</f>
        <v/>
      </c>
      <c r="AV218" s="2" t="str">
        <f ca="1">IFERROR(__xludf.DUMMYFUNCTION("""COMPUTED_VALUE"""),"")</f>
        <v/>
      </c>
      <c r="AW218" s="2" t="str">
        <f ca="1">IFERROR(__xludf.DUMMYFUNCTION("""COMPUTED_VALUE"""),"")</f>
        <v/>
      </c>
      <c r="AX218" s="2" t="str">
        <f ca="1">IFERROR(__xludf.DUMMYFUNCTION("""COMPUTED_VALUE"""),"")</f>
        <v/>
      </c>
      <c r="AY218" s="2" t="str">
        <f ca="1">IFERROR(__xludf.DUMMYFUNCTION("""COMPUTED_VALUE"""),"")</f>
        <v/>
      </c>
      <c r="AZ218" s="2" t="str">
        <f ca="1">IFERROR(__xludf.DUMMYFUNCTION("""COMPUTED_VALUE"""),"")</f>
        <v/>
      </c>
      <c r="BA218" s="2" t="str">
        <f ca="1">IFERROR(__xludf.DUMMYFUNCTION("""COMPUTED_VALUE"""),"")</f>
        <v/>
      </c>
      <c r="BB218" s="2" t="str">
        <f ca="1">IFERROR(__xludf.DUMMYFUNCTION("""COMPUTED_VALUE"""),"")</f>
        <v/>
      </c>
      <c r="BC218" s="2" t="str">
        <f ca="1">IFERROR(__xludf.DUMMYFUNCTION("""COMPUTED_VALUE"""),"")</f>
        <v/>
      </c>
      <c r="BD218" s="2" t="str">
        <f ca="1">IFERROR(__xludf.DUMMYFUNCTION("""COMPUTED_VALUE"""),"")</f>
        <v/>
      </c>
      <c r="BE218" s="2" t="str">
        <f ca="1">IFERROR(__xludf.DUMMYFUNCTION("""COMPUTED_VALUE"""),"")</f>
        <v/>
      </c>
      <c r="BF218" t="str">
        <f ca="1">IFERROR(__xludf.DUMMYFUNCTION("""COMPUTED_VALUE"""),"")</f>
        <v/>
      </c>
      <c r="BG218" t="str">
        <f ca="1">IFERROR(__xludf.DUMMYFUNCTION("""COMPUTED_VALUE"""),"")</f>
        <v/>
      </c>
      <c r="BH218" s="2">
        <f ca="1">IFERROR(__xludf.DUMMYFUNCTION("""COMPUTED_VALUE"""),-37.3430405)</f>
        <v>-37.343040500000001</v>
      </c>
      <c r="BI218" s="13">
        <f ca="1">IFERROR(__xludf.DUMMYFUNCTION("""COMPUTED_VALUE"""),175.1659851)</f>
        <v>175.1659851</v>
      </c>
      <c r="BJ218" s="9">
        <f ca="1">IFERROR(__xludf.DUMMYFUNCTION("""COMPUTED_VALUE"""),43416)</f>
        <v>43416</v>
      </c>
      <c r="BK218" s="4">
        <f ca="1">IFERROR(__xludf.DUMMYFUNCTION("""COMPUTED_VALUE"""),0.958518518516939)</f>
        <v>0.95851851851693903</v>
      </c>
    </row>
    <row r="219" spans="1:63" ht="12.5" x14ac:dyDescent="0.25">
      <c r="A219" s="7" t="str">
        <f ca="1">IFERROR(__xludf.DUMMYFUNCTION("""COMPUTED_VALUE"""),"")</f>
        <v/>
      </c>
      <c r="B219" s="8" t="str">
        <f ca="1">IFERROR(__xludf.DUMMYFUNCTION("""COMPUTED_VALUE"""),"Waikato")</f>
        <v>Waikato</v>
      </c>
      <c r="C219" s="2">
        <f ca="1">IFERROR(__xludf.DUMMYFUNCTION("""COMPUTED_VALUE"""),23)</f>
        <v>23</v>
      </c>
      <c r="D219" s="9" t="str">
        <f ca="1">IFERROR(__xludf.DUMMYFUNCTION("""COMPUTED_VALUE"""),"")</f>
        <v/>
      </c>
      <c r="E219" s="4" t="str">
        <f ca="1">IFERROR(__xludf.DUMMYFUNCTION("""COMPUTED_VALUE"""),"")</f>
        <v/>
      </c>
      <c r="F219" s="2" t="str">
        <f ca="1">IFERROR(__xludf.DUMMYFUNCTION("""COMPUTED_VALUE"""),"")</f>
        <v/>
      </c>
      <c r="G219" s="2" t="str">
        <f ca="1">IFERROR(__xludf.DUMMYFUNCTION("""COMPUTED_VALUE"""),"GPS: I converted data downloaded from ARGOS using Pinpoint software")</f>
        <v>GPS: I converted data downloaded from ARGOS using Pinpoint software</v>
      </c>
      <c r="H219" s="2" t="str">
        <f ca="1">IFERROR(__xludf.DUMMYFUNCTION("""COMPUTED_VALUE"""),"3D")</f>
        <v>3D</v>
      </c>
      <c r="I219" s="2" t="str">
        <f ca="1">IFERROR(__xludf.DUMMYFUNCTION("""COMPUTED_VALUE"""),"")</f>
        <v/>
      </c>
      <c r="J219" s="2" t="str">
        <f ca="1">IFERROR(__xludf.DUMMYFUNCTION("""COMPUTED_VALUE"""),"")</f>
        <v/>
      </c>
      <c r="K219" s="2" t="str">
        <f ca="1">IFERROR(__xludf.DUMMYFUNCTION("""COMPUTED_VALUE"""),"")</f>
        <v/>
      </c>
      <c r="L219" s="2" t="str">
        <f ca="1">IFERROR(__xludf.DUMMYFUNCTION("""COMPUTED_VALUE"""),"")</f>
        <v/>
      </c>
      <c r="M219" s="5" t="str">
        <f ca="1">IFERROR(__xludf.DUMMYFUNCTION("""COMPUTED_VALUE"""),"")</f>
        <v/>
      </c>
      <c r="N219" s="5" t="str">
        <f ca="1">IFERROR(__xludf.DUMMYFUNCTION("""COMPUTED_VALUE"""),"")</f>
        <v/>
      </c>
      <c r="O219" s="2" t="str">
        <f ca="1">IFERROR(__xludf.DUMMYFUNCTION("""COMPUTED_VALUE"""),"")</f>
        <v/>
      </c>
      <c r="P219" s="2" t="str">
        <f ca="1">IFERROR(__xludf.DUMMYFUNCTION("""COMPUTED_VALUE"""),"")</f>
        <v/>
      </c>
      <c r="Q219" s="2" t="str">
        <f ca="1">IFERROR(__xludf.DUMMYFUNCTION("""COMPUTED_VALUE"""),"")</f>
        <v/>
      </c>
      <c r="R219" s="2" t="str">
        <f ca="1">IFERROR(__xludf.DUMMYFUNCTION("""COMPUTED_VALUE"""),"")</f>
        <v/>
      </c>
      <c r="S219" s="2" t="str">
        <f ca="1">IFERROR(__xludf.DUMMYFUNCTION("""COMPUTED_VALUE"""),"")</f>
        <v/>
      </c>
      <c r="T219" s="2" t="str">
        <f ca="1">IFERROR(__xludf.DUMMYFUNCTION("""COMPUTED_VALUE"""),"")</f>
        <v/>
      </c>
      <c r="U219" s="2" t="str">
        <f ca="1">IFERROR(__xludf.DUMMYFUNCTION("""COMPUTED_VALUE"""),"")</f>
        <v/>
      </c>
      <c r="V219" s="2" t="str">
        <f ca="1">IFERROR(__xludf.DUMMYFUNCTION("""COMPUTED_VALUE"""),"")</f>
        <v/>
      </c>
      <c r="W219" s="2" t="str">
        <f ca="1">IFERROR(__xludf.DUMMYFUNCTION("""COMPUTED_VALUE"""),"")</f>
        <v/>
      </c>
      <c r="X219" s="2" t="str">
        <f ca="1">IFERROR(__xludf.DUMMYFUNCTION("""COMPUTED_VALUE"""),"")</f>
        <v/>
      </c>
      <c r="Y219" s="2" t="str">
        <f ca="1">IFERROR(__xludf.DUMMYFUNCTION("""COMPUTED_VALUE"""),"")</f>
        <v/>
      </c>
      <c r="Z219" s="2" t="str">
        <f ca="1">IFERROR(__xludf.DUMMYFUNCTION("""COMPUTED_VALUE"""),"")</f>
        <v/>
      </c>
      <c r="AA219" s="2" t="str">
        <f ca="1">IFERROR(__xludf.DUMMYFUNCTION("""COMPUTED_VALUE"""),"")</f>
        <v/>
      </c>
      <c r="AB219" s="2" t="str">
        <f ca="1">IFERROR(__xludf.DUMMYFUNCTION("""COMPUTED_VALUE"""),"")</f>
        <v/>
      </c>
      <c r="AC219" s="2" t="str">
        <f ca="1">IFERROR(__xludf.DUMMYFUNCTION("""COMPUTED_VALUE"""),"")</f>
        <v/>
      </c>
      <c r="AD219" s="2" t="str">
        <f ca="1">IFERROR(__xludf.DUMMYFUNCTION("""COMPUTED_VALUE"""),"")</f>
        <v/>
      </c>
      <c r="AE219" s="2" t="str">
        <f ca="1">IFERROR(__xludf.DUMMYFUNCTION("""COMPUTED_VALUE"""),"")</f>
        <v/>
      </c>
      <c r="AF219" s="2" t="str">
        <f ca="1">IFERROR(__xludf.DUMMYFUNCTION("""COMPUTED_VALUE"""),"")</f>
        <v/>
      </c>
      <c r="AG219" s="2" t="str">
        <f ca="1">IFERROR(__xludf.DUMMYFUNCTION("""COMPUTED_VALUE"""),"")</f>
        <v/>
      </c>
      <c r="AH219" s="2" t="str">
        <f ca="1">IFERROR(__xludf.DUMMYFUNCTION("""COMPUTED_VALUE"""),"")</f>
        <v/>
      </c>
      <c r="AI219" s="2" t="str">
        <f ca="1">IFERROR(__xludf.DUMMYFUNCTION("""COMPUTED_VALUE"""),"")</f>
        <v/>
      </c>
      <c r="AJ219" s="2" t="str">
        <f ca="1">IFERROR(__xludf.DUMMYFUNCTION("""COMPUTED_VALUE"""),"")</f>
        <v/>
      </c>
      <c r="AK219" s="2" t="str">
        <f ca="1">IFERROR(__xludf.DUMMYFUNCTION("""COMPUTED_VALUE"""),"")</f>
        <v/>
      </c>
      <c r="AL219" s="2" t="str">
        <f ca="1">IFERROR(__xludf.DUMMYFUNCTION("""COMPUTED_VALUE"""),"")</f>
        <v/>
      </c>
      <c r="AM219" s="2" t="str">
        <f ca="1">IFERROR(__xludf.DUMMYFUNCTION("""COMPUTED_VALUE"""),"")</f>
        <v/>
      </c>
      <c r="AN219" s="2" t="str">
        <f ca="1">IFERROR(__xludf.DUMMYFUNCTION("""COMPUTED_VALUE"""),"")</f>
        <v/>
      </c>
      <c r="AO219" s="2" t="str">
        <f ca="1">IFERROR(__xludf.DUMMYFUNCTION("""COMPUTED_VALUE"""),"")</f>
        <v/>
      </c>
      <c r="AP219" s="2" t="str">
        <f ca="1">IFERROR(__xludf.DUMMYFUNCTION("""COMPUTED_VALUE"""),"")</f>
        <v/>
      </c>
      <c r="AQ219" s="2" t="str">
        <f ca="1">IFERROR(__xludf.DUMMYFUNCTION("""COMPUTED_VALUE"""),"")</f>
        <v/>
      </c>
      <c r="AR219" s="2" t="str">
        <f ca="1">IFERROR(__xludf.DUMMYFUNCTION("""COMPUTED_VALUE"""),"")</f>
        <v/>
      </c>
      <c r="AS219" s="2" t="str">
        <f ca="1">IFERROR(__xludf.DUMMYFUNCTION("""COMPUTED_VALUE"""),"")</f>
        <v/>
      </c>
      <c r="AT219" s="2" t="str">
        <f ca="1">IFERROR(__xludf.DUMMYFUNCTION("""COMPUTED_VALUE"""),"")</f>
        <v/>
      </c>
      <c r="AU219" s="2" t="str">
        <f ca="1">IFERROR(__xludf.DUMMYFUNCTION("""COMPUTED_VALUE"""),"")</f>
        <v/>
      </c>
      <c r="AV219" s="2" t="str">
        <f ca="1">IFERROR(__xludf.DUMMYFUNCTION("""COMPUTED_VALUE"""),"")</f>
        <v/>
      </c>
      <c r="AW219" s="2" t="str">
        <f ca="1">IFERROR(__xludf.DUMMYFUNCTION("""COMPUTED_VALUE"""),"")</f>
        <v/>
      </c>
      <c r="AX219" s="2" t="str">
        <f ca="1">IFERROR(__xludf.DUMMYFUNCTION("""COMPUTED_VALUE"""),"")</f>
        <v/>
      </c>
      <c r="AY219" s="2" t="str">
        <f ca="1">IFERROR(__xludf.DUMMYFUNCTION("""COMPUTED_VALUE"""),"")</f>
        <v/>
      </c>
      <c r="AZ219" s="2" t="str">
        <f ca="1">IFERROR(__xludf.DUMMYFUNCTION("""COMPUTED_VALUE"""),"")</f>
        <v/>
      </c>
      <c r="BA219" s="2" t="str">
        <f ca="1">IFERROR(__xludf.DUMMYFUNCTION("""COMPUTED_VALUE"""),"")</f>
        <v/>
      </c>
      <c r="BB219" s="2" t="str">
        <f ca="1">IFERROR(__xludf.DUMMYFUNCTION("""COMPUTED_VALUE"""),"")</f>
        <v/>
      </c>
      <c r="BC219" s="2" t="str">
        <f ca="1">IFERROR(__xludf.DUMMYFUNCTION("""COMPUTED_VALUE"""),"")</f>
        <v/>
      </c>
      <c r="BD219" s="2" t="str">
        <f ca="1">IFERROR(__xludf.DUMMYFUNCTION("""COMPUTED_VALUE"""),"")</f>
        <v/>
      </c>
      <c r="BE219" s="2" t="str">
        <f ca="1">IFERROR(__xludf.DUMMYFUNCTION("""COMPUTED_VALUE"""),"")</f>
        <v/>
      </c>
      <c r="BF219" t="str">
        <f ca="1">IFERROR(__xludf.DUMMYFUNCTION("""COMPUTED_VALUE"""),"")</f>
        <v/>
      </c>
      <c r="BG219" t="str">
        <f ca="1">IFERROR(__xludf.DUMMYFUNCTION("""COMPUTED_VALUE"""),"")</f>
        <v/>
      </c>
      <c r="BH219" s="2">
        <f ca="1">IFERROR(__xludf.DUMMYFUNCTION("""COMPUTED_VALUE"""),-37.3396873)</f>
        <v>-37.339687300000001</v>
      </c>
      <c r="BI219" s="12">
        <f ca="1">IFERROR(__xludf.DUMMYFUNCTION("""COMPUTED_VALUE"""),175.1658936)</f>
        <v>175.1658936</v>
      </c>
      <c r="BJ219" s="9">
        <f ca="1">IFERROR(__xludf.DUMMYFUNCTION("""COMPUTED_VALUE"""),43418)</f>
        <v>43418</v>
      </c>
      <c r="BK219" s="4">
        <f ca="1">IFERROR(__xludf.DUMMYFUNCTION("""COMPUTED_VALUE"""),0.457777777777664)</f>
        <v>0.45777777777766399</v>
      </c>
    </row>
    <row r="220" spans="1:63" ht="12.5" x14ac:dyDescent="0.25">
      <c r="A220" s="7" t="str">
        <f ca="1">IFERROR(__xludf.DUMMYFUNCTION("""COMPUTED_VALUE"""),"")</f>
        <v/>
      </c>
      <c r="B220" s="8" t="str">
        <f ca="1">IFERROR(__xludf.DUMMYFUNCTION("""COMPUTED_VALUE"""),"Waikato")</f>
        <v>Waikato</v>
      </c>
      <c r="C220" s="2">
        <f ca="1">IFERROR(__xludf.DUMMYFUNCTION("""COMPUTED_VALUE"""),23)</f>
        <v>23</v>
      </c>
      <c r="D220" s="9" t="str">
        <f ca="1">IFERROR(__xludf.DUMMYFUNCTION("""COMPUTED_VALUE"""),"")</f>
        <v/>
      </c>
      <c r="E220" s="4" t="str">
        <f ca="1">IFERROR(__xludf.DUMMYFUNCTION("""COMPUTED_VALUE"""),"")</f>
        <v/>
      </c>
      <c r="F220" s="2" t="str">
        <f ca="1">IFERROR(__xludf.DUMMYFUNCTION("""COMPUTED_VALUE"""),"")</f>
        <v/>
      </c>
      <c r="G220" s="2" t="str">
        <f ca="1">IFERROR(__xludf.DUMMYFUNCTION("""COMPUTED_VALUE"""),"GPS: I converted data downloaded from ARGOS using Pinpoint software")</f>
        <v>GPS: I converted data downloaded from ARGOS using Pinpoint software</v>
      </c>
      <c r="H220" s="2" t="str">
        <f ca="1">IFERROR(__xludf.DUMMYFUNCTION("""COMPUTED_VALUE"""),"3D")</f>
        <v>3D</v>
      </c>
      <c r="I220" s="2" t="str">
        <f ca="1">IFERROR(__xludf.DUMMYFUNCTION("""COMPUTED_VALUE"""),"")</f>
        <v/>
      </c>
      <c r="J220" s="2" t="str">
        <f ca="1">IFERROR(__xludf.DUMMYFUNCTION("""COMPUTED_VALUE"""),"")</f>
        <v/>
      </c>
      <c r="K220" s="2" t="str">
        <f ca="1">IFERROR(__xludf.DUMMYFUNCTION("""COMPUTED_VALUE"""),"")</f>
        <v/>
      </c>
      <c r="L220" s="2" t="str">
        <f ca="1">IFERROR(__xludf.DUMMYFUNCTION("""COMPUTED_VALUE"""),"")</f>
        <v/>
      </c>
      <c r="M220" s="5" t="str">
        <f ca="1">IFERROR(__xludf.DUMMYFUNCTION("""COMPUTED_VALUE"""),"")</f>
        <v/>
      </c>
      <c r="N220" s="5" t="str">
        <f ca="1">IFERROR(__xludf.DUMMYFUNCTION("""COMPUTED_VALUE"""),"")</f>
        <v/>
      </c>
      <c r="O220" s="2" t="str">
        <f ca="1">IFERROR(__xludf.DUMMYFUNCTION("""COMPUTED_VALUE"""),"")</f>
        <v/>
      </c>
      <c r="P220" s="2" t="str">
        <f ca="1">IFERROR(__xludf.DUMMYFUNCTION("""COMPUTED_VALUE"""),"")</f>
        <v/>
      </c>
      <c r="Q220" s="2" t="str">
        <f ca="1">IFERROR(__xludf.DUMMYFUNCTION("""COMPUTED_VALUE"""),"")</f>
        <v/>
      </c>
      <c r="R220" s="2" t="str">
        <f ca="1">IFERROR(__xludf.DUMMYFUNCTION("""COMPUTED_VALUE"""),"")</f>
        <v/>
      </c>
      <c r="S220" s="2" t="str">
        <f ca="1">IFERROR(__xludf.DUMMYFUNCTION("""COMPUTED_VALUE"""),"")</f>
        <v/>
      </c>
      <c r="T220" s="2" t="str">
        <f ca="1">IFERROR(__xludf.DUMMYFUNCTION("""COMPUTED_VALUE"""),"")</f>
        <v/>
      </c>
      <c r="U220" s="2" t="str">
        <f ca="1">IFERROR(__xludf.DUMMYFUNCTION("""COMPUTED_VALUE"""),"")</f>
        <v/>
      </c>
      <c r="V220" s="2" t="str">
        <f ca="1">IFERROR(__xludf.DUMMYFUNCTION("""COMPUTED_VALUE"""),"")</f>
        <v/>
      </c>
      <c r="W220" s="2" t="str">
        <f ca="1">IFERROR(__xludf.DUMMYFUNCTION("""COMPUTED_VALUE"""),"")</f>
        <v/>
      </c>
      <c r="X220" s="2" t="str">
        <f ca="1">IFERROR(__xludf.DUMMYFUNCTION("""COMPUTED_VALUE"""),"")</f>
        <v/>
      </c>
      <c r="Y220" s="2" t="str">
        <f ca="1">IFERROR(__xludf.DUMMYFUNCTION("""COMPUTED_VALUE"""),"")</f>
        <v/>
      </c>
      <c r="Z220" s="2" t="str">
        <f ca="1">IFERROR(__xludf.DUMMYFUNCTION("""COMPUTED_VALUE"""),"")</f>
        <v/>
      </c>
      <c r="AA220" s="2" t="str">
        <f ca="1">IFERROR(__xludf.DUMMYFUNCTION("""COMPUTED_VALUE"""),"")</f>
        <v/>
      </c>
      <c r="AB220" s="2" t="str">
        <f ca="1">IFERROR(__xludf.DUMMYFUNCTION("""COMPUTED_VALUE"""),"")</f>
        <v/>
      </c>
      <c r="AC220" s="2" t="str">
        <f ca="1">IFERROR(__xludf.DUMMYFUNCTION("""COMPUTED_VALUE"""),"")</f>
        <v/>
      </c>
      <c r="AD220" s="2" t="str">
        <f ca="1">IFERROR(__xludf.DUMMYFUNCTION("""COMPUTED_VALUE"""),"")</f>
        <v/>
      </c>
      <c r="AE220" s="2" t="str">
        <f ca="1">IFERROR(__xludf.DUMMYFUNCTION("""COMPUTED_VALUE"""),"")</f>
        <v/>
      </c>
      <c r="AF220" s="2" t="str">
        <f ca="1">IFERROR(__xludf.DUMMYFUNCTION("""COMPUTED_VALUE"""),"")</f>
        <v/>
      </c>
      <c r="AG220" s="2" t="str">
        <f ca="1">IFERROR(__xludf.DUMMYFUNCTION("""COMPUTED_VALUE"""),"")</f>
        <v/>
      </c>
      <c r="AH220" s="2" t="str">
        <f ca="1">IFERROR(__xludf.DUMMYFUNCTION("""COMPUTED_VALUE"""),"")</f>
        <v/>
      </c>
      <c r="AI220" s="2" t="str">
        <f ca="1">IFERROR(__xludf.DUMMYFUNCTION("""COMPUTED_VALUE"""),"")</f>
        <v/>
      </c>
      <c r="AJ220" s="2" t="str">
        <f ca="1">IFERROR(__xludf.DUMMYFUNCTION("""COMPUTED_VALUE"""),"")</f>
        <v/>
      </c>
      <c r="AK220" s="2" t="str">
        <f ca="1">IFERROR(__xludf.DUMMYFUNCTION("""COMPUTED_VALUE"""),"")</f>
        <v/>
      </c>
      <c r="AL220" s="2" t="str">
        <f ca="1">IFERROR(__xludf.DUMMYFUNCTION("""COMPUTED_VALUE"""),"")</f>
        <v/>
      </c>
      <c r="AM220" s="2" t="str">
        <f ca="1">IFERROR(__xludf.DUMMYFUNCTION("""COMPUTED_VALUE"""),"")</f>
        <v/>
      </c>
      <c r="AN220" s="2" t="str">
        <f ca="1">IFERROR(__xludf.DUMMYFUNCTION("""COMPUTED_VALUE"""),"")</f>
        <v/>
      </c>
      <c r="AO220" s="2" t="str">
        <f ca="1">IFERROR(__xludf.DUMMYFUNCTION("""COMPUTED_VALUE"""),"")</f>
        <v/>
      </c>
      <c r="AP220" s="2" t="str">
        <f ca="1">IFERROR(__xludf.DUMMYFUNCTION("""COMPUTED_VALUE"""),"")</f>
        <v/>
      </c>
      <c r="AQ220" s="2" t="str">
        <f ca="1">IFERROR(__xludf.DUMMYFUNCTION("""COMPUTED_VALUE"""),"")</f>
        <v/>
      </c>
      <c r="AR220" s="2" t="str">
        <f ca="1">IFERROR(__xludf.DUMMYFUNCTION("""COMPUTED_VALUE"""),"")</f>
        <v/>
      </c>
      <c r="AS220" s="2" t="str">
        <f ca="1">IFERROR(__xludf.DUMMYFUNCTION("""COMPUTED_VALUE"""),"")</f>
        <v/>
      </c>
      <c r="AT220" s="2" t="str">
        <f ca="1">IFERROR(__xludf.DUMMYFUNCTION("""COMPUTED_VALUE"""),"")</f>
        <v/>
      </c>
      <c r="AU220" s="2" t="str">
        <f ca="1">IFERROR(__xludf.DUMMYFUNCTION("""COMPUTED_VALUE"""),"")</f>
        <v/>
      </c>
      <c r="AV220" s="2" t="str">
        <f ca="1">IFERROR(__xludf.DUMMYFUNCTION("""COMPUTED_VALUE"""),"")</f>
        <v/>
      </c>
      <c r="AW220" s="2" t="str">
        <f ca="1">IFERROR(__xludf.DUMMYFUNCTION("""COMPUTED_VALUE"""),"")</f>
        <v/>
      </c>
      <c r="AX220" s="2" t="str">
        <f ca="1">IFERROR(__xludf.DUMMYFUNCTION("""COMPUTED_VALUE"""),"")</f>
        <v/>
      </c>
      <c r="AY220" s="2" t="str">
        <f ca="1">IFERROR(__xludf.DUMMYFUNCTION("""COMPUTED_VALUE"""),"")</f>
        <v/>
      </c>
      <c r="AZ220" s="2" t="str">
        <f ca="1">IFERROR(__xludf.DUMMYFUNCTION("""COMPUTED_VALUE"""),"")</f>
        <v/>
      </c>
      <c r="BA220" s="2" t="str">
        <f ca="1">IFERROR(__xludf.DUMMYFUNCTION("""COMPUTED_VALUE"""),"")</f>
        <v/>
      </c>
      <c r="BB220" s="2" t="str">
        <f ca="1">IFERROR(__xludf.DUMMYFUNCTION("""COMPUTED_VALUE"""),"")</f>
        <v/>
      </c>
      <c r="BC220" s="2" t="str">
        <f ca="1">IFERROR(__xludf.DUMMYFUNCTION("""COMPUTED_VALUE"""),"")</f>
        <v/>
      </c>
      <c r="BD220" s="2" t="str">
        <f ca="1">IFERROR(__xludf.DUMMYFUNCTION("""COMPUTED_VALUE"""),"")</f>
        <v/>
      </c>
      <c r="BE220" s="2" t="str">
        <f ca="1">IFERROR(__xludf.DUMMYFUNCTION("""COMPUTED_VALUE"""),"")</f>
        <v/>
      </c>
      <c r="BF220" t="str">
        <f ca="1">IFERROR(__xludf.DUMMYFUNCTION("""COMPUTED_VALUE"""),"")</f>
        <v/>
      </c>
      <c r="BG220" t="str">
        <f ca="1">IFERROR(__xludf.DUMMYFUNCTION("""COMPUTED_VALUE"""),"")</f>
        <v/>
      </c>
      <c r="BH220" s="2">
        <f ca="1">IFERROR(__xludf.DUMMYFUNCTION("""COMPUTED_VALUE"""),-37.3440399)</f>
        <v>-37.344039899999999</v>
      </c>
      <c r="BI220" s="13">
        <f ca="1">IFERROR(__xludf.DUMMYFUNCTION("""COMPUTED_VALUE"""),175.1742859)</f>
        <v>175.1742859</v>
      </c>
      <c r="BJ220" s="9">
        <f ca="1">IFERROR(__xludf.DUMMYFUNCTION("""COMPUTED_VALUE"""),43418)</f>
        <v>43418</v>
      </c>
      <c r="BK220" s="4">
        <f ca="1">IFERROR(__xludf.DUMMYFUNCTION("""COMPUTED_VALUE"""),0.958518518516939)</f>
        <v>0.95851851851693903</v>
      </c>
    </row>
    <row r="221" spans="1:63" ht="12.5" x14ac:dyDescent="0.25">
      <c r="A221" s="7" t="str">
        <f ca="1">IFERROR(__xludf.DUMMYFUNCTION("""COMPUTED_VALUE"""),"")</f>
        <v/>
      </c>
      <c r="B221" s="8" t="str">
        <f ca="1">IFERROR(__xludf.DUMMYFUNCTION("""COMPUTED_VALUE"""),"Waikato")</f>
        <v>Waikato</v>
      </c>
      <c r="C221" s="2">
        <f ca="1">IFERROR(__xludf.DUMMYFUNCTION("""COMPUTED_VALUE"""),23)</f>
        <v>23</v>
      </c>
      <c r="D221" s="9" t="str">
        <f ca="1">IFERROR(__xludf.DUMMYFUNCTION("""COMPUTED_VALUE"""),"")</f>
        <v/>
      </c>
      <c r="E221" s="4" t="str">
        <f ca="1">IFERROR(__xludf.DUMMYFUNCTION("""COMPUTED_VALUE"""),"")</f>
        <v/>
      </c>
      <c r="F221" s="2" t="str">
        <f ca="1">IFERROR(__xludf.DUMMYFUNCTION("""COMPUTED_VALUE"""),"")</f>
        <v/>
      </c>
      <c r="G221" s="2" t="str">
        <f ca="1">IFERROR(__xludf.DUMMYFUNCTION("""COMPUTED_VALUE"""),"GPS: I converted data downloaded from ARGOS using Pinpoint software")</f>
        <v>GPS: I converted data downloaded from ARGOS using Pinpoint software</v>
      </c>
      <c r="H221" s="2" t="str">
        <f ca="1">IFERROR(__xludf.DUMMYFUNCTION("""COMPUTED_VALUE"""),"3D")</f>
        <v>3D</v>
      </c>
      <c r="I221" s="2" t="str">
        <f ca="1">IFERROR(__xludf.DUMMYFUNCTION("""COMPUTED_VALUE"""),"")</f>
        <v/>
      </c>
      <c r="J221" s="2" t="str">
        <f ca="1">IFERROR(__xludf.DUMMYFUNCTION("""COMPUTED_VALUE"""),"")</f>
        <v/>
      </c>
      <c r="K221" s="2" t="str">
        <f ca="1">IFERROR(__xludf.DUMMYFUNCTION("""COMPUTED_VALUE"""),"")</f>
        <v/>
      </c>
      <c r="L221" s="2" t="str">
        <f ca="1">IFERROR(__xludf.DUMMYFUNCTION("""COMPUTED_VALUE"""),"")</f>
        <v/>
      </c>
      <c r="M221" s="5" t="str">
        <f ca="1">IFERROR(__xludf.DUMMYFUNCTION("""COMPUTED_VALUE"""),"")</f>
        <v/>
      </c>
      <c r="N221" s="5" t="str">
        <f ca="1">IFERROR(__xludf.DUMMYFUNCTION("""COMPUTED_VALUE"""),"")</f>
        <v/>
      </c>
      <c r="O221" s="2" t="str">
        <f ca="1">IFERROR(__xludf.DUMMYFUNCTION("""COMPUTED_VALUE"""),"")</f>
        <v/>
      </c>
      <c r="P221" s="2" t="str">
        <f ca="1">IFERROR(__xludf.DUMMYFUNCTION("""COMPUTED_VALUE"""),"")</f>
        <v/>
      </c>
      <c r="Q221" s="2" t="str">
        <f ca="1">IFERROR(__xludf.DUMMYFUNCTION("""COMPUTED_VALUE"""),"")</f>
        <v/>
      </c>
      <c r="R221" s="2" t="str">
        <f ca="1">IFERROR(__xludf.DUMMYFUNCTION("""COMPUTED_VALUE"""),"")</f>
        <v/>
      </c>
      <c r="S221" s="2" t="str">
        <f ca="1">IFERROR(__xludf.DUMMYFUNCTION("""COMPUTED_VALUE"""),"")</f>
        <v/>
      </c>
      <c r="T221" s="2" t="str">
        <f ca="1">IFERROR(__xludf.DUMMYFUNCTION("""COMPUTED_VALUE"""),"")</f>
        <v/>
      </c>
      <c r="U221" s="2" t="str">
        <f ca="1">IFERROR(__xludf.DUMMYFUNCTION("""COMPUTED_VALUE"""),"")</f>
        <v/>
      </c>
      <c r="V221" s="2" t="str">
        <f ca="1">IFERROR(__xludf.DUMMYFUNCTION("""COMPUTED_VALUE"""),"")</f>
        <v/>
      </c>
      <c r="W221" s="2" t="str">
        <f ca="1">IFERROR(__xludf.DUMMYFUNCTION("""COMPUTED_VALUE"""),"")</f>
        <v/>
      </c>
      <c r="X221" s="2" t="str">
        <f ca="1">IFERROR(__xludf.DUMMYFUNCTION("""COMPUTED_VALUE"""),"")</f>
        <v/>
      </c>
      <c r="Y221" s="2" t="str">
        <f ca="1">IFERROR(__xludf.DUMMYFUNCTION("""COMPUTED_VALUE"""),"")</f>
        <v/>
      </c>
      <c r="Z221" s="2" t="str">
        <f ca="1">IFERROR(__xludf.DUMMYFUNCTION("""COMPUTED_VALUE"""),"")</f>
        <v/>
      </c>
      <c r="AA221" s="2" t="str">
        <f ca="1">IFERROR(__xludf.DUMMYFUNCTION("""COMPUTED_VALUE"""),"")</f>
        <v/>
      </c>
      <c r="AB221" s="2" t="str">
        <f ca="1">IFERROR(__xludf.DUMMYFUNCTION("""COMPUTED_VALUE"""),"")</f>
        <v/>
      </c>
      <c r="AC221" s="2" t="str">
        <f ca="1">IFERROR(__xludf.DUMMYFUNCTION("""COMPUTED_VALUE"""),"")</f>
        <v/>
      </c>
      <c r="AD221" s="2" t="str">
        <f ca="1">IFERROR(__xludf.DUMMYFUNCTION("""COMPUTED_VALUE"""),"")</f>
        <v/>
      </c>
      <c r="AE221" s="2" t="str">
        <f ca="1">IFERROR(__xludf.DUMMYFUNCTION("""COMPUTED_VALUE"""),"")</f>
        <v/>
      </c>
      <c r="AF221" s="2" t="str">
        <f ca="1">IFERROR(__xludf.DUMMYFUNCTION("""COMPUTED_VALUE"""),"")</f>
        <v/>
      </c>
      <c r="AG221" s="2" t="str">
        <f ca="1">IFERROR(__xludf.DUMMYFUNCTION("""COMPUTED_VALUE"""),"")</f>
        <v/>
      </c>
      <c r="AH221" s="2" t="str">
        <f ca="1">IFERROR(__xludf.DUMMYFUNCTION("""COMPUTED_VALUE"""),"")</f>
        <v/>
      </c>
      <c r="AI221" s="2" t="str">
        <f ca="1">IFERROR(__xludf.DUMMYFUNCTION("""COMPUTED_VALUE"""),"")</f>
        <v/>
      </c>
      <c r="AJ221" s="2" t="str">
        <f ca="1">IFERROR(__xludf.DUMMYFUNCTION("""COMPUTED_VALUE"""),"")</f>
        <v/>
      </c>
      <c r="AK221" s="2" t="str">
        <f ca="1">IFERROR(__xludf.DUMMYFUNCTION("""COMPUTED_VALUE"""),"")</f>
        <v/>
      </c>
      <c r="AL221" s="2" t="str">
        <f ca="1">IFERROR(__xludf.DUMMYFUNCTION("""COMPUTED_VALUE"""),"")</f>
        <v/>
      </c>
      <c r="AM221" s="2" t="str">
        <f ca="1">IFERROR(__xludf.DUMMYFUNCTION("""COMPUTED_VALUE"""),"")</f>
        <v/>
      </c>
      <c r="AN221" s="2" t="str">
        <f ca="1">IFERROR(__xludf.DUMMYFUNCTION("""COMPUTED_VALUE"""),"")</f>
        <v/>
      </c>
      <c r="AO221" s="2" t="str">
        <f ca="1">IFERROR(__xludf.DUMMYFUNCTION("""COMPUTED_VALUE"""),"")</f>
        <v/>
      </c>
      <c r="AP221" s="2" t="str">
        <f ca="1">IFERROR(__xludf.DUMMYFUNCTION("""COMPUTED_VALUE"""),"")</f>
        <v/>
      </c>
      <c r="AQ221" s="2" t="str">
        <f ca="1">IFERROR(__xludf.DUMMYFUNCTION("""COMPUTED_VALUE"""),"")</f>
        <v/>
      </c>
      <c r="AR221" s="2" t="str">
        <f ca="1">IFERROR(__xludf.DUMMYFUNCTION("""COMPUTED_VALUE"""),"")</f>
        <v/>
      </c>
      <c r="AS221" s="2" t="str">
        <f ca="1">IFERROR(__xludf.DUMMYFUNCTION("""COMPUTED_VALUE"""),"")</f>
        <v/>
      </c>
      <c r="AT221" s="2" t="str">
        <f ca="1">IFERROR(__xludf.DUMMYFUNCTION("""COMPUTED_VALUE"""),"")</f>
        <v/>
      </c>
      <c r="AU221" s="2" t="str">
        <f ca="1">IFERROR(__xludf.DUMMYFUNCTION("""COMPUTED_VALUE"""),"")</f>
        <v/>
      </c>
      <c r="AV221" s="2" t="str">
        <f ca="1">IFERROR(__xludf.DUMMYFUNCTION("""COMPUTED_VALUE"""),"")</f>
        <v/>
      </c>
      <c r="AW221" s="2" t="str">
        <f ca="1">IFERROR(__xludf.DUMMYFUNCTION("""COMPUTED_VALUE"""),"")</f>
        <v/>
      </c>
      <c r="AX221" s="2" t="str">
        <f ca="1">IFERROR(__xludf.DUMMYFUNCTION("""COMPUTED_VALUE"""),"")</f>
        <v/>
      </c>
      <c r="AY221" s="2" t="str">
        <f ca="1">IFERROR(__xludf.DUMMYFUNCTION("""COMPUTED_VALUE"""),"")</f>
        <v/>
      </c>
      <c r="AZ221" s="2" t="str">
        <f ca="1">IFERROR(__xludf.DUMMYFUNCTION("""COMPUTED_VALUE"""),"")</f>
        <v/>
      </c>
      <c r="BA221" s="2" t="str">
        <f ca="1">IFERROR(__xludf.DUMMYFUNCTION("""COMPUTED_VALUE"""),"")</f>
        <v/>
      </c>
      <c r="BB221" s="2" t="str">
        <f ca="1">IFERROR(__xludf.DUMMYFUNCTION("""COMPUTED_VALUE"""),"")</f>
        <v/>
      </c>
      <c r="BC221" s="2" t="str">
        <f ca="1">IFERROR(__xludf.DUMMYFUNCTION("""COMPUTED_VALUE"""),"")</f>
        <v/>
      </c>
      <c r="BD221" s="2" t="str">
        <f ca="1">IFERROR(__xludf.DUMMYFUNCTION("""COMPUTED_VALUE"""),"")</f>
        <v/>
      </c>
      <c r="BE221" s="2" t="str">
        <f ca="1">IFERROR(__xludf.DUMMYFUNCTION("""COMPUTED_VALUE"""),"")</f>
        <v/>
      </c>
      <c r="BF221" t="str">
        <f ca="1">IFERROR(__xludf.DUMMYFUNCTION("""COMPUTED_VALUE"""),"")</f>
        <v/>
      </c>
      <c r="BG221" t="str">
        <f ca="1">IFERROR(__xludf.DUMMYFUNCTION("""COMPUTED_VALUE"""),"")</f>
        <v/>
      </c>
      <c r="BH221" s="2">
        <f ca="1">IFERROR(__xludf.DUMMYFUNCTION("""COMPUTED_VALUE"""),-37.3388672)</f>
        <v>-37.338867200000003</v>
      </c>
      <c r="BI221" s="12">
        <f ca="1">IFERROR(__xludf.DUMMYFUNCTION("""COMPUTED_VALUE"""),175.1658173)</f>
        <v>175.16581729999999</v>
      </c>
      <c r="BJ221" s="9">
        <f ca="1">IFERROR(__xludf.DUMMYFUNCTION("""COMPUTED_VALUE"""),43420)</f>
        <v>43420</v>
      </c>
      <c r="BK221" s="4">
        <f ca="1">IFERROR(__xludf.DUMMYFUNCTION("""COMPUTED_VALUE"""),0.457777777777664)</f>
        <v>0.45777777777766399</v>
      </c>
    </row>
    <row r="222" spans="1:63" ht="12.5" x14ac:dyDescent="0.25">
      <c r="A222" s="7" t="str">
        <f ca="1">IFERROR(__xludf.DUMMYFUNCTION("""COMPUTED_VALUE"""),"")</f>
        <v/>
      </c>
      <c r="B222" s="8" t="str">
        <f ca="1">IFERROR(__xludf.DUMMYFUNCTION("""COMPUTED_VALUE"""),"Waikato")</f>
        <v>Waikato</v>
      </c>
      <c r="C222" s="2">
        <f ca="1">IFERROR(__xludf.DUMMYFUNCTION("""COMPUTED_VALUE"""),23)</f>
        <v>23</v>
      </c>
      <c r="D222" s="9" t="str">
        <f ca="1">IFERROR(__xludf.DUMMYFUNCTION("""COMPUTED_VALUE"""),"")</f>
        <v/>
      </c>
      <c r="E222" s="4" t="str">
        <f ca="1">IFERROR(__xludf.DUMMYFUNCTION("""COMPUTED_VALUE"""),"")</f>
        <v/>
      </c>
      <c r="F222" s="2" t="str">
        <f ca="1">IFERROR(__xludf.DUMMYFUNCTION("""COMPUTED_VALUE"""),"")</f>
        <v/>
      </c>
      <c r="G222" s="2" t="str">
        <f ca="1">IFERROR(__xludf.DUMMYFUNCTION("""COMPUTED_VALUE"""),"GPS: I converted data downloaded from ARGOS using Pinpoint software")</f>
        <v>GPS: I converted data downloaded from ARGOS using Pinpoint software</v>
      </c>
      <c r="H222" s="2" t="str">
        <f ca="1">IFERROR(__xludf.DUMMYFUNCTION("""COMPUTED_VALUE"""),"2D")</f>
        <v>2D</v>
      </c>
      <c r="I222" s="2" t="str">
        <f ca="1">IFERROR(__xludf.DUMMYFUNCTION("""COMPUTED_VALUE"""),"")</f>
        <v/>
      </c>
      <c r="J222" s="2" t="str">
        <f ca="1">IFERROR(__xludf.DUMMYFUNCTION("""COMPUTED_VALUE"""),"")</f>
        <v/>
      </c>
      <c r="K222" s="2" t="str">
        <f ca="1">IFERROR(__xludf.DUMMYFUNCTION("""COMPUTED_VALUE"""),"")</f>
        <v/>
      </c>
      <c r="L222" s="2" t="str">
        <f ca="1">IFERROR(__xludf.DUMMYFUNCTION("""COMPUTED_VALUE"""),"")</f>
        <v/>
      </c>
      <c r="M222" s="5" t="str">
        <f ca="1">IFERROR(__xludf.DUMMYFUNCTION("""COMPUTED_VALUE"""),"")</f>
        <v/>
      </c>
      <c r="N222" s="5" t="str">
        <f ca="1">IFERROR(__xludf.DUMMYFUNCTION("""COMPUTED_VALUE"""),"")</f>
        <v/>
      </c>
      <c r="O222" s="2" t="str">
        <f ca="1">IFERROR(__xludf.DUMMYFUNCTION("""COMPUTED_VALUE"""),"")</f>
        <v/>
      </c>
      <c r="P222" s="2" t="str">
        <f ca="1">IFERROR(__xludf.DUMMYFUNCTION("""COMPUTED_VALUE"""),"")</f>
        <v/>
      </c>
      <c r="Q222" s="2" t="str">
        <f ca="1">IFERROR(__xludf.DUMMYFUNCTION("""COMPUTED_VALUE"""),"")</f>
        <v/>
      </c>
      <c r="R222" s="2" t="str">
        <f ca="1">IFERROR(__xludf.DUMMYFUNCTION("""COMPUTED_VALUE"""),"")</f>
        <v/>
      </c>
      <c r="S222" s="2" t="str">
        <f ca="1">IFERROR(__xludf.DUMMYFUNCTION("""COMPUTED_VALUE"""),"")</f>
        <v/>
      </c>
      <c r="T222" s="2" t="str">
        <f ca="1">IFERROR(__xludf.DUMMYFUNCTION("""COMPUTED_VALUE"""),"")</f>
        <v/>
      </c>
      <c r="U222" s="2" t="str">
        <f ca="1">IFERROR(__xludf.DUMMYFUNCTION("""COMPUTED_VALUE"""),"")</f>
        <v/>
      </c>
      <c r="V222" s="2" t="str">
        <f ca="1">IFERROR(__xludf.DUMMYFUNCTION("""COMPUTED_VALUE"""),"")</f>
        <v/>
      </c>
      <c r="W222" s="2" t="str">
        <f ca="1">IFERROR(__xludf.DUMMYFUNCTION("""COMPUTED_VALUE"""),"")</f>
        <v/>
      </c>
      <c r="X222" s="2" t="str">
        <f ca="1">IFERROR(__xludf.DUMMYFUNCTION("""COMPUTED_VALUE"""),"")</f>
        <v/>
      </c>
      <c r="Y222" s="2" t="str">
        <f ca="1">IFERROR(__xludf.DUMMYFUNCTION("""COMPUTED_VALUE"""),"")</f>
        <v/>
      </c>
      <c r="Z222" s="2" t="str">
        <f ca="1">IFERROR(__xludf.DUMMYFUNCTION("""COMPUTED_VALUE"""),"")</f>
        <v/>
      </c>
      <c r="AA222" s="2" t="str">
        <f ca="1">IFERROR(__xludf.DUMMYFUNCTION("""COMPUTED_VALUE"""),"")</f>
        <v/>
      </c>
      <c r="AB222" s="2" t="str">
        <f ca="1">IFERROR(__xludf.DUMMYFUNCTION("""COMPUTED_VALUE"""),"")</f>
        <v/>
      </c>
      <c r="AC222" s="2" t="str">
        <f ca="1">IFERROR(__xludf.DUMMYFUNCTION("""COMPUTED_VALUE"""),"")</f>
        <v/>
      </c>
      <c r="AD222" s="2" t="str">
        <f ca="1">IFERROR(__xludf.DUMMYFUNCTION("""COMPUTED_VALUE"""),"")</f>
        <v/>
      </c>
      <c r="AE222" s="2" t="str">
        <f ca="1">IFERROR(__xludf.DUMMYFUNCTION("""COMPUTED_VALUE"""),"")</f>
        <v/>
      </c>
      <c r="AF222" s="2" t="str">
        <f ca="1">IFERROR(__xludf.DUMMYFUNCTION("""COMPUTED_VALUE"""),"")</f>
        <v/>
      </c>
      <c r="AG222" s="2" t="str">
        <f ca="1">IFERROR(__xludf.DUMMYFUNCTION("""COMPUTED_VALUE"""),"")</f>
        <v/>
      </c>
      <c r="AH222" s="2" t="str">
        <f ca="1">IFERROR(__xludf.DUMMYFUNCTION("""COMPUTED_VALUE"""),"")</f>
        <v/>
      </c>
      <c r="AI222" s="2" t="str">
        <f ca="1">IFERROR(__xludf.DUMMYFUNCTION("""COMPUTED_VALUE"""),"")</f>
        <v/>
      </c>
      <c r="AJ222" s="2" t="str">
        <f ca="1">IFERROR(__xludf.DUMMYFUNCTION("""COMPUTED_VALUE"""),"")</f>
        <v/>
      </c>
      <c r="AK222" s="2" t="str">
        <f ca="1">IFERROR(__xludf.DUMMYFUNCTION("""COMPUTED_VALUE"""),"")</f>
        <v/>
      </c>
      <c r="AL222" s="2" t="str">
        <f ca="1">IFERROR(__xludf.DUMMYFUNCTION("""COMPUTED_VALUE"""),"")</f>
        <v/>
      </c>
      <c r="AM222" s="2" t="str">
        <f ca="1">IFERROR(__xludf.DUMMYFUNCTION("""COMPUTED_VALUE"""),"")</f>
        <v/>
      </c>
      <c r="AN222" s="2" t="str">
        <f ca="1">IFERROR(__xludf.DUMMYFUNCTION("""COMPUTED_VALUE"""),"")</f>
        <v/>
      </c>
      <c r="AO222" s="2" t="str">
        <f ca="1">IFERROR(__xludf.DUMMYFUNCTION("""COMPUTED_VALUE"""),"")</f>
        <v/>
      </c>
      <c r="AP222" s="2" t="str">
        <f ca="1">IFERROR(__xludf.DUMMYFUNCTION("""COMPUTED_VALUE"""),"")</f>
        <v/>
      </c>
      <c r="AQ222" s="2" t="str">
        <f ca="1">IFERROR(__xludf.DUMMYFUNCTION("""COMPUTED_VALUE"""),"")</f>
        <v/>
      </c>
      <c r="AR222" s="2" t="str">
        <f ca="1">IFERROR(__xludf.DUMMYFUNCTION("""COMPUTED_VALUE"""),"")</f>
        <v/>
      </c>
      <c r="AS222" s="2" t="str">
        <f ca="1">IFERROR(__xludf.DUMMYFUNCTION("""COMPUTED_VALUE"""),"")</f>
        <v/>
      </c>
      <c r="AT222" s="2" t="str">
        <f ca="1">IFERROR(__xludf.DUMMYFUNCTION("""COMPUTED_VALUE"""),"")</f>
        <v/>
      </c>
      <c r="AU222" s="2" t="str">
        <f ca="1">IFERROR(__xludf.DUMMYFUNCTION("""COMPUTED_VALUE"""),"")</f>
        <v/>
      </c>
      <c r="AV222" s="2" t="str">
        <f ca="1">IFERROR(__xludf.DUMMYFUNCTION("""COMPUTED_VALUE"""),"")</f>
        <v/>
      </c>
      <c r="AW222" s="2" t="str">
        <f ca="1">IFERROR(__xludf.DUMMYFUNCTION("""COMPUTED_VALUE"""),"")</f>
        <v/>
      </c>
      <c r="AX222" s="2" t="str">
        <f ca="1">IFERROR(__xludf.DUMMYFUNCTION("""COMPUTED_VALUE"""),"")</f>
        <v/>
      </c>
      <c r="AY222" s="2" t="str">
        <f ca="1">IFERROR(__xludf.DUMMYFUNCTION("""COMPUTED_VALUE"""),"")</f>
        <v/>
      </c>
      <c r="AZ222" s="2" t="str">
        <f ca="1">IFERROR(__xludf.DUMMYFUNCTION("""COMPUTED_VALUE"""),"")</f>
        <v/>
      </c>
      <c r="BA222" s="2" t="str">
        <f ca="1">IFERROR(__xludf.DUMMYFUNCTION("""COMPUTED_VALUE"""),"")</f>
        <v/>
      </c>
      <c r="BB222" s="2" t="str">
        <f ca="1">IFERROR(__xludf.DUMMYFUNCTION("""COMPUTED_VALUE"""),"")</f>
        <v/>
      </c>
      <c r="BC222" s="2" t="str">
        <f ca="1">IFERROR(__xludf.DUMMYFUNCTION("""COMPUTED_VALUE"""),"")</f>
        <v/>
      </c>
      <c r="BD222" s="2" t="str">
        <f ca="1">IFERROR(__xludf.DUMMYFUNCTION("""COMPUTED_VALUE"""),"")</f>
        <v/>
      </c>
      <c r="BE222" s="2" t="str">
        <f ca="1">IFERROR(__xludf.DUMMYFUNCTION("""COMPUTED_VALUE"""),"")</f>
        <v/>
      </c>
      <c r="BF222" t="str">
        <f ca="1">IFERROR(__xludf.DUMMYFUNCTION("""COMPUTED_VALUE"""),"")</f>
        <v/>
      </c>
      <c r="BG222" t="str">
        <f ca="1">IFERROR(__xludf.DUMMYFUNCTION("""COMPUTED_VALUE"""),"")</f>
        <v/>
      </c>
      <c r="BH222" s="2">
        <f ca="1">IFERROR(__xludf.DUMMYFUNCTION("""COMPUTED_VALUE"""),-37.3363571)</f>
        <v>-37.336357100000001</v>
      </c>
      <c r="BI222" s="13">
        <f ca="1">IFERROR(__xludf.DUMMYFUNCTION("""COMPUTED_VALUE"""),175.166626)</f>
        <v>175.16662600000001</v>
      </c>
      <c r="BJ222" s="9">
        <f ca="1">IFERROR(__xludf.DUMMYFUNCTION("""COMPUTED_VALUE"""),43420)</f>
        <v>43420</v>
      </c>
      <c r="BK222" s="4">
        <f ca="1">IFERROR(__xludf.DUMMYFUNCTION("""COMPUTED_VALUE"""),0.875555555554456)</f>
        <v>0.87555555555445597</v>
      </c>
    </row>
    <row r="223" spans="1:63" ht="12.5" x14ac:dyDescent="0.25">
      <c r="A223" s="7" t="str">
        <f ca="1">IFERROR(__xludf.DUMMYFUNCTION("""COMPUTED_VALUE"""),"")</f>
        <v/>
      </c>
      <c r="B223" s="8" t="str">
        <f ca="1">IFERROR(__xludf.DUMMYFUNCTION("""COMPUTED_VALUE"""),"Waikato")</f>
        <v>Waikato</v>
      </c>
      <c r="C223" s="2">
        <f ca="1">IFERROR(__xludf.DUMMYFUNCTION("""COMPUTED_VALUE"""),23)</f>
        <v>23</v>
      </c>
      <c r="D223" s="9" t="str">
        <f ca="1">IFERROR(__xludf.DUMMYFUNCTION("""COMPUTED_VALUE"""),"")</f>
        <v/>
      </c>
      <c r="E223" s="4" t="str">
        <f ca="1">IFERROR(__xludf.DUMMYFUNCTION("""COMPUTED_VALUE"""),"")</f>
        <v/>
      </c>
      <c r="F223" s="2" t="str">
        <f ca="1">IFERROR(__xludf.DUMMYFUNCTION("""COMPUTED_VALUE"""),"")</f>
        <v/>
      </c>
      <c r="G223" s="2" t="str">
        <f ca="1">IFERROR(__xludf.DUMMYFUNCTION("""COMPUTED_VALUE"""),"GPS: I converted data downloaded from ARGOS using Pinpoint software")</f>
        <v>GPS: I converted data downloaded from ARGOS using Pinpoint software</v>
      </c>
      <c r="H223" s="2" t="str">
        <f ca="1">IFERROR(__xludf.DUMMYFUNCTION("""COMPUTED_VALUE"""),"3D")</f>
        <v>3D</v>
      </c>
      <c r="I223" s="2" t="str">
        <f ca="1">IFERROR(__xludf.DUMMYFUNCTION("""COMPUTED_VALUE"""),"")</f>
        <v/>
      </c>
      <c r="J223" s="2" t="str">
        <f ca="1">IFERROR(__xludf.DUMMYFUNCTION("""COMPUTED_VALUE"""),"")</f>
        <v/>
      </c>
      <c r="K223" s="2" t="str">
        <f ca="1">IFERROR(__xludf.DUMMYFUNCTION("""COMPUTED_VALUE"""),"")</f>
        <v/>
      </c>
      <c r="L223" s="2" t="str">
        <f ca="1">IFERROR(__xludf.DUMMYFUNCTION("""COMPUTED_VALUE"""),"")</f>
        <v/>
      </c>
      <c r="M223" s="5" t="str">
        <f ca="1">IFERROR(__xludf.DUMMYFUNCTION("""COMPUTED_VALUE"""),"")</f>
        <v/>
      </c>
      <c r="N223" s="5" t="str">
        <f ca="1">IFERROR(__xludf.DUMMYFUNCTION("""COMPUTED_VALUE"""),"")</f>
        <v/>
      </c>
      <c r="O223" s="2" t="str">
        <f ca="1">IFERROR(__xludf.DUMMYFUNCTION("""COMPUTED_VALUE"""),"")</f>
        <v/>
      </c>
      <c r="P223" s="2" t="str">
        <f ca="1">IFERROR(__xludf.DUMMYFUNCTION("""COMPUTED_VALUE"""),"")</f>
        <v/>
      </c>
      <c r="Q223" s="2" t="str">
        <f ca="1">IFERROR(__xludf.DUMMYFUNCTION("""COMPUTED_VALUE"""),"")</f>
        <v/>
      </c>
      <c r="R223" s="2" t="str">
        <f ca="1">IFERROR(__xludf.DUMMYFUNCTION("""COMPUTED_VALUE"""),"")</f>
        <v/>
      </c>
      <c r="S223" s="2" t="str">
        <f ca="1">IFERROR(__xludf.DUMMYFUNCTION("""COMPUTED_VALUE"""),"")</f>
        <v/>
      </c>
      <c r="T223" s="2" t="str">
        <f ca="1">IFERROR(__xludf.DUMMYFUNCTION("""COMPUTED_VALUE"""),"")</f>
        <v/>
      </c>
      <c r="U223" s="2" t="str">
        <f ca="1">IFERROR(__xludf.DUMMYFUNCTION("""COMPUTED_VALUE"""),"")</f>
        <v/>
      </c>
      <c r="V223" s="2" t="str">
        <f ca="1">IFERROR(__xludf.DUMMYFUNCTION("""COMPUTED_VALUE"""),"")</f>
        <v/>
      </c>
      <c r="W223" s="2" t="str">
        <f ca="1">IFERROR(__xludf.DUMMYFUNCTION("""COMPUTED_VALUE"""),"")</f>
        <v/>
      </c>
      <c r="X223" s="2" t="str">
        <f ca="1">IFERROR(__xludf.DUMMYFUNCTION("""COMPUTED_VALUE"""),"")</f>
        <v/>
      </c>
      <c r="Y223" s="2" t="str">
        <f ca="1">IFERROR(__xludf.DUMMYFUNCTION("""COMPUTED_VALUE"""),"")</f>
        <v/>
      </c>
      <c r="Z223" s="2" t="str">
        <f ca="1">IFERROR(__xludf.DUMMYFUNCTION("""COMPUTED_VALUE"""),"")</f>
        <v/>
      </c>
      <c r="AA223" s="2" t="str">
        <f ca="1">IFERROR(__xludf.DUMMYFUNCTION("""COMPUTED_VALUE"""),"")</f>
        <v/>
      </c>
      <c r="AB223" s="2" t="str">
        <f ca="1">IFERROR(__xludf.DUMMYFUNCTION("""COMPUTED_VALUE"""),"")</f>
        <v/>
      </c>
      <c r="AC223" s="2" t="str">
        <f ca="1">IFERROR(__xludf.DUMMYFUNCTION("""COMPUTED_VALUE"""),"")</f>
        <v/>
      </c>
      <c r="AD223" s="2" t="str">
        <f ca="1">IFERROR(__xludf.DUMMYFUNCTION("""COMPUTED_VALUE"""),"")</f>
        <v/>
      </c>
      <c r="AE223" s="2" t="str">
        <f ca="1">IFERROR(__xludf.DUMMYFUNCTION("""COMPUTED_VALUE"""),"")</f>
        <v/>
      </c>
      <c r="AF223" s="2" t="str">
        <f ca="1">IFERROR(__xludf.DUMMYFUNCTION("""COMPUTED_VALUE"""),"")</f>
        <v/>
      </c>
      <c r="AG223" s="2" t="str">
        <f ca="1">IFERROR(__xludf.DUMMYFUNCTION("""COMPUTED_VALUE"""),"")</f>
        <v/>
      </c>
      <c r="AH223" s="2" t="str">
        <f ca="1">IFERROR(__xludf.DUMMYFUNCTION("""COMPUTED_VALUE"""),"")</f>
        <v/>
      </c>
      <c r="AI223" s="2" t="str">
        <f ca="1">IFERROR(__xludf.DUMMYFUNCTION("""COMPUTED_VALUE"""),"")</f>
        <v/>
      </c>
      <c r="AJ223" s="2" t="str">
        <f ca="1">IFERROR(__xludf.DUMMYFUNCTION("""COMPUTED_VALUE"""),"")</f>
        <v/>
      </c>
      <c r="AK223" s="2" t="str">
        <f ca="1">IFERROR(__xludf.DUMMYFUNCTION("""COMPUTED_VALUE"""),"")</f>
        <v/>
      </c>
      <c r="AL223" s="2" t="str">
        <f ca="1">IFERROR(__xludf.DUMMYFUNCTION("""COMPUTED_VALUE"""),"")</f>
        <v/>
      </c>
      <c r="AM223" s="2" t="str">
        <f ca="1">IFERROR(__xludf.DUMMYFUNCTION("""COMPUTED_VALUE"""),"")</f>
        <v/>
      </c>
      <c r="AN223" s="2" t="str">
        <f ca="1">IFERROR(__xludf.DUMMYFUNCTION("""COMPUTED_VALUE"""),"")</f>
        <v/>
      </c>
      <c r="AO223" s="2" t="str">
        <f ca="1">IFERROR(__xludf.DUMMYFUNCTION("""COMPUTED_VALUE"""),"")</f>
        <v/>
      </c>
      <c r="AP223" s="2" t="str">
        <f ca="1">IFERROR(__xludf.DUMMYFUNCTION("""COMPUTED_VALUE"""),"")</f>
        <v/>
      </c>
      <c r="AQ223" s="2" t="str">
        <f ca="1">IFERROR(__xludf.DUMMYFUNCTION("""COMPUTED_VALUE"""),"")</f>
        <v/>
      </c>
      <c r="AR223" s="2" t="str">
        <f ca="1">IFERROR(__xludf.DUMMYFUNCTION("""COMPUTED_VALUE"""),"")</f>
        <v/>
      </c>
      <c r="AS223" s="2" t="str">
        <f ca="1">IFERROR(__xludf.DUMMYFUNCTION("""COMPUTED_VALUE"""),"")</f>
        <v/>
      </c>
      <c r="AT223" s="2" t="str">
        <f ca="1">IFERROR(__xludf.DUMMYFUNCTION("""COMPUTED_VALUE"""),"")</f>
        <v/>
      </c>
      <c r="AU223" s="2" t="str">
        <f ca="1">IFERROR(__xludf.DUMMYFUNCTION("""COMPUTED_VALUE"""),"")</f>
        <v/>
      </c>
      <c r="AV223" s="2" t="str">
        <f ca="1">IFERROR(__xludf.DUMMYFUNCTION("""COMPUTED_VALUE"""),"")</f>
        <v/>
      </c>
      <c r="AW223" s="2" t="str">
        <f ca="1">IFERROR(__xludf.DUMMYFUNCTION("""COMPUTED_VALUE"""),"")</f>
        <v/>
      </c>
      <c r="AX223" s="2" t="str">
        <f ca="1">IFERROR(__xludf.DUMMYFUNCTION("""COMPUTED_VALUE"""),"")</f>
        <v/>
      </c>
      <c r="AY223" s="2" t="str">
        <f ca="1">IFERROR(__xludf.DUMMYFUNCTION("""COMPUTED_VALUE"""),"")</f>
        <v/>
      </c>
      <c r="AZ223" s="2" t="str">
        <f ca="1">IFERROR(__xludf.DUMMYFUNCTION("""COMPUTED_VALUE"""),"")</f>
        <v/>
      </c>
      <c r="BA223" s="2" t="str">
        <f ca="1">IFERROR(__xludf.DUMMYFUNCTION("""COMPUTED_VALUE"""),"")</f>
        <v/>
      </c>
      <c r="BB223" s="2" t="str">
        <f ca="1">IFERROR(__xludf.DUMMYFUNCTION("""COMPUTED_VALUE"""),"")</f>
        <v/>
      </c>
      <c r="BC223" s="2" t="str">
        <f ca="1">IFERROR(__xludf.DUMMYFUNCTION("""COMPUTED_VALUE"""),"")</f>
        <v/>
      </c>
      <c r="BD223" s="2" t="str">
        <f ca="1">IFERROR(__xludf.DUMMYFUNCTION("""COMPUTED_VALUE"""),"")</f>
        <v/>
      </c>
      <c r="BE223" s="2" t="str">
        <f ca="1">IFERROR(__xludf.DUMMYFUNCTION("""COMPUTED_VALUE"""),"")</f>
        <v/>
      </c>
      <c r="BF223" t="str">
        <f ca="1">IFERROR(__xludf.DUMMYFUNCTION("""COMPUTED_VALUE"""),"")</f>
        <v/>
      </c>
      <c r="BG223" t="str">
        <f ca="1">IFERROR(__xludf.DUMMYFUNCTION("""COMPUTED_VALUE"""),"")</f>
        <v/>
      </c>
      <c r="BH223" s="2">
        <f ca="1">IFERROR(__xludf.DUMMYFUNCTION("""COMPUTED_VALUE"""),-37.3369217)</f>
        <v>-37.336921699999998</v>
      </c>
      <c r="BI223" s="12">
        <f ca="1">IFERROR(__xludf.DUMMYFUNCTION("""COMPUTED_VALUE"""),175.1669922)</f>
        <v>175.16699220000001</v>
      </c>
      <c r="BJ223" s="9">
        <f ca="1">IFERROR(__xludf.DUMMYFUNCTION("""COMPUTED_VALUE"""),43420)</f>
        <v>43420</v>
      </c>
      <c r="BK223" s="4">
        <f ca="1">IFERROR(__xludf.DUMMYFUNCTION("""COMPUTED_VALUE"""),0.958518518516939)</f>
        <v>0.95851851851693903</v>
      </c>
    </row>
    <row r="224" spans="1:63" ht="12.5" x14ac:dyDescent="0.25">
      <c r="A224" s="7" t="str">
        <f ca="1">IFERROR(__xludf.DUMMYFUNCTION("""COMPUTED_VALUE"""),"")</f>
        <v/>
      </c>
      <c r="B224" s="8" t="str">
        <f ca="1">IFERROR(__xludf.DUMMYFUNCTION("""COMPUTED_VALUE"""),"Waikato")</f>
        <v>Waikato</v>
      </c>
      <c r="C224" s="2">
        <f ca="1">IFERROR(__xludf.DUMMYFUNCTION("""COMPUTED_VALUE"""),23)</f>
        <v>23</v>
      </c>
      <c r="D224" s="9" t="str">
        <f ca="1">IFERROR(__xludf.DUMMYFUNCTION("""COMPUTED_VALUE"""),"")</f>
        <v/>
      </c>
      <c r="E224" s="4" t="str">
        <f ca="1">IFERROR(__xludf.DUMMYFUNCTION("""COMPUTED_VALUE"""),"")</f>
        <v/>
      </c>
      <c r="F224" s="2" t="str">
        <f ca="1">IFERROR(__xludf.DUMMYFUNCTION("""COMPUTED_VALUE"""),"")</f>
        <v/>
      </c>
      <c r="G224" s="2" t="str">
        <f ca="1">IFERROR(__xludf.DUMMYFUNCTION("""COMPUTED_VALUE"""),"GPS: I converted data downloaded from ARGOS using Pinpoint software")</f>
        <v>GPS: I converted data downloaded from ARGOS using Pinpoint software</v>
      </c>
      <c r="H224" s="2" t="str">
        <f ca="1">IFERROR(__xludf.DUMMYFUNCTION("""COMPUTED_VALUE"""),"3D")</f>
        <v>3D</v>
      </c>
      <c r="I224" s="2" t="str">
        <f ca="1">IFERROR(__xludf.DUMMYFUNCTION("""COMPUTED_VALUE"""),"")</f>
        <v/>
      </c>
      <c r="J224" s="2" t="str">
        <f ca="1">IFERROR(__xludf.DUMMYFUNCTION("""COMPUTED_VALUE"""),"")</f>
        <v/>
      </c>
      <c r="K224" s="2" t="str">
        <f ca="1">IFERROR(__xludf.DUMMYFUNCTION("""COMPUTED_VALUE"""),"")</f>
        <v/>
      </c>
      <c r="L224" s="2" t="str">
        <f ca="1">IFERROR(__xludf.DUMMYFUNCTION("""COMPUTED_VALUE"""),"")</f>
        <v/>
      </c>
      <c r="M224" s="5" t="str">
        <f ca="1">IFERROR(__xludf.DUMMYFUNCTION("""COMPUTED_VALUE"""),"")</f>
        <v/>
      </c>
      <c r="N224" s="5" t="str">
        <f ca="1">IFERROR(__xludf.DUMMYFUNCTION("""COMPUTED_VALUE"""),"")</f>
        <v/>
      </c>
      <c r="O224" s="2" t="str">
        <f ca="1">IFERROR(__xludf.DUMMYFUNCTION("""COMPUTED_VALUE"""),"")</f>
        <v/>
      </c>
      <c r="P224" s="2" t="str">
        <f ca="1">IFERROR(__xludf.DUMMYFUNCTION("""COMPUTED_VALUE"""),"")</f>
        <v/>
      </c>
      <c r="Q224" s="2" t="str">
        <f ca="1">IFERROR(__xludf.DUMMYFUNCTION("""COMPUTED_VALUE"""),"")</f>
        <v/>
      </c>
      <c r="R224" s="2" t="str">
        <f ca="1">IFERROR(__xludf.DUMMYFUNCTION("""COMPUTED_VALUE"""),"")</f>
        <v/>
      </c>
      <c r="S224" s="2" t="str">
        <f ca="1">IFERROR(__xludf.DUMMYFUNCTION("""COMPUTED_VALUE"""),"")</f>
        <v/>
      </c>
      <c r="T224" s="2" t="str">
        <f ca="1">IFERROR(__xludf.DUMMYFUNCTION("""COMPUTED_VALUE"""),"")</f>
        <v/>
      </c>
      <c r="U224" s="2" t="str">
        <f ca="1">IFERROR(__xludf.DUMMYFUNCTION("""COMPUTED_VALUE"""),"")</f>
        <v/>
      </c>
      <c r="V224" s="2" t="str">
        <f ca="1">IFERROR(__xludf.DUMMYFUNCTION("""COMPUTED_VALUE"""),"")</f>
        <v/>
      </c>
      <c r="W224" s="2" t="str">
        <f ca="1">IFERROR(__xludf.DUMMYFUNCTION("""COMPUTED_VALUE"""),"")</f>
        <v/>
      </c>
      <c r="X224" s="2" t="str">
        <f ca="1">IFERROR(__xludf.DUMMYFUNCTION("""COMPUTED_VALUE"""),"")</f>
        <v/>
      </c>
      <c r="Y224" s="2" t="str">
        <f ca="1">IFERROR(__xludf.DUMMYFUNCTION("""COMPUTED_VALUE"""),"")</f>
        <v/>
      </c>
      <c r="Z224" s="2" t="str">
        <f ca="1">IFERROR(__xludf.DUMMYFUNCTION("""COMPUTED_VALUE"""),"")</f>
        <v/>
      </c>
      <c r="AA224" s="2" t="str">
        <f ca="1">IFERROR(__xludf.DUMMYFUNCTION("""COMPUTED_VALUE"""),"")</f>
        <v/>
      </c>
      <c r="AB224" s="2" t="str">
        <f ca="1">IFERROR(__xludf.DUMMYFUNCTION("""COMPUTED_VALUE"""),"")</f>
        <v/>
      </c>
      <c r="AC224" s="2" t="str">
        <f ca="1">IFERROR(__xludf.DUMMYFUNCTION("""COMPUTED_VALUE"""),"")</f>
        <v/>
      </c>
      <c r="AD224" s="2" t="str">
        <f ca="1">IFERROR(__xludf.DUMMYFUNCTION("""COMPUTED_VALUE"""),"")</f>
        <v/>
      </c>
      <c r="AE224" s="2" t="str">
        <f ca="1">IFERROR(__xludf.DUMMYFUNCTION("""COMPUTED_VALUE"""),"")</f>
        <v/>
      </c>
      <c r="AF224" s="2" t="str">
        <f ca="1">IFERROR(__xludf.DUMMYFUNCTION("""COMPUTED_VALUE"""),"")</f>
        <v/>
      </c>
      <c r="AG224" s="2" t="str">
        <f ca="1">IFERROR(__xludf.DUMMYFUNCTION("""COMPUTED_VALUE"""),"")</f>
        <v/>
      </c>
      <c r="AH224" s="2" t="str">
        <f ca="1">IFERROR(__xludf.DUMMYFUNCTION("""COMPUTED_VALUE"""),"")</f>
        <v/>
      </c>
      <c r="AI224" s="2" t="str">
        <f ca="1">IFERROR(__xludf.DUMMYFUNCTION("""COMPUTED_VALUE"""),"")</f>
        <v/>
      </c>
      <c r="AJ224" s="2" t="str">
        <f ca="1">IFERROR(__xludf.DUMMYFUNCTION("""COMPUTED_VALUE"""),"")</f>
        <v/>
      </c>
      <c r="AK224" s="2" t="str">
        <f ca="1">IFERROR(__xludf.DUMMYFUNCTION("""COMPUTED_VALUE"""),"")</f>
        <v/>
      </c>
      <c r="AL224" s="2" t="str">
        <f ca="1">IFERROR(__xludf.DUMMYFUNCTION("""COMPUTED_VALUE"""),"")</f>
        <v/>
      </c>
      <c r="AM224" s="2" t="str">
        <f ca="1">IFERROR(__xludf.DUMMYFUNCTION("""COMPUTED_VALUE"""),"")</f>
        <v/>
      </c>
      <c r="AN224" s="2" t="str">
        <f ca="1">IFERROR(__xludf.DUMMYFUNCTION("""COMPUTED_VALUE"""),"")</f>
        <v/>
      </c>
      <c r="AO224" s="2" t="str">
        <f ca="1">IFERROR(__xludf.DUMMYFUNCTION("""COMPUTED_VALUE"""),"")</f>
        <v/>
      </c>
      <c r="AP224" s="2" t="str">
        <f ca="1">IFERROR(__xludf.DUMMYFUNCTION("""COMPUTED_VALUE"""),"")</f>
        <v/>
      </c>
      <c r="AQ224" s="2" t="str">
        <f ca="1">IFERROR(__xludf.DUMMYFUNCTION("""COMPUTED_VALUE"""),"")</f>
        <v/>
      </c>
      <c r="AR224" s="2" t="str">
        <f ca="1">IFERROR(__xludf.DUMMYFUNCTION("""COMPUTED_VALUE"""),"")</f>
        <v/>
      </c>
      <c r="AS224" s="2" t="str">
        <f ca="1">IFERROR(__xludf.DUMMYFUNCTION("""COMPUTED_VALUE"""),"")</f>
        <v/>
      </c>
      <c r="AT224" s="2" t="str">
        <f ca="1">IFERROR(__xludf.DUMMYFUNCTION("""COMPUTED_VALUE"""),"")</f>
        <v/>
      </c>
      <c r="AU224" s="2" t="str">
        <f ca="1">IFERROR(__xludf.DUMMYFUNCTION("""COMPUTED_VALUE"""),"")</f>
        <v/>
      </c>
      <c r="AV224" s="2" t="str">
        <f ca="1">IFERROR(__xludf.DUMMYFUNCTION("""COMPUTED_VALUE"""),"")</f>
        <v/>
      </c>
      <c r="AW224" s="2" t="str">
        <f ca="1">IFERROR(__xludf.DUMMYFUNCTION("""COMPUTED_VALUE"""),"")</f>
        <v/>
      </c>
      <c r="AX224" s="2" t="str">
        <f ca="1">IFERROR(__xludf.DUMMYFUNCTION("""COMPUTED_VALUE"""),"")</f>
        <v/>
      </c>
      <c r="AY224" s="2" t="str">
        <f ca="1">IFERROR(__xludf.DUMMYFUNCTION("""COMPUTED_VALUE"""),"")</f>
        <v/>
      </c>
      <c r="AZ224" s="2" t="str">
        <f ca="1">IFERROR(__xludf.DUMMYFUNCTION("""COMPUTED_VALUE"""),"")</f>
        <v/>
      </c>
      <c r="BA224" s="2" t="str">
        <f ca="1">IFERROR(__xludf.DUMMYFUNCTION("""COMPUTED_VALUE"""),"")</f>
        <v/>
      </c>
      <c r="BB224" s="2" t="str">
        <f ca="1">IFERROR(__xludf.DUMMYFUNCTION("""COMPUTED_VALUE"""),"")</f>
        <v/>
      </c>
      <c r="BC224" s="2" t="str">
        <f ca="1">IFERROR(__xludf.DUMMYFUNCTION("""COMPUTED_VALUE"""),"")</f>
        <v/>
      </c>
      <c r="BD224" s="2" t="str">
        <f ca="1">IFERROR(__xludf.DUMMYFUNCTION("""COMPUTED_VALUE"""),"")</f>
        <v/>
      </c>
      <c r="BE224" s="2" t="str">
        <f ca="1">IFERROR(__xludf.DUMMYFUNCTION("""COMPUTED_VALUE"""),"")</f>
        <v/>
      </c>
      <c r="BF224" t="str">
        <f ca="1">IFERROR(__xludf.DUMMYFUNCTION("""COMPUTED_VALUE"""),"")</f>
        <v/>
      </c>
      <c r="BG224" t="str">
        <f ca="1">IFERROR(__xludf.DUMMYFUNCTION("""COMPUTED_VALUE"""),"")</f>
        <v/>
      </c>
      <c r="BH224" s="2">
        <f ca="1">IFERROR(__xludf.DUMMYFUNCTION("""COMPUTED_VALUE"""),-37.3739395)</f>
        <v>-37.373939499999999</v>
      </c>
      <c r="BI224" s="13">
        <f ca="1">IFERROR(__xludf.DUMMYFUNCTION("""COMPUTED_VALUE"""),175.1728058)</f>
        <v>175.17280579999999</v>
      </c>
      <c r="BJ224" s="9">
        <f ca="1">IFERROR(__xludf.DUMMYFUNCTION("""COMPUTED_VALUE"""),43422)</f>
        <v>43422</v>
      </c>
      <c r="BK224" s="4">
        <f ca="1">IFERROR(__xludf.DUMMYFUNCTION("""COMPUTED_VALUE"""),0.457777777777664)</f>
        <v>0.45777777777766399</v>
      </c>
    </row>
    <row r="225" spans="1:63" ht="12.5" x14ac:dyDescent="0.25">
      <c r="A225" s="7" t="str">
        <f ca="1">IFERROR(__xludf.DUMMYFUNCTION("""COMPUTED_VALUE"""),"")</f>
        <v/>
      </c>
      <c r="B225" s="8" t="str">
        <f ca="1">IFERROR(__xludf.DUMMYFUNCTION("""COMPUTED_VALUE"""),"Waikato")</f>
        <v>Waikato</v>
      </c>
      <c r="C225" s="2">
        <f ca="1">IFERROR(__xludf.DUMMYFUNCTION("""COMPUTED_VALUE"""),23)</f>
        <v>23</v>
      </c>
      <c r="D225" s="9" t="str">
        <f ca="1">IFERROR(__xludf.DUMMYFUNCTION("""COMPUTED_VALUE"""),"")</f>
        <v/>
      </c>
      <c r="E225" s="4" t="str">
        <f ca="1">IFERROR(__xludf.DUMMYFUNCTION("""COMPUTED_VALUE"""),"")</f>
        <v/>
      </c>
      <c r="F225" s="2" t="str">
        <f ca="1">IFERROR(__xludf.DUMMYFUNCTION("""COMPUTED_VALUE"""),"")</f>
        <v/>
      </c>
      <c r="G225" s="2" t="str">
        <f ca="1">IFERROR(__xludf.DUMMYFUNCTION("""COMPUTED_VALUE"""),"GPS: I converted data downloaded from ARGOS using Pinpoint software")</f>
        <v>GPS: I converted data downloaded from ARGOS using Pinpoint software</v>
      </c>
      <c r="H225" s="2" t="str">
        <f ca="1">IFERROR(__xludf.DUMMYFUNCTION("""COMPUTED_VALUE"""),"3D")</f>
        <v>3D</v>
      </c>
      <c r="I225" s="2" t="str">
        <f ca="1">IFERROR(__xludf.DUMMYFUNCTION("""COMPUTED_VALUE"""),"")</f>
        <v/>
      </c>
      <c r="J225" s="2" t="str">
        <f ca="1">IFERROR(__xludf.DUMMYFUNCTION("""COMPUTED_VALUE"""),"")</f>
        <v/>
      </c>
      <c r="K225" s="2" t="str">
        <f ca="1">IFERROR(__xludf.DUMMYFUNCTION("""COMPUTED_VALUE"""),"")</f>
        <v/>
      </c>
      <c r="L225" s="2" t="str">
        <f ca="1">IFERROR(__xludf.DUMMYFUNCTION("""COMPUTED_VALUE"""),"")</f>
        <v/>
      </c>
      <c r="M225" s="5" t="str">
        <f ca="1">IFERROR(__xludf.DUMMYFUNCTION("""COMPUTED_VALUE"""),"")</f>
        <v/>
      </c>
      <c r="N225" s="5" t="str">
        <f ca="1">IFERROR(__xludf.DUMMYFUNCTION("""COMPUTED_VALUE"""),"")</f>
        <v/>
      </c>
      <c r="O225" s="2" t="str">
        <f ca="1">IFERROR(__xludf.DUMMYFUNCTION("""COMPUTED_VALUE"""),"")</f>
        <v/>
      </c>
      <c r="P225" s="2" t="str">
        <f ca="1">IFERROR(__xludf.DUMMYFUNCTION("""COMPUTED_VALUE"""),"")</f>
        <v/>
      </c>
      <c r="Q225" s="2" t="str">
        <f ca="1">IFERROR(__xludf.DUMMYFUNCTION("""COMPUTED_VALUE"""),"")</f>
        <v/>
      </c>
      <c r="R225" s="2" t="str">
        <f ca="1">IFERROR(__xludf.DUMMYFUNCTION("""COMPUTED_VALUE"""),"")</f>
        <v/>
      </c>
      <c r="S225" s="2" t="str">
        <f ca="1">IFERROR(__xludf.DUMMYFUNCTION("""COMPUTED_VALUE"""),"")</f>
        <v/>
      </c>
      <c r="T225" s="2" t="str">
        <f ca="1">IFERROR(__xludf.DUMMYFUNCTION("""COMPUTED_VALUE"""),"")</f>
        <v/>
      </c>
      <c r="U225" s="2" t="str">
        <f ca="1">IFERROR(__xludf.DUMMYFUNCTION("""COMPUTED_VALUE"""),"")</f>
        <v/>
      </c>
      <c r="V225" s="2" t="str">
        <f ca="1">IFERROR(__xludf.DUMMYFUNCTION("""COMPUTED_VALUE"""),"")</f>
        <v/>
      </c>
      <c r="W225" s="2" t="str">
        <f ca="1">IFERROR(__xludf.DUMMYFUNCTION("""COMPUTED_VALUE"""),"")</f>
        <v/>
      </c>
      <c r="X225" s="2" t="str">
        <f ca="1">IFERROR(__xludf.DUMMYFUNCTION("""COMPUTED_VALUE"""),"")</f>
        <v/>
      </c>
      <c r="Y225" s="2" t="str">
        <f ca="1">IFERROR(__xludf.DUMMYFUNCTION("""COMPUTED_VALUE"""),"")</f>
        <v/>
      </c>
      <c r="Z225" s="2" t="str">
        <f ca="1">IFERROR(__xludf.DUMMYFUNCTION("""COMPUTED_VALUE"""),"")</f>
        <v/>
      </c>
      <c r="AA225" s="2" t="str">
        <f ca="1">IFERROR(__xludf.DUMMYFUNCTION("""COMPUTED_VALUE"""),"")</f>
        <v/>
      </c>
      <c r="AB225" s="2" t="str">
        <f ca="1">IFERROR(__xludf.DUMMYFUNCTION("""COMPUTED_VALUE"""),"")</f>
        <v/>
      </c>
      <c r="AC225" s="2" t="str">
        <f ca="1">IFERROR(__xludf.DUMMYFUNCTION("""COMPUTED_VALUE"""),"")</f>
        <v/>
      </c>
      <c r="AD225" s="2" t="str">
        <f ca="1">IFERROR(__xludf.DUMMYFUNCTION("""COMPUTED_VALUE"""),"")</f>
        <v/>
      </c>
      <c r="AE225" s="2" t="str">
        <f ca="1">IFERROR(__xludf.DUMMYFUNCTION("""COMPUTED_VALUE"""),"")</f>
        <v/>
      </c>
      <c r="AF225" s="2" t="str">
        <f ca="1">IFERROR(__xludf.DUMMYFUNCTION("""COMPUTED_VALUE"""),"")</f>
        <v/>
      </c>
      <c r="AG225" s="2" t="str">
        <f ca="1">IFERROR(__xludf.DUMMYFUNCTION("""COMPUTED_VALUE"""),"")</f>
        <v/>
      </c>
      <c r="AH225" s="2" t="str">
        <f ca="1">IFERROR(__xludf.DUMMYFUNCTION("""COMPUTED_VALUE"""),"")</f>
        <v/>
      </c>
      <c r="AI225" s="2" t="str">
        <f ca="1">IFERROR(__xludf.DUMMYFUNCTION("""COMPUTED_VALUE"""),"")</f>
        <v/>
      </c>
      <c r="AJ225" s="2" t="str">
        <f ca="1">IFERROR(__xludf.DUMMYFUNCTION("""COMPUTED_VALUE"""),"")</f>
        <v/>
      </c>
      <c r="AK225" s="2" t="str">
        <f ca="1">IFERROR(__xludf.DUMMYFUNCTION("""COMPUTED_VALUE"""),"")</f>
        <v/>
      </c>
      <c r="AL225" s="2" t="str">
        <f ca="1">IFERROR(__xludf.DUMMYFUNCTION("""COMPUTED_VALUE"""),"")</f>
        <v/>
      </c>
      <c r="AM225" s="2" t="str">
        <f ca="1">IFERROR(__xludf.DUMMYFUNCTION("""COMPUTED_VALUE"""),"")</f>
        <v/>
      </c>
      <c r="AN225" s="2" t="str">
        <f ca="1">IFERROR(__xludf.DUMMYFUNCTION("""COMPUTED_VALUE"""),"")</f>
        <v/>
      </c>
      <c r="AO225" s="2" t="str">
        <f ca="1">IFERROR(__xludf.DUMMYFUNCTION("""COMPUTED_VALUE"""),"")</f>
        <v/>
      </c>
      <c r="AP225" s="2" t="str">
        <f ca="1">IFERROR(__xludf.DUMMYFUNCTION("""COMPUTED_VALUE"""),"")</f>
        <v/>
      </c>
      <c r="AQ225" s="2" t="str">
        <f ca="1">IFERROR(__xludf.DUMMYFUNCTION("""COMPUTED_VALUE"""),"")</f>
        <v/>
      </c>
      <c r="AR225" s="2" t="str">
        <f ca="1">IFERROR(__xludf.DUMMYFUNCTION("""COMPUTED_VALUE"""),"")</f>
        <v/>
      </c>
      <c r="AS225" s="2" t="str">
        <f ca="1">IFERROR(__xludf.DUMMYFUNCTION("""COMPUTED_VALUE"""),"")</f>
        <v/>
      </c>
      <c r="AT225" s="2" t="str">
        <f ca="1">IFERROR(__xludf.DUMMYFUNCTION("""COMPUTED_VALUE"""),"")</f>
        <v/>
      </c>
      <c r="AU225" s="2" t="str">
        <f ca="1">IFERROR(__xludf.DUMMYFUNCTION("""COMPUTED_VALUE"""),"")</f>
        <v/>
      </c>
      <c r="AV225" s="2" t="str">
        <f ca="1">IFERROR(__xludf.DUMMYFUNCTION("""COMPUTED_VALUE"""),"")</f>
        <v/>
      </c>
      <c r="AW225" s="2" t="str">
        <f ca="1">IFERROR(__xludf.DUMMYFUNCTION("""COMPUTED_VALUE"""),"")</f>
        <v/>
      </c>
      <c r="AX225" s="2" t="str">
        <f ca="1">IFERROR(__xludf.DUMMYFUNCTION("""COMPUTED_VALUE"""),"")</f>
        <v/>
      </c>
      <c r="AY225" s="2" t="str">
        <f ca="1">IFERROR(__xludf.DUMMYFUNCTION("""COMPUTED_VALUE"""),"")</f>
        <v/>
      </c>
      <c r="AZ225" s="2" t="str">
        <f ca="1">IFERROR(__xludf.DUMMYFUNCTION("""COMPUTED_VALUE"""),"")</f>
        <v/>
      </c>
      <c r="BA225" s="2" t="str">
        <f ca="1">IFERROR(__xludf.DUMMYFUNCTION("""COMPUTED_VALUE"""),"")</f>
        <v/>
      </c>
      <c r="BB225" s="2" t="str">
        <f ca="1">IFERROR(__xludf.DUMMYFUNCTION("""COMPUTED_VALUE"""),"")</f>
        <v/>
      </c>
      <c r="BC225" s="2" t="str">
        <f ca="1">IFERROR(__xludf.DUMMYFUNCTION("""COMPUTED_VALUE"""),"")</f>
        <v/>
      </c>
      <c r="BD225" s="2" t="str">
        <f ca="1">IFERROR(__xludf.DUMMYFUNCTION("""COMPUTED_VALUE"""),"")</f>
        <v/>
      </c>
      <c r="BE225" s="2" t="str">
        <f ca="1">IFERROR(__xludf.DUMMYFUNCTION("""COMPUTED_VALUE"""),"")</f>
        <v/>
      </c>
      <c r="BF225" t="str">
        <f ca="1">IFERROR(__xludf.DUMMYFUNCTION("""COMPUTED_VALUE"""),"")</f>
        <v/>
      </c>
      <c r="BG225" t="str">
        <f ca="1">IFERROR(__xludf.DUMMYFUNCTION("""COMPUTED_VALUE"""),"")</f>
        <v/>
      </c>
      <c r="BH225" s="2">
        <f ca="1">IFERROR(__xludf.DUMMYFUNCTION("""COMPUTED_VALUE"""),-37.3423233)</f>
        <v>-37.342323299999997</v>
      </c>
      <c r="BI225" s="12">
        <f ca="1">IFERROR(__xludf.DUMMYFUNCTION("""COMPUTED_VALUE"""),175.1733704)</f>
        <v>175.17337040000001</v>
      </c>
      <c r="BJ225" s="9">
        <f ca="1">IFERROR(__xludf.DUMMYFUNCTION("""COMPUTED_VALUE"""),43422)</f>
        <v>43422</v>
      </c>
      <c r="BK225" s="4">
        <f ca="1">IFERROR(__xludf.DUMMYFUNCTION("""COMPUTED_VALUE"""),0.958518518516939)</f>
        <v>0.95851851851693903</v>
      </c>
    </row>
    <row r="226" spans="1:63" ht="12.5" x14ac:dyDescent="0.25">
      <c r="A226" s="7" t="str">
        <f ca="1">IFERROR(__xludf.DUMMYFUNCTION("""COMPUTED_VALUE"""),"")</f>
        <v/>
      </c>
      <c r="B226" s="8" t="str">
        <f ca="1">IFERROR(__xludf.DUMMYFUNCTION("""COMPUTED_VALUE"""),"Waikato")</f>
        <v>Waikato</v>
      </c>
      <c r="C226" s="2">
        <f ca="1">IFERROR(__xludf.DUMMYFUNCTION("""COMPUTED_VALUE"""),23)</f>
        <v>23</v>
      </c>
      <c r="D226" s="9" t="str">
        <f ca="1">IFERROR(__xludf.DUMMYFUNCTION("""COMPUTED_VALUE"""),"")</f>
        <v/>
      </c>
      <c r="E226" s="4" t="str">
        <f ca="1">IFERROR(__xludf.DUMMYFUNCTION("""COMPUTED_VALUE"""),"")</f>
        <v/>
      </c>
      <c r="F226" s="2" t="str">
        <f ca="1">IFERROR(__xludf.DUMMYFUNCTION("""COMPUTED_VALUE"""),"")</f>
        <v/>
      </c>
      <c r="G226" s="2" t="str">
        <f ca="1">IFERROR(__xludf.DUMMYFUNCTION("""COMPUTED_VALUE"""),"GPS: I converted data downloaded from ARGOS using Pinpoint software")</f>
        <v>GPS: I converted data downloaded from ARGOS using Pinpoint software</v>
      </c>
      <c r="H226" s="2" t="str">
        <f ca="1">IFERROR(__xludf.DUMMYFUNCTION("""COMPUTED_VALUE"""),"3D")</f>
        <v>3D</v>
      </c>
      <c r="I226" s="2" t="str">
        <f ca="1">IFERROR(__xludf.DUMMYFUNCTION("""COMPUTED_VALUE"""),"")</f>
        <v/>
      </c>
      <c r="J226" s="2" t="str">
        <f ca="1">IFERROR(__xludf.DUMMYFUNCTION("""COMPUTED_VALUE"""),"")</f>
        <v/>
      </c>
      <c r="K226" s="2" t="str">
        <f ca="1">IFERROR(__xludf.DUMMYFUNCTION("""COMPUTED_VALUE"""),"")</f>
        <v/>
      </c>
      <c r="L226" s="2" t="str">
        <f ca="1">IFERROR(__xludf.DUMMYFUNCTION("""COMPUTED_VALUE"""),"")</f>
        <v/>
      </c>
      <c r="M226" s="5" t="str">
        <f ca="1">IFERROR(__xludf.DUMMYFUNCTION("""COMPUTED_VALUE"""),"")</f>
        <v/>
      </c>
      <c r="N226" s="5" t="str">
        <f ca="1">IFERROR(__xludf.DUMMYFUNCTION("""COMPUTED_VALUE"""),"")</f>
        <v/>
      </c>
      <c r="O226" s="2" t="str">
        <f ca="1">IFERROR(__xludf.DUMMYFUNCTION("""COMPUTED_VALUE"""),"")</f>
        <v/>
      </c>
      <c r="P226" s="2" t="str">
        <f ca="1">IFERROR(__xludf.DUMMYFUNCTION("""COMPUTED_VALUE"""),"")</f>
        <v/>
      </c>
      <c r="Q226" s="2" t="str">
        <f ca="1">IFERROR(__xludf.DUMMYFUNCTION("""COMPUTED_VALUE"""),"")</f>
        <v/>
      </c>
      <c r="R226" s="2" t="str">
        <f ca="1">IFERROR(__xludf.DUMMYFUNCTION("""COMPUTED_VALUE"""),"")</f>
        <v/>
      </c>
      <c r="S226" s="2" t="str">
        <f ca="1">IFERROR(__xludf.DUMMYFUNCTION("""COMPUTED_VALUE"""),"")</f>
        <v/>
      </c>
      <c r="T226" s="2" t="str">
        <f ca="1">IFERROR(__xludf.DUMMYFUNCTION("""COMPUTED_VALUE"""),"")</f>
        <v/>
      </c>
      <c r="U226" s="2" t="str">
        <f ca="1">IFERROR(__xludf.DUMMYFUNCTION("""COMPUTED_VALUE"""),"")</f>
        <v/>
      </c>
      <c r="V226" s="2" t="str">
        <f ca="1">IFERROR(__xludf.DUMMYFUNCTION("""COMPUTED_VALUE"""),"")</f>
        <v/>
      </c>
      <c r="W226" s="2" t="str">
        <f ca="1">IFERROR(__xludf.DUMMYFUNCTION("""COMPUTED_VALUE"""),"")</f>
        <v/>
      </c>
      <c r="X226" s="2" t="str">
        <f ca="1">IFERROR(__xludf.DUMMYFUNCTION("""COMPUTED_VALUE"""),"")</f>
        <v/>
      </c>
      <c r="Y226" s="2" t="str">
        <f ca="1">IFERROR(__xludf.DUMMYFUNCTION("""COMPUTED_VALUE"""),"")</f>
        <v/>
      </c>
      <c r="Z226" s="2" t="str">
        <f ca="1">IFERROR(__xludf.DUMMYFUNCTION("""COMPUTED_VALUE"""),"")</f>
        <v/>
      </c>
      <c r="AA226" s="2" t="str">
        <f ca="1">IFERROR(__xludf.DUMMYFUNCTION("""COMPUTED_VALUE"""),"")</f>
        <v/>
      </c>
      <c r="AB226" s="2" t="str">
        <f ca="1">IFERROR(__xludf.DUMMYFUNCTION("""COMPUTED_VALUE"""),"")</f>
        <v/>
      </c>
      <c r="AC226" s="2" t="str">
        <f ca="1">IFERROR(__xludf.DUMMYFUNCTION("""COMPUTED_VALUE"""),"")</f>
        <v/>
      </c>
      <c r="AD226" s="2" t="str">
        <f ca="1">IFERROR(__xludf.DUMMYFUNCTION("""COMPUTED_VALUE"""),"")</f>
        <v/>
      </c>
      <c r="AE226" s="2" t="str">
        <f ca="1">IFERROR(__xludf.DUMMYFUNCTION("""COMPUTED_VALUE"""),"")</f>
        <v/>
      </c>
      <c r="AF226" s="2" t="str">
        <f ca="1">IFERROR(__xludf.DUMMYFUNCTION("""COMPUTED_VALUE"""),"")</f>
        <v/>
      </c>
      <c r="AG226" s="2" t="str">
        <f ca="1">IFERROR(__xludf.DUMMYFUNCTION("""COMPUTED_VALUE"""),"")</f>
        <v/>
      </c>
      <c r="AH226" s="2" t="str">
        <f ca="1">IFERROR(__xludf.DUMMYFUNCTION("""COMPUTED_VALUE"""),"")</f>
        <v/>
      </c>
      <c r="AI226" s="2" t="str">
        <f ca="1">IFERROR(__xludf.DUMMYFUNCTION("""COMPUTED_VALUE"""),"")</f>
        <v/>
      </c>
      <c r="AJ226" s="2" t="str">
        <f ca="1">IFERROR(__xludf.DUMMYFUNCTION("""COMPUTED_VALUE"""),"")</f>
        <v/>
      </c>
      <c r="AK226" s="2" t="str">
        <f ca="1">IFERROR(__xludf.DUMMYFUNCTION("""COMPUTED_VALUE"""),"")</f>
        <v/>
      </c>
      <c r="AL226" s="2" t="str">
        <f ca="1">IFERROR(__xludf.DUMMYFUNCTION("""COMPUTED_VALUE"""),"")</f>
        <v/>
      </c>
      <c r="AM226" s="2" t="str">
        <f ca="1">IFERROR(__xludf.DUMMYFUNCTION("""COMPUTED_VALUE"""),"")</f>
        <v/>
      </c>
      <c r="AN226" s="2" t="str">
        <f ca="1">IFERROR(__xludf.DUMMYFUNCTION("""COMPUTED_VALUE"""),"")</f>
        <v/>
      </c>
      <c r="AO226" s="2" t="str">
        <f ca="1">IFERROR(__xludf.DUMMYFUNCTION("""COMPUTED_VALUE"""),"")</f>
        <v/>
      </c>
      <c r="AP226" s="2" t="str">
        <f ca="1">IFERROR(__xludf.DUMMYFUNCTION("""COMPUTED_VALUE"""),"")</f>
        <v/>
      </c>
      <c r="AQ226" s="2" t="str">
        <f ca="1">IFERROR(__xludf.DUMMYFUNCTION("""COMPUTED_VALUE"""),"")</f>
        <v/>
      </c>
      <c r="AR226" s="2" t="str">
        <f ca="1">IFERROR(__xludf.DUMMYFUNCTION("""COMPUTED_VALUE"""),"")</f>
        <v/>
      </c>
      <c r="AS226" s="2" t="str">
        <f ca="1">IFERROR(__xludf.DUMMYFUNCTION("""COMPUTED_VALUE"""),"")</f>
        <v/>
      </c>
      <c r="AT226" s="2" t="str">
        <f ca="1">IFERROR(__xludf.DUMMYFUNCTION("""COMPUTED_VALUE"""),"")</f>
        <v/>
      </c>
      <c r="AU226" s="2" t="str">
        <f ca="1">IFERROR(__xludf.DUMMYFUNCTION("""COMPUTED_VALUE"""),"")</f>
        <v/>
      </c>
      <c r="AV226" s="2" t="str">
        <f ca="1">IFERROR(__xludf.DUMMYFUNCTION("""COMPUTED_VALUE"""),"")</f>
        <v/>
      </c>
      <c r="AW226" s="2" t="str">
        <f ca="1">IFERROR(__xludf.DUMMYFUNCTION("""COMPUTED_VALUE"""),"")</f>
        <v/>
      </c>
      <c r="AX226" s="2" t="str">
        <f ca="1">IFERROR(__xludf.DUMMYFUNCTION("""COMPUTED_VALUE"""),"")</f>
        <v/>
      </c>
      <c r="AY226" s="2" t="str">
        <f ca="1">IFERROR(__xludf.DUMMYFUNCTION("""COMPUTED_VALUE"""),"")</f>
        <v/>
      </c>
      <c r="AZ226" s="2" t="str">
        <f ca="1">IFERROR(__xludf.DUMMYFUNCTION("""COMPUTED_VALUE"""),"")</f>
        <v/>
      </c>
      <c r="BA226" s="2" t="str">
        <f ca="1">IFERROR(__xludf.DUMMYFUNCTION("""COMPUTED_VALUE"""),"")</f>
        <v/>
      </c>
      <c r="BB226" s="2" t="str">
        <f ca="1">IFERROR(__xludf.DUMMYFUNCTION("""COMPUTED_VALUE"""),"")</f>
        <v/>
      </c>
      <c r="BC226" s="2" t="str">
        <f ca="1">IFERROR(__xludf.DUMMYFUNCTION("""COMPUTED_VALUE"""),"")</f>
        <v/>
      </c>
      <c r="BD226" s="2" t="str">
        <f ca="1">IFERROR(__xludf.DUMMYFUNCTION("""COMPUTED_VALUE"""),"")</f>
        <v/>
      </c>
      <c r="BE226" s="2" t="str">
        <f ca="1">IFERROR(__xludf.DUMMYFUNCTION("""COMPUTED_VALUE"""),"")</f>
        <v/>
      </c>
      <c r="BF226" t="str">
        <f ca="1">IFERROR(__xludf.DUMMYFUNCTION("""COMPUTED_VALUE"""),"")</f>
        <v/>
      </c>
      <c r="BG226" t="str">
        <f ca="1">IFERROR(__xludf.DUMMYFUNCTION("""COMPUTED_VALUE"""),"")</f>
        <v/>
      </c>
      <c r="BH226" s="2">
        <f ca="1">IFERROR(__xludf.DUMMYFUNCTION("""COMPUTED_VALUE"""),-37.3251457)</f>
        <v>-37.3251457</v>
      </c>
      <c r="BI226" s="13">
        <f ca="1">IFERROR(__xludf.DUMMYFUNCTION("""COMPUTED_VALUE"""),175.4504547)</f>
        <v>175.45045469999999</v>
      </c>
      <c r="BJ226" s="9">
        <f ca="1">IFERROR(__xludf.DUMMYFUNCTION("""COMPUTED_VALUE"""),43424)</f>
        <v>43424</v>
      </c>
      <c r="BK226" s="4">
        <f ca="1">IFERROR(__xludf.DUMMYFUNCTION("""COMPUTED_VALUE"""),0.457777777777664)</f>
        <v>0.45777777777766399</v>
      </c>
    </row>
    <row r="227" spans="1:63" ht="12.5" x14ac:dyDescent="0.25">
      <c r="A227" s="7" t="str">
        <f ca="1">IFERROR(__xludf.DUMMYFUNCTION("""COMPUTED_VALUE"""),"")</f>
        <v/>
      </c>
      <c r="B227" s="8" t="str">
        <f ca="1">IFERROR(__xludf.DUMMYFUNCTION("""COMPUTED_VALUE"""),"Waikato")</f>
        <v>Waikato</v>
      </c>
      <c r="C227" s="2">
        <f ca="1">IFERROR(__xludf.DUMMYFUNCTION("""COMPUTED_VALUE"""),23)</f>
        <v>23</v>
      </c>
      <c r="D227" s="9" t="str">
        <f ca="1">IFERROR(__xludf.DUMMYFUNCTION("""COMPUTED_VALUE"""),"")</f>
        <v/>
      </c>
      <c r="E227" s="4" t="str">
        <f ca="1">IFERROR(__xludf.DUMMYFUNCTION("""COMPUTED_VALUE"""),"")</f>
        <v/>
      </c>
      <c r="F227" s="2" t="str">
        <f ca="1">IFERROR(__xludf.DUMMYFUNCTION("""COMPUTED_VALUE"""),"")</f>
        <v/>
      </c>
      <c r="G227" s="2" t="str">
        <f ca="1">IFERROR(__xludf.DUMMYFUNCTION("""COMPUTED_VALUE"""),"GPS: I converted data downloaded from ARGOS using Pinpoint software")</f>
        <v>GPS: I converted data downloaded from ARGOS using Pinpoint software</v>
      </c>
      <c r="H227" s="2" t="str">
        <f ca="1">IFERROR(__xludf.DUMMYFUNCTION("""COMPUTED_VALUE"""),"3D")</f>
        <v>3D</v>
      </c>
      <c r="I227" s="2" t="str">
        <f ca="1">IFERROR(__xludf.DUMMYFUNCTION("""COMPUTED_VALUE"""),"")</f>
        <v/>
      </c>
      <c r="J227" s="2" t="str">
        <f ca="1">IFERROR(__xludf.DUMMYFUNCTION("""COMPUTED_VALUE"""),"")</f>
        <v/>
      </c>
      <c r="K227" s="2" t="str">
        <f ca="1">IFERROR(__xludf.DUMMYFUNCTION("""COMPUTED_VALUE"""),"")</f>
        <v/>
      </c>
      <c r="L227" s="2" t="str">
        <f ca="1">IFERROR(__xludf.DUMMYFUNCTION("""COMPUTED_VALUE"""),"")</f>
        <v/>
      </c>
      <c r="M227" s="5" t="str">
        <f ca="1">IFERROR(__xludf.DUMMYFUNCTION("""COMPUTED_VALUE"""),"")</f>
        <v/>
      </c>
      <c r="N227" s="5" t="str">
        <f ca="1">IFERROR(__xludf.DUMMYFUNCTION("""COMPUTED_VALUE"""),"")</f>
        <v/>
      </c>
      <c r="O227" s="2" t="str">
        <f ca="1">IFERROR(__xludf.DUMMYFUNCTION("""COMPUTED_VALUE"""),"")</f>
        <v/>
      </c>
      <c r="P227" s="2" t="str">
        <f ca="1">IFERROR(__xludf.DUMMYFUNCTION("""COMPUTED_VALUE"""),"")</f>
        <v/>
      </c>
      <c r="Q227" s="2" t="str">
        <f ca="1">IFERROR(__xludf.DUMMYFUNCTION("""COMPUTED_VALUE"""),"")</f>
        <v/>
      </c>
      <c r="R227" s="2" t="str">
        <f ca="1">IFERROR(__xludf.DUMMYFUNCTION("""COMPUTED_VALUE"""),"")</f>
        <v/>
      </c>
      <c r="S227" s="2" t="str">
        <f ca="1">IFERROR(__xludf.DUMMYFUNCTION("""COMPUTED_VALUE"""),"")</f>
        <v/>
      </c>
      <c r="T227" s="2" t="str">
        <f ca="1">IFERROR(__xludf.DUMMYFUNCTION("""COMPUTED_VALUE"""),"")</f>
        <v/>
      </c>
      <c r="U227" s="2" t="str">
        <f ca="1">IFERROR(__xludf.DUMMYFUNCTION("""COMPUTED_VALUE"""),"")</f>
        <v/>
      </c>
      <c r="V227" s="2" t="str">
        <f ca="1">IFERROR(__xludf.DUMMYFUNCTION("""COMPUTED_VALUE"""),"")</f>
        <v/>
      </c>
      <c r="W227" s="2" t="str">
        <f ca="1">IFERROR(__xludf.DUMMYFUNCTION("""COMPUTED_VALUE"""),"")</f>
        <v/>
      </c>
      <c r="X227" s="2" t="str">
        <f ca="1">IFERROR(__xludf.DUMMYFUNCTION("""COMPUTED_VALUE"""),"")</f>
        <v/>
      </c>
      <c r="Y227" s="2" t="str">
        <f ca="1">IFERROR(__xludf.DUMMYFUNCTION("""COMPUTED_VALUE"""),"")</f>
        <v/>
      </c>
      <c r="Z227" s="2" t="str">
        <f ca="1">IFERROR(__xludf.DUMMYFUNCTION("""COMPUTED_VALUE"""),"")</f>
        <v/>
      </c>
      <c r="AA227" s="2" t="str">
        <f ca="1">IFERROR(__xludf.DUMMYFUNCTION("""COMPUTED_VALUE"""),"")</f>
        <v/>
      </c>
      <c r="AB227" s="2" t="str">
        <f ca="1">IFERROR(__xludf.DUMMYFUNCTION("""COMPUTED_VALUE"""),"")</f>
        <v/>
      </c>
      <c r="AC227" s="2" t="str">
        <f ca="1">IFERROR(__xludf.DUMMYFUNCTION("""COMPUTED_VALUE"""),"")</f>
        <v/>
      </c>
      <c r="AD227" s="2" t="str">
        <f ca="1">IFERROR(__xludf.DUMMYFUNCTION("""COMPUTED_VALUE"""),"")</f>
        <v/>
      </c>
      <c r="AE227" s="2" t="str">
        <f ca="1">IFERROR(__xludf.DUMMYFUNCTION("""COMPUTED_VALUE"""),"")</f>
        <v/>
      </c>
      <c r="AF227" s="2" t="str">
        <f ca="1">IFERROR(__xludf.DUMMYFUNCTION("""COMPUTED_VALUE"""),"")</f>
        <v/>
      </c>
      <c r="AG227" s="2" t="str">
        <f ca="1">IFERROR(__xludf.DUMMYFUNCTION("""COMPUTED_VALUE"""),"")</f>
        <v/>
      </c>
      <c r="AH227" s="2" t="str">
        <f ca="1">IFERROR(__xludf.DUMMYFUNCTION("""COMPUTED_VALUE"""),"")</f>
        <v/>
      </c>
      <c r="AI227" s="2" t="str">
        <f ca="1">IFERROR(__xludf.DUMMYFUNCTION("""COMPUTED_VALUE"""),"")</f>
        <v/>
      </c>
      <c r="AJ227" s="2" t="str">
        <f ca="1">IFERROR(__xludf.DUMMYFUNCTION("""COMPUTED_VALUE"""),"")</f>
        <v/>
      </c>
      <c r="AK227" s="2" t="str">
        <f ca="1">IFERROR(__xludf.DUMMYFUNCTION("""COMPUTED_VALUE"""),"")</f>
        <v/>
      </c>
      <c r="AL227" s="2" t="str">
        <f ca="1">IFERROR(__xludf.DUMMYFUNCTION("""COMPUTED_VALUE"""),"")</f>
        <v/>
      </c>
      <c r="AM227" s="2" t="str">
        <f ca="1">IFERROR(__xludf.DUMMYFUNCTION("""COMPUTED_VALUE"""),"")</f>
        <v/>
      </c>
      <c r="AN227" s="2" t="str">
        <f ca="1">IFERROR(__xludf.DUMMYFUNCTION("""COMPUTED_VALUE"""),"")</f>
        <v/>
      </c>
      <c r="AO227" s="2" t="str">
        <f ca="1">IFERROR(__xludf.DUMMYFUNCTION("""COMPUTED_VALUE"""),"")</f>
        <v/>
      </c>
      <c r="AP227" s="2" t="str">
        <f ca="1">IFERROR(__xludf.DUMMYFUNCTION("""COMPUTED_VALUE"""),"")</f>
        <v/>
      </c>
      <c r="AQ227" s="2" t="str">
        <f ca="1">IFERROR(__xludf.DUMMYFUNCTION("""COMPUTED_VALUE"""),"")</f>
        <v/>
      </c>
      <c r="AR227" s="2" t="str">
        <f ca="1">IFERROR(__xludf.DUMMYFUNCTION("""COMPUTED_VALUE"""),"")</f>
        <v/>
      </c>
      <c r="AS227" s="2" t="str">
        <f ca="1">IFERROR(__xludf.DUMMYFUNCTION("""COMPUTED_VALUE"""),"")</f>
        <v/>
      </c>
      <c r="AT227" s="2" t="str">
        <f ca="1">IFERROR(__xludf.DUMMYFUNCTION("""COMPUTED_VALUE"""),"")</f>
        <v/>
      </c>
      <c r="AU227" s="2" t="str">
        <f ca="1">IFERROR(__xludf.DUMMYFUNCTION("""COMPUTED_VALUE"""),"")</f>
        <v/>
      </c>
      <c r="AV227" s="2" t="str">
        <f ca="1">IFERROR(__xludf.DUMMYFUNCTION("""COMPUTED_VALUE"""),"")</f>
        <v/>
      </c>
      <c r="AW227" s="2" t="str">
        <f ca="1">IFERROR(__xludf.DUMMYFUNCTION("""COMPUTED_VALUE"""),"")</f>
        <v/>
      </c>
      <c r="AX227" s="2" t="str">
        <f ca="1">IFERROR(__xludf.DUMMYFUNCTION("""COMPUTED_VALUE"""),"")</f>
        <v/>
      </c>
      <c r="AY227" s="2" t="str">
        <f ca="1">IFERROR(__xludf.DUMMYFUNCTION("""COMPUTED_VALUE"""),"")</f>
        <v/>
      </c>
      <c r="AZ227" s="2" t="str">
        <f ca="1">IFERROR(__xludf.DUMMYFUNCTION("""COMPUTED_VALUE"""),"")</f>
        <v/>
      </c>
      <c r="BA227" s="2" t="str">
        <f ca="1">IFERROR(__xludf.DUMMYFUNCTION("""COMPUTED_VALUE"""),"")</f>
        <v/>
      </c>
      <c r="BB227" s="2" t="str">
        <f ca="1">IFERROR(__xludf.DUMMYFUNCTION("""COMPUTED_VALUE"""),"")</f>
        <v/>
      </c>
      <c r="BC227" s="2" t="str">
        <f ca="1">IFERROR(__xludf.DUMMYFUNCTION("""COMPUTED_VALUE"""),"")</f>
        <v/>
      </c>
      <c r="BD227" s="2" t="str">
        <f ca="1">IFERROR(__xludf.DUMMYFUNCTION("""COMPUTED_VALUE"""),"")</f>
        <v/>
      </c>
      <c r="BE227" s="2" t="str">
        <f ca="1">IFERROR(__xludf.DUMMYFUNCTION("""COMPUTED_VALUE"""),"")</f>
        <v/>
      </c>
      <c r="BF227" t="str">
        <f ca="1">IFERROR(__xludf.DUMMYFUNCTION("""COMPUTED_VALUE"""),"")</f>
        <v/>
      </c>
      <c r="BG227" t="str">
        <f ca="1">IFERROR(__xludf.DUMMYFUNCTION("""COMPUTED_VALUE"""),"")</f>
        <v/>
      </c>
      <c r="BH227" s="2">
        <f ca="1">IFERROR(__xludf.DUMMYFUNCTION("""COMPUTED_VALUE"""),-37.3259392)</f>
        <v>-37.325939200000001</v>
      </c>
      <c r="BI227" s="12">
        <f ca="1">IFERROR(__xludf.DUMMYFUNCTION("""COMPUTED_VALUE"""),175.4480743)</f>
        <v>175.4480743</v>
      </c>
      <c r="BJ227" s="9">
        <f ca="1">IFERROR(__xludf.DUMMYFUNCTION("""COMPUTED_VALUE"""),43424)</f>
        <v>43424</v>
      </c>
      <c r="BK227" s="4">
        <f ca="1">IFERROR(__xludf.DUMMYFUNCTION("""COMPUTED_VALUE"""),0.958518518516939)</f>
        <v>0.95851851851693903</v>
      </c>
    </row>
    <row r="228" spans="1:63" ht="12.5" x14ac:dyDescent="0.25">
      <c r="A228" s="7" t="str">
        <f ca="1">IFERROR(__xludf.DUMMYFUNCTION("""COMPUTED_VALUE"""),"")</f>
        <v/>
      </c>
      <c r="B228" s="8" t="str">
        <f ca="1">IFERROR(__xludf.DUMMYFUNCTION("""COMPUTED_VALUE"""),"Waikato")</f>
        <v>Waikato</v>
      </c>
      <c r="C228" s="2">
        <f ca="1">IFERROR(__xludf.DUMMYFUNCTION("""COMPUTED_VALUE"""),23)</f>
        <v>23</v>
      </c>
      <c r="D228" s="9" t="str">
        <f ca="1">IFERROR(__xludf.DUMMYFUNCTION("""COMPUTED_VALUE"""),"")</f>
        <v/>
      </c>
      <c r="E228" s="4" t="str">
        <f ca="1">IFERROR(__xludf.DUMMYFUNCTION("""COMPUTED_VALUE"""),"")</f>
        <v/>
      </c>
      <c r="F228" s="2" t="str">
        <f ca="1">IFERROR(__xludf.DUMMYFUNCTION("""COMPUTED_VALUE"""),"")</f>
        <v/>
      </c>
      <c r="G228" s="2" t="str">
        <f ca="1">IFERROR(__xludf.DUMMYFUNCTION("""COMPUTED_VALUE"""),"GPS: I converted data downloaded from ARGOS using Pinpoint software")</f>
        <v>GPS: I converted data downloaded from ARGOS using Pinpoint software</v>
      </c>
      <c r="H228" s="2" t="str">
        <f ca="1">IFERROR(__xludf.DUMMYFUNCTION("""COMPUTED_VALUE"""),"3D")</f>
        <v>3D</v>
      </c>
      <c r="I228" s="2" t="str">
        <f ca="1">IFERROR(__xludf.DUMMYFUNCTION("""COMPUTED_VALUE"""),"")</f>
        <v/>
      </c>
      <c r="J228" s="2" t="str">
        <f ca="1">IFERROR(__xludf.DUMMYFUNCTION("""COMPUTED_VALUE"""),"")</f>
        <v/>
      </c>
      <c r="K228" s="2" t="str">
        <f ca="1">IFERROR(__xludf.DUMMYFUNCTION("""COMPUTED_VALUE"""),"")</f>
        <v/>
      </c>
      <c r="L228" s="2" t="str">
        <f ca="1">IFERROR(__xludf.DUMMYFUNCTION("""COMPUTED_VALUE"""),"")</f>
        <v/>
      </c>
      <c r="M228" s="5" t="str">
        <f ca="1">IFERROR(__xludf.DUMMYFUNCTION("""COMPUTED_VALUE"""),"")</f>
        <v/>
      </c>
      <c r="N228" s="5" t="str">
        <f ca="1">IFERROR(__xludf.DUMMYFUNCTION("""COMPUTED_VALUE"""),"")</f>
        <v/>
      </c>
      <c r="O228" s="2" t="str">
        <f ca="1">IFERROR(__xludf.DUMMYFUNCTION("""COMPUTED_VALUE"""),"")</f>
        <v/>
      </c>
      <c r="P228" s="2" t="str">
        <f ca="1">IFERROR(__xludf.DUMMYFUNCTION("""COMPUTED_VALUE"""),"")</f>
        <v/>
      </c>
      <c r="Q228" s="2" t="str">
        <f ca="1">IFERROR(__xludf.DUMMYFUNCTION("""COMPUTED_VALUE"""),"")</f>
        <v/>
      </c>
      <c r="R228" s="2" t="str">
        <f ca="1">IFERROR(__xludf.DUMMYFUNCTION("""COMPUTED_VALUE"""),"")</f>
        <v/>
      </c>
      <c r="S228" s="2" t="str">
        <f ca="1">IFERROR(__xludf.DUMMYFUNCTION("""COMPUTED_VALUE"""),"")</f>
        <v/>
      </c>
      <c r="T228" s="2" t="str">
        <f ca="1">IFERROR(__xludf.DUMMYFUNCTION("""COMPUTED_VALUE"""),"")</f>
        <v/>
      </c>
      <c r="U228" s="2" t="str">
        <f ca="1">IFERROR(__xludf.DUMMYFUNCTION("""COMPUTED_VALUE"""),"")</f>
        <v/>
      </c>
      <c r="V228" s="2" t="str">
        <f ca="1">IFERROR(__xludf.DUMMYFUNCTION("""COMPUTED_VALUE"""),"")</f>
        <v/>
      </c>
      <c r="W228" s="2" t="str">
        <f ca="1">IFERROR(__xludf.DUMMYFUNCTION("""COMPUTED_VALUE"""),"")</f>
        <v/>
      </c>
      <c r="X228" s="2" t="str">
        <f ca="1">IFERROR(__xludf.DUMMYFUNCTION("""COMPUTED_VALUE"""),"")</f>
        <v/>
      </c>
      <c r="Y228" s="2" t="str">
        <f ca="1">IFERROR(__xludf.DUMMYFUNCTION("""COMPUTED_VALUE"""),"")</f>
        <v/>
      </c>
      <c r="Z228" s="2" t="str">
        <f ca="1">IFERROR(__xludf.DUMMYFUNCTION("""COMPUTED_VALUE"""),"")</f>
        <v/>
      </c>
      <c r="AA228" s="2" t="str">
        <f ca="1">IFERROR(__xludf.DUMMYFUNCTION("""COMPUTED_VALUE"""),"")</f>
        <v/>
      </c>
      <c r="AB228" s="2" t="str">
        <f ca="1">IFERROR(__xludf.DUMMYFUNCTION("""COMPUTED_VALUE"""),"")</f>
        <v/>
      </c>
      <c r="AC228" s="2" t="str">
        <f ca="1">IFERROR(__xludf.DUMMYFUNCTION("""COMPUTED_VALUE"""),"")</f>
        <v/>
      </c>
      <c r="AD228" s="2" t="str">
        <f ca="1">IFERROR(__xludf.DUMMYFUNCTION("""COMPUTED_VALUE"""),"")</f>
        <v/>
      </c>
      <c r="AE228" s="2" t="str">
        <f ca="1">IFERROR(__xludf.DUMMYFUNCTION("""COMPUTED_VALUE"""),"")</f>
        <v/>
      </c>
      <c r="AF228" s="2" t="str">
        <f ca="1">IFERROR(__xludf.DUMMYFUNCTION("""COMPUTED_VALUE"""),"")</f>
        <v/>
      </c>
      <c r="AG228" s="2" t="str">
        <f ca="1">IFERROR(__xludf.DUMMYFUNCTION("""COMPUTED_VALUE"""),"")</f>
        <v/>
      </c>
      <c r="AH228" s="2" t="str">
        <f ca="1">IFERROR(__xludf.DUMMYFUNCTION("""COMPUTED_VALUE"""),"")</f>
        <v/>
      </c>
      <c r="AI228" s="2" t="str">
        <f ca="1">IFERROR(__xludf.DUMMYFUNCTION("""COMPUTED_VALUE"""),"")</f>
        <v/>
      </c>
      <c r="AJ228" s="2" t="str">
        <f ca="1">IFERROR(__xludf.DUMMYFUNCTION("""COMPUTED_VALUE"""),"")</f>
        <v/>
      </c>
      <c r="AK228" s="2" t="str">
        <f ca="1">IFERROR(__xludf.DUMMYFUNCTION("""COMPUTED_VALUE"""),"")</f>
        <v/>
      </c>
      <c r="AL228" s="2" t="str">
        <f ca="1">IFERROR(__xludf.DUMMYFUNCTION("""COMPUTED_VALUE"""),"")</f>
        <v/>
      </c>
      <c r="AM228" s="2" t="str">
        <f ca="1">IFERROR(__xludf.DUMMYFUNCTION("""COMPUTED_VALUE"""),"")</f>
        <v/>
      </c>
      <c r="AN228" s="2" t="str">
        <f ca="1">IFERROR(__xludf.DUMMYFUNCTION("""COMPUTED_VALUE"""),"")</f>
        <v/>
      </c>
      <c r="AO228" s="2" t="str">
        <f ca="1">IFERROR(__xludf.DUMMYFUNCTION("""COMPUTED_VALUE"""),"")</f>
        <v/>
      </c>
      <c r="AP228" s="2" t="str">
        <f ca="1">IFERROR(__xludf.DUMMYFUNCTION("""COMPUTED_VALUE"""),"")</f>
        <v/>
      </c>
      <c r="AQ228" s="2" t="str">
        <f ca="1">IFERROR(__xludf.DUMMYFUNCTION("""COMPUTED_VALUE"""),"")</f>
        <v/>
      </c>
      <c r="AR228" s="2" t="str">
        <f ca="1">IFERROR(__xludf.DUMMYFUNCTION("""COMPUTED_VALUE"""),"")</f>
        <v/>
      </c>
      <c r="AS228" s="2" t="str">
        <f ca="1">IFERROR(__xludf.DUMMYFUNCTION("""COMPUTED_VALUE"""),"")</f>
        <v/>
      </c>
      <c r="AT228" s="2" t="str">
        <f ca="1">IFERROR(__xludf.DUMMYFUNCTION("""COMPUTED_VALUE"""),"")</f>
        <v/>
      </c>
      <c r="AU228" s="2" t="str">
        <f ca="1">IFERROR(__xludf.DUMMYFUNCTION("""COMPUTED_VALUE"""),"")</f>
        <v/>
      </c>
      <c r="AV228" s="2" t="str">
        <f ca="1">IFERROR(__xludf.DUMMYFUNCTION("""COMPUTED_VALUE"""),"")</f>
        <v/>
      </c>
      <c r="AW228" s="2" t="str">
        <f ca="1">IFERROR(__xludf.DUMMYFUNCTION("""COMPUTED_VALUE"""),"")</f>
        <v/>
      </c>
      <c r="AX228" s="2" t="str">
        <f ca="1">IFERROR(__xludf.DUMMYFUNCTION("""COMPUTED_VALUE"""),"")</f>
        <v/>
      </c>
      <c r="AY228" s="2" t="str">
        <f ca="1">IFERROR(__xludf.DUMMYFUNCTION("""COMPUTED_VALUE"""),"")</f>
        <v/>
      </c>
      <c r="AZ228" s="2" t="str">
        <f ca="1">IFERROR(__xludf.DUMMYFUNCTION("""COMPUTED_VALUE"""),"")</f>
        <v/>
      </c>
      <c r="BA228" s="2" t="str">
        <f ca="1">IFERROR(__xludf.DUMMYFUNCTION("""COMPUTED_VALUE"""),"")</f>
        <v/>
      </c>
      <c r="BB228" s="2" t="str">
        <f ca="1">IFERROR(__xludf.DUMMYFUNCTION("""COMPUTED_VALUE"""),"")</f>
        <v/>
      </c>
      <c r="BC228" s="2" t="str">
        <f ca="1">IFERROR(__xludf.DUMMYFUNCTION("""COMPUTED_VALUE"""),"")</f>
        <v/>
      </c>
      <c r="BD228" s="2" t="str">
        <f ca="1">IFERROR(__xludf.DUMMYFUNCTION("""COMPUTED_VALUE"""),"")</f>
        <v/>
      </c>
      <c r="BE228" s="2" t="str">
        <f ca="1">IFERROR(__xludf.DUMMYFUNCTION("""COMPUTED_VALUE"""),"")</f>
        <v/>
      </c>
      <c r="BF228" t="str">
        <f ca="1">IFERROR(__xludf.DUMMYFUNCTION("""COMPUTED_VALUE"""),"")</f>
        <v/>
      </c>
      <c r="BG228" t="str">
        <f ca="1">IFERROR(__xludf.DUMMYFUNCTION("""COMPUTED_VALUE"""),"")</f>
        <v/>
      </c>
      <c r="BH228" s="2">
        <f ca="1">IFERROR(__xludf.DUMMYFUNCTION("""COMPUTED_VALUE"""),-37.3233795)</f>
        <v>-37.323379500000001</v>
      </c>
      <c r="BI228" s="13">
        <f ca="1">IFERROR(__xludf.DUMMYFUNCTION("""COMPUTED_VALUE"""),175.4533234)</f>
        <v>175.45332339999999</v>
      </c>
      <c r="BJ228" s="9">
        <f ca="1">IFERROR(__xludf.DUMMYFUNCTION("""COMPUTED_VALUE"""),43426)</f>
        <v>43426</v>
      </c>
      <c r="BK228" s="4">
        <f ca="1">IFERROR(__xludf.DUMMYFUNCTION("""COMPUTED_VALUE"""),0.457777777777664)</f>
        <v>0.45777777777766399</v>
      </c>
    </row>
    <row r="229" spans="1:63" ht="12.5" x14ac:dyDescent="0.25">
      <c r="A229" s="7" t="str">
        <f ca="1">IFERROR(__xludf.DUMMYFUNCTION("""COMPUTED_VALUE"""),"")</f>
        <v/>
      </c>
      <c r="B229" s="8" t="str">
        <f ca="1">IFERROR(__xludf.DUMMYFUNCTION("""COMPUTED_VALUE"""),"Waikato")</f>
        <v>Waikato</v>
      </c>
      <c r="C229" s="2">
        <f ca="1">IFERROR(__xludf.DUMMYFUNCTION("""COMPUTED_VALUE"""),23)</f>
        <v>23</v>
      </c>
      <c r="D229" s="9" t="str">
        <f ca="1">IFERROR(__xludf.DUMMYFUNCTION("""COMPUTED_VALUE"""),"")</f>
        <v/>
      </c>
      <c r="E229" s="4" t="str">
        <f ca="1">IFERROR(__xludf.DUMMYFUNCTION("""COMPUTED_VALUE"""),"")</f>
        <v/>
      </c>
      <c r="F229" s="2" t="str">
        <f ca="1">IFERROR(__xludf.DUMMYFUNCTION("""COMPUTED_VALUE"""),"")</f>
        <v/>
      </c>
      <c r="G229" s="2" t="str">
        <f ca="1">IFERROR(__xludf.DUMMYFUNCTION("""COMPUTED_VALUE"""),"GPS: I converted data downloaded from ARGOS using Pinpoint software")</f>
        <v>GPS: I converted data downloaded from ARGOS using Pinpoint software</v>
      </c>
      <c r="H229" s="2" t="str">
        <f ca="1">IFERROR(__xludf.DUMMYFUNCTION("""COMPUTED_VALUE"""),"3D")</f>
        <v>3D</v>
      </c>
      <c r="I229" s="2" t="str">
        <f ca="1">IFERROR(__xludf.DUMMYFUNCTION("""COMPUTED_VALUE"""),"")</f>
        <v/>
      </c>
      <c r="J229" s="2" t="str">
        <f ca="1">IFERROR(__xludf.DUMMYFUNCTION("""COMPUTED_VALUE"""),"")</f>
        <v/>
      </c>
      <c r="K229" s="2" t="str">
        <f ca="1">IFERROR(__xludf.DUMMYFUNCTION("""COMPUTED_VALUE"""),"")</f>
        <v/>
      </c>
      <c r="L229" s="2" t="str">
        <f ca="1">IFERROR(__xludf.DUMMYFUNCTION("""COMPUTED_VALUE"""),"")</f>
        <v/>
      </c>
      <c r="M229" s="5" t="str">
        <f ca="1">IFERROR(__xludf.DUMMYFUNCTION("""COMPUTED_VALUE"""),"")</f>
        <v/>
      </c>
      <c r="N229" s="5" t="str">
        <f ca="1">IFERROR(__xludf.DUMMYFUNCTION("""COMPUTED_VALUE"""),"")</f>
        <v/>
      </c>
      <c r="O229" s="2" t="str">
        <f ca="1">IFERROR(__xludf.DUMMYFUNCTION("""COMPUTED_VALUE"""),"")</f>
        <v/>
      </c>
      <c r="P229" s="2" t="str">
        <f ca="1">IFERROR(__xludf.DUMMYFUNCTION("""COMPUTED_VALUE"""),"")</f>
        <v/>
      </c>
      <c r="Q229" s="2" t="str">
        <f ca="1">IFERROR(__xludf.DUMMYFUNCTION("""COMPUTED_VALUE"""),"")</f>
        <v/>
      </c>
      <c r="R229" s="2" t="str">
        <f ca="1">IFERROR(__xludf.DUMMYFUNCTION("""COMPUTED_VALUE"""),"")</f>
        <v/>
      </c>
      <c r="S229" s="2" t="str">
        <f ca="1">IFERROR(__xludf.DUMMYFUNCTION("""COMPUTED_VALUE"""),"")</f>
        <v/>
      </c>
      <c r="T229" s="2" t="str">
        <f ca="1">IFERROR(__xludf.DUMMYFUNCTION("""COMPUTED_VALUE"""),"")</f>
        <v/>
      </c>
      <c r="U229" s="2" t="str">
        <f ca="1">IFERROR(__xludf.DUMMYFUNCTION("""COMPUTED_VALUE"""),"")</f>
        <v/>
      </c>
      <c r="V229" s="2" t="str">
        <f ca="1">IFERROR(__xludf.DUMMYFUNCTION("""COMPUTED_VALUE"""),"")</f>
        <v/>
      </c>
      <c r="W229" s="2" t="str">
        <f ca="1">IFERROR(__xludf.DUMMYFUNCTION("""COMPUTED_VALUE"""),"")</f>
        <v/>
      </c>
      <c r="X229" s="2" t="str">
        <f ca="1">IFERROR(__xludf.DUMMYFUNCTION("""COMPUTED_VALUE"""),"")</f>
        <v/>
      </c>
      <c r="Y229" s="2" t="str">
        <f ca="1">IFERROR(__xludf.DUMMYFUNCTION("""COMPUTED_VALUE"""),"")</f>
        <v/>
      </c>
      <c r="Z229" s="2" t="str">
        <f ca="1">IFERROR(__xludf.DUMMYFUNCTION("""COMPUTED_VALUE"""),"")</f>
        <v/>
      </c>
      <c r="AA229" s="2" t="str">
        <f ca="1">IFERROR(__xludf.DUMMYFUNCTION("""COMPUTED_VALUE"""),"")</f>
        <v/>
      </c>
      <c r="AB229" s="2" t="str">
        <f ca="1">IFERROR(__xludf.DUMMYFUNCTION("""COMPUTED_VALUE"""),"")</f>
        <v/>
      </c>
      <c r="AC229" s="2" t="str">
        <f ca="1">IFERROR(__xludf.DUMMYFUNCTION("""COMPUTED_VALUE"""),"")</f>
        <v/>
      </c>
      <c r="AD229" s="2" t="str">
        <f ca="1">IFERROR(__xludf.DUMMYFUNCTION("""COMPUTED_VALUE"""),"")</f>
        <v/>
      </c>
      <c r="AE229" s="2" t="str">
        <f ca="1">IFERROR(__xludf.DUMMYFUNCTION("""COMPUTED_VALUE"""),"")</f>
        <v/>
      </c>
      <c r="AF229" s="2" t="str">
        <f ca="1">IFERROR(__xludf.DUMMYFUNCTION("""COMPUTED_VALUE"""),"")</f>
        <v/>
      </c>
      <c r="AG229" s="2" t="str">
        <f ca="1">IFERROR(__xludf.DUMMYFUNCTION("""COMPUTED_VALUE"""),"")</f>
        <v/>
      </c>
      <c r="AH229" s="2" t="str">
        <f ca="1">IFERROR(__xludf.DUMMYFUNCTION("""COMPUTED_VALUE"""),"")</f>
        <v/>
      </c>
      <c r="AI229" s="2" t="str">
        <f ca="1">IFERROR(__xludf.DUMMYFUNCTION("""COMPUTED_VALUE"""),"")</f>
        <v/>
      </c>
      <c r="AJ229" s="2" t="str">
        <f ca="1">IFERROR(__xludf.DUMMYFUNCTION("""COMPUTED_VALUE"""),"")</f>
        <v/>
      </c>
      <c r="AK229" s="2" t="str">
        <f ca="1">IFERROR(__xludf.DUMMYFUNCTION("""COMPUTED_VALUE"""),"")</f>
        <v/>
      </c>
      <c r="AL229" s="2" t="str">
        <f ca="1">IFERROR(__xludf.DUMMYFUNCTION("""COMPUTED_VALUE"""),"")</f>
        <v/>
      </c>
      <c r="AM229" s="2" t="str">
        <f ca="1">IFERROR(__xludf.DUMMYFUNCTION("""COMPUTED_VALUE"""),"")</f>
        <v/>
      </c>
      <c r="AN229" s="2" t="str">
        <f ca="1">IFERROR(__xludf.DUMMYFUNCTION("""COMPUTED_VALUE"""),"")</f>
        <v/>
      </c>
      <c r="AO229" s="2" t="str">
        <f ca="1">IFERROR(__xludf.DUMMYFUNCTION("""COMPUTED_VALUE"""),"")</f>
        <v/>
      </c>
      <c r="AP229" s="2" t="str">
        <f ca="1">IFERROR(__xludf.DUMMYFUNCTION("""COMPUTED_VALUE"""),"")</f>
        <v/>
      </c>
      <c r="AQ229" s="2" t="str">
        <f ca="1">IFERROR(__xludf.DUMMYFUNCTION("""COMPUTED_VALUE"""),"")</f>
        <v/>
      </c>
      <c r="AR229" s="2" t="str">
        <f ca="1">IFERROR(__xludf.DUMMYFUNCTION("""COMPUTED_VALUE"""),"")</f>
        <v/>
      </c>
      <c r="AS229" s="2" t="str">
        <f ca="1">IFERROR(__xludf.DUMMYFUNCTION("""COMPUTED_VALUE"""),"")</f>
        <v/>
      </c>
      <c r="AT229" s="2" t="str">
        <f ca="1">IFERROR(__xludf.DUMMYFUNCTION("""COMPUTED_VALUE"""),"")</f>
        <v/>
      </c>
      <c r="AU229" s="2" t="str">
        <f ca="1">IFERROR(__xludf.DUMMYFUNCTION("""COMPUTED_VALUE"""),"")</f>
        <v/>
      </c>
      <c r="AV229" s="2" t="str">
        <f ca="1">IFERROR(__xludf.DUMMYFUNCTION("""COMPUTED_VALUE"""),"")</f>
        <v/>
      </c>
      <c r="AW229" s="2" t="str">
        <f ca="1">IFERROR(__xludf.DUMMYFUNCTION("""COMPUTED_VALUE"""),"")</f>
        <v/>
      </c>
      <c r="AX229" s="2" t="str">
        <f ca="1">IFERROR(__xludf.DUMMYFUNCTION("""COMPUTED_VALUE"""),"")</f>
        <v/>
      </c>
      <c r="AY229" s="2" t="str">
        <f ca="1">IFERROR(__xludf.DUMMYFUNCTION("""COMPUTED_VALUE"""),"")</f>
        <v/>
      </c>
      <c r="AZ229" s="2" t="str">
        <f ca="1">IFERROR(__xludf.DUMMYFUNCTION("""COMPUTED_VALUE"""),"")</f>
        <v/>
      </c>
      <c r="BA229" s="2" t="str">
        <f ca="1">IFERROR(__xludf.DUMMYFUNCTION("""COMPUTED_VALUE"""),"")</f>
        <v/>
      </c>
      <c r="BB229" s="2" t="str">
        <f ca="1">IFERROR(__xludf.DUMMYFUNCTION("""COMPUTED_VALUE"""),"")</f>
        <v/>
      </c>
      <c r="BC229" s="2" t="str">
        <f ca="1">IFERROR(__xludf.DUMMYFUNCTION("""COMPUTED_VALUE"""),"")</f>
        <v/>
      </c>
      <c r="BD229" s="2" t="str">
        <f ca="1">IFERROR(__xludf.DUMMYFUNCTION("""COMPUTED_VALUE"""),"")</f>
        <v/>
      </c>
      <c r="BE229" s="2" t="str">
        <f ca="1">IFERROR(__xludf.DUMMYFUNCTION("""COMPUTED_VALUE"""),"")</f>
        <v/>
      </c>
      <c r="BF229" t="str">
        <f ca="1">IFERROR(__xludf.DUMMYFUNCTION("""COMPUTED_VALUE"""),"")</f>
        <v/>
      </c>
      <c r="BG229" t="str">
        <f ca="1">IFERROR(__xludf.DUMMYFUNCTION("""COMPUTED_VALUE"""),"")</f>
        <v/>
      </c>
      <c r="BH229" s="2">
        <f ca="1">IFERROR(__xludf.DUMMYFUNCTION("""COMPUTED_VALUE"""),-37.3224831)</f>
        <v>-37.322483099999999</v>
      </c>
      <c r="BI229" s="12">
        <f ca="1">IFERROR(__xludf.DUMMYFUNCTION("""COMPUTED_VALUE"""),175.4459839)</f>
        <v>175.44598389999999</v>
      </c>
      <c r="BJ229" s="9">
        <f ca="1">IFERROR(__xludf.DUMMYFUNCTION("""COMPUTED_VALUE"""),43426)</f>
        <v>43426</v>
      </c>
      <c r="BK229" s="4">
        <f ca="1">IFERROR(__xludf.DUMMYFUNCTION("""COMPUTED_VALUE"""),0.958518518516939)</f>
        <v>0.95851851851693903</v>
      </c>
    </row>
    <row r="230" spans="1:63" ht="12.5" x14ac:dyDescent="0.25">
      <c r="A230" s="7" t="str">
        <f ca="1">IFERROR(__xludf.DUMMYFUNCTION("""COMPUTED_VALUE"""),"")</f>
        <v/>
      </c>
      <c r="B230" s="8" t="str">
        <f ca="1">IFERROR(__xludf.DUMMYFUNCTION("""COMPUTED_VALUE"""),"Waikato")</f>
        <v>Waikato</v>
      </c>
      <c r="C230" s="2">
        <f ca="1">IFERROR(__xludf.DUMMYFUNCTION("""COMPUTED_VALUE"""),23)</f>
        <v>23</v>
      </c>
      <c r="D230" s="9" t="str">
        <f ca="1">IFERROR(__xludf.DUMMYFUNCTION("""COMPUTED_VALUE"""),"")</f>
        <v/>
      </c>
      <c r="E230" s="4" t="str">
        <f ca="1">IFERROR(__xludf.DUMMYFUNCTION("""COMPUTED_VALUE"""),"")</f>
        <v/>
      </c>
      <c r="F230" s="2" t="str">
        <f ca="1">IFERROR(__xludf.DUMMYFUNCTION("""COMPUTED_VALUE"""),"")</f>
        <v/>
      </c>
      <c r="G230" s="2" t="str">
        <f ca="1">IFERROR(__xludf.DUMMYFUNCTION("""COMPUTED_VALUE"""),"GPS: I converted data downloaded from ARGOS using Pinpoint software")</f>
        <v>GPS: I converted data downloaded from ARGOS using Pinpoint software</v>
      </c>
      <c r="H230" s="2" t="str">
        <f ca="1">IFERROR(__xludf.DUMMYFUNCTION("""COMPUTED_VALUE"""),"3D")</f>
        <v>3D</v>
      </c>
      <c r="I230" s="2" t="str">
        <f ca="1">IFERROR(__xludf.DUMMYFUNCTION("""COMPUTED_VALUE"""),"")</f>
        <v/>
      </c>
      <c r="J230" s="2" t="str">
        <f ca="1">IFERROR(__xludf.DUMMYFUNCTION("""COMPUTED_VALUE"""),"")</f>
        <v/>
      </c>
      <c r="K230" s="2" t="str">
        <f ca="1">IFERROR(__xludf.DUMMYFUNCTION("""COMPUTED_VALUE"""),"")</f>
        <v/>
      </c>
      <c r="L230" s="2" t="str">
        <f ca="1">IFERROR(__xludf.DUMMYFUNCTION("""COMPUTED_VALUE"""),"")</f>
        <v/>
      </c>
      <c r="M230" s="5" t="str">
        <f ca="1">IFERROR(__xludf.DUMMYFUNCTION("""COMPUTED_VALUE"""),"")</f>
        <v/>
      </c>
      <c r="N230" s="5" t="str">
        <f ca="1">IFERROR(__xludf.DUMMYFUNCTION("""COMPUTED_VALUE"""),"")</f>
        <v/>
      </c>
      <c r="O230" s="2" t="str">
        <f ca="1">IFERROR(__xludf.DUMMYFUNCTION("""COMPUTED_VALUE"""),"")</f>
        <v/>
      </c>
      <c r="P230" s="2" t="str">
        <f ca="1">IFERROR(__xludf.DUMMYFUNCTION("""COMPUTED_VALUE"""),"")</f>
        <v/>
      </c>
      <c r="Q230" s="2" t="str">
        <f ca="1">IFERROR(__xludf.DUMMYFUNCTION("""COMPUTED_VALUE"""),"")</f>
        <v/>
      </c>
      <c r="R230" s="2" t="str">
        <f ca="1">IFERROR(__xludf.DUMMYFUNCTION("""COMPUTED_VALUE"""),"")</f>
        <v/>
      </c>
      <c r="S230" s="2" t="str">
        <f ca="1">IFERROR(__xludf.DUMMYFUNCTION("""COMPUTED_VALUE"""),"")</f>
        <v/>
      </c>
      <c r="T230" s="2" t="str">
        <f ca="1">IFERROR(__xludf.DUMMYFUNCTION("""COMPUTED_VALUE"""),"")</f>
        <v/>
      </c>
      <c r="U230" s="2" t="str">
        <f ca="1">IFERROR(__xludf.DUMMYFUNCTION("""COMPUTED_VALUE"""),"")</f>
        <v/>
      </c>
      <c r="V230" s="2" t="str">
        <f ca="1">IFERROR(__xludf.DUMMYFUNCTION("""COMPUTED_VALUE"""),"")</f>
        <v/>
      </c>
      <c r="W230" s="2" t="str">
        <f ca="1">IFERROR(__xludf.DUMMYFUNCTION("""COMPUTED_VALUE"""),"")</f>
        <v/>
      </c>
      <c r="X230" s="2" t="str">
        <f ca="1">IFERROR(__xludf.DUMMYFUNCTION("""COMPUTED_VALUE"""),"")</f>
        <v/>
      </c>
      <c r="Y230" s="2" t="str">
        <f ca="1">IFERROR(__xludf.DUMMYFUNCTION("""COMPUTED_VALUE"""),"")</f>
        <v/>
      </c>
      <c r="Z230" s="2" t="str">
        <f ca="1">IFERROR(__xludf.DUMMYFUNCTION("""COMPUTED_VALUE"""),"")</f>
        <v/>
      </c>
      <c r="AA230" s="2" t="str">
        <f ca="1">IFERROR(__xludf.DUMMYFUNCTION("""COMPUTED_VALUE"""),"")</f>
        <v/>
      </c>
      <c r="AB230" s="2" t="str">
        <f ca="1">IFERROR(__xludf.DUMMYFUNCTION("""COMPUTED_VALUE"""),"")</f>
        <v/>
      </c>
      <c r="AC230" s="2" t="str">
        <f ca="1">IFERROR(__xludf.DUMMYFUNCTION("""COMPUTED_VALUE"""),"")</f>
        <v/>
      </c>
      <c r="AD230" s="2" t="str">
        <f ca="1">IFERROR(__xludf.DUMMYFUNCTION("""COMPUTED_VALUE"""),"")</f>
        <v/>
      </c>
      <c r="AE230" s="2" t="str">
        <f ca="1">IFERROR(__xludf.DUMMYFUNCTION("""COMPUTED_VALUE"""),"")</f>
        <v/>
      </c>
      <c r="AF230" s="2" t="str">
        <f ca="1">IFERROR(__xludf.DUMMYFUNCTION("""COMPUTED_VALUE"""),"")</f>
        <v/>
      </c>
      <c r="AG230" s="2" t="str">
        <f ca="1">IFERROR(__xludf.DUMMYFUNCTION("""COMPUTED_VALUE"""),"")</f>
        <v/>
      </c>
      <c r="AH230" s="2" t="str">
        <f ca="1">IFERROR(__xludf.DUMMYFUNCTION("""COMPUTED_VALUE"""),"")</f>
        <v/>
      </c>
      <c r="AI230" s="2" t="str">
        <f ca="1">IFERROR(__xludf.DUMMYFUNCTION("""COMPUTED_VALUE"""),"")</f>
        <v/>
      </c>
      <c r="AJ230" s="2" t="str">
        <f ca="1">IFERROR(__xludf.DUMMYFUNCTION("""COMPUTED_VALUE"""),"")</f>
        <v/>
      </c>
      <c r="AK230" s="2" t="str">
        <f ca="1">IFERROR(__xludf.DUMMYFUNCTION("""COMPUTED_VALUE"""),"")</f>
        <v/>
      </c>
      <c r="AL230" s="2" t="str">
        <f ca="1">IFERROR(__xludf.DUMMYFUNCTION("""COMPUTED_VALUE"""),"")</f>
        <v/>
      </c>
      <c r="AM230" s="2" t="str">
        <f ca="1">IFERROR(__xludf.DUMMYFUNCTION("""COMPUTED_VALUE"""),"")</f>
        <v/>
      </c>
      <c r="AN230" s="2" t="str">
        <f ca="1">IFERROR(__xludf.DUMMYFUNCTION("""COMPUTED_VALUE"""),"")</f>
        <v/>
      </c>
      <c r="AO230" s="2" t="str">
        <f ca="1">IFERROR(__xludf.DUMMYFUNCTION("""COMPUTED_VALUE"""),"")</f>
        <v/>
      </c>
      <c r="AP230" s="2" t="str">
        <f ca="1">IFERROR(__xludf.DUMMYFUNCTION("""COMPUTED_VALUE"""),"")</f>
        <v/>
      </c>
      <c r="AQ230" s="2" t="str">
        <f ca="1">IFERROR(__xludf.DUMMYFUNCTION("""COMPUTED_VALUE"""),"")</f>
        <v/>
      </c>
      <c r="AR230" s="2" t="str">
        <f ca="1">IFERROR(__xludf.DUMMYFUNCTION("""COMPUTED_VALUE"""),"")</f>
        <v/>
      </c>
      <c r="AS230" s="2" t="str">
        <f ca="1">IFERROR(__xludf.DUMMYFUNCTION("""COMPUTED_VALUE"""),"")</f>
        <v/>
      </c>
      <c r="AT230" s="2" t="str">
        <f ca="1">IFERROR(__xludf.DUMMYFUNCTION("""COMPUTED_VALUE"""),"")</f>
        <v/>
      </c>
      <c r="AU230" s="2" t="str">
        <f ca="1">IFERROR(__xludf.DUMMYFUNCTION("""COMPUTED_VALUE"""),"")</f>
        <v/>
      </c>
      <c r="AV230" s="2" t="str">
        <f ca="1">IFERROR(__xludf.DUMMYFUNCTION("""COMPUTED_VALUE"""),"")</f>
        <v/>
      </c>
      <c r="AW230" s="2" t="str">
        <f ca="1">IFERROR(__xludf.DUMMYFUNCTION("""COMPUTED_VALUE"""),"")</f>
        <v/>
      </c>
      <c r="AX230" s="2" t="str">
        <f ca="1">IFERROR(__xludf.DUMMYFUNCTION("""COMPUTED_VALUE"""),"")</f>
        <v/>
      </c>
      <c r="AY230" s="2" t="str">
        <f ca="1">IFERROR(__xludf.DUMMYFUNCTION("""COMPUTED_VALUE"""),"")</f>
        <v/>
      </c>
      <c r="AZ230" s="2" t="str">
        <f ca="1">IFERROR(__xludf.DUMMYFUNCTION("""COMPUTED_VALUE"""),"")</f>
        <v/>
      </c>
      <c r="BA230" s="2" t="str">
        <f ca="1">IFERROR(__xludf.DUMMYFUNCTION("""COMPUTED_VALUE"""),"")</f>
        <v/>
      </c>
      <c r="BB230" s="2" t="str">
        <f ca="1">IFERROR(__xludf.DUMMYFUNCTION("""COMPUTED_VALUE"""),"")</f>
        <v/>
      </c>
      <c r="BC230" s="2" t="str">
        <f ca="1">IFERROR(__xludf.DUMMYFUNCTION("""COMPUTED_VALUE"""),"")</f>
        <v/>
      </c>
      <c r="BD230" s="2" t="str">
        <f ca="1">IFERROR(__xludf.DUMMYFUNCTION("""COMPUTED_VALUE"""),"")</f>
        <v/>
      </c>
      <c r="BE230" s="2" t="str">
        <f ca="1">IFERROR(__xludf.DUMMYFUNCTION("""COMPUTED_VALUE"""),"")</f>
        <v/>
      </c>
      <c r="BF230" t="str">
        <f ca="1">IFERROR(__xludf.DUMMYFUNCTION("""COMPUTED_VALUE"""),"")</f>
        <v/>
      </c>
      <c r="BG230" t="str">
        <f ca="1">IFERROR(__xludf.DUMMYFUNCTION("""COMPUTED_VALUE"""),"")</f>
        <v/>
      </c>
      <c r="BH230" s="2">
        <f ca="1">IFERROR(__xludf.DUMMYFUNCTION("""COMPUTED_VALUE"""),-37.3201523)</f>
        <v>-37.320152299999997</v>
      </c>
      <c r="BI230" s="13">
        <f ca="1">IFERROR(__xludf.DUMMYFUNCTION("""COMPUTED_VALUE"""),175.4445953)</f>
        <v>175.4445953</v>
      </c>
      <c r="BJ230" s="9">
        <f ca="1">IFERROR(__xludf.DUMMYFUNCTION("""COMPUTED_VALUE"""),43427)</f>
        <v>43427</v>
      </c>
      <c r="BK230" s="4">
        <f ca="1">IFERROR(__xludf.DUMMYFUNCTION("""COMPUTED_VALUE"""),0.874074074072268)</f>
        <v>0.874074074072268</v>
      </c>
    </row>
    <row r="231" spans="1:63" ht="12.5" x14ac:dyDescent="0.25">
      <c r="A231" s="7" t="str">
        <f ca="1">IFERROR(__xludf.DUMMYFUNCTION("""COMPUTED_VALUE"""),"")</f>
        <v/>
      </c>
      <c r="B231" s="8" t="str">
        <f ca="1">IFERROR(__xludf.DUMMYFUNCTION("""COMPUTED_VALUE"""),"Waikato")</f>
        <v>Waikato</v>
      </c>
      <c r="C231" s="2">
        <f ca="1">IFERROR(__xludf.DUMMYFUNCTION("""COMPUTED_VALUE"""),23)</f>
        <v>23</v>
      </c>
      <c r="D231" s="9" t="str">
        <f ca="1">IFERROR(__xludf.DUMMYFUNCTION("""COMPUTED_VALUE"""),"")</f>
        <v/>
      </c>
      <c r="E231" s="4" t="str">
        <f ca="1">IFERROR(__xludf.DUMMYFUNCTION("""COMPUTED_VALUE"""),"")</f>
        <v/>
      </c>
      <c r="F231" s="2" t="str">
        <f ca="1">IFERROR(__xludf.DUMMYFUNCTION("""COMPUTED_VALUE"""),"")</f>
        <v/>
      </c>
      <c r="G231" s="2" t="str">
        <f ca="1">IFERROR(__xludf.DUMMYFUNCTION("""COMPUTED_VALUE"""),"GPS: I converted data downloaded from ARGOS using Pinpoint software")</f>
        <v>GPS: I converted data downloaded from ARGOS using Pinpoint software</v>
      </c>
      <c r="H231" s="2" t="str">
        <f ca="1">IFERROR(__xludf.DUMMYFUNCTION("""COMPUTED_VALUE"""),"3D")</f>
        <v>3D</v>
      </c>
      <c r="I231" s="2" t="str">
        <f ca="1">IFERROR(__xludf.DUMMYFUNCTION("""COMPUTED_VALUE"""),"")</f>
        <v/>
      </c>
      <c r="J231" s="2" t="str">
        <f ca="1">IFERROR(__xludf.DUMMYFUNCTION("""COMPUTED_VALUE"""),"")</f>
        <v/>
      </c>
      <c r="K231" s="2" t="str">
        <f ca="1">IFERROR(__xludf.DUMMYFUNCTION("""COMPUTED_VALUE"""),"")</f>
        <v/>
      </c>
      <c r="L231" s="2" t="str">
        <f ca="1">IFERROR(__xludf.DUMMYFUNCTION("""COMPUTED_VALUE"""),"")</f>
        <v/>
      </c>
      <c r="M231" s="5" t="str">
        <f ca="1">IFERROR(__xludf.DUMMYFUNCTION("""COMPUTED_VALUE"""),"")</f>
        <v/>
      </c>
      <c r="N231" s="5" t="str">
        <f ca="1">IFERROR(__xludf.DUMMYFUNCTION("""COMPUTED_VALUE"""),"")</f>
        <v/>
      </c>
      <c r="O231" s="2" t="str">
        <f ca="1">IFERROR(__xludf.DUMMYFUNCTION("""COMPUTED_VALUE"""),"")</f>
        <v/>
      </c>
      <c r="P231" s="2" t="str">
        <f ca="1">IFERROR(__xludf.DUMMYFUNCTION("""COMPUTED_VALUE"""),"")</f>
        <v/>
      </c>
      <c r="Q231" s="2" t="str">
        <f ca="1">IFERROR(__xludf.DUMMYFUNCTION("""COMPUTED_VALUE"""),"")</f>
        <v/>
      </c>
      <c r="R231" s="2" t="str">
        <f ca="1">IFERROR(__xludf.DUMMYFUNCTION("""COMPUTED_VALUE"""),"")</f>
        <v/>
      </c>
      <c r="S231" s="2" t="str">
        <f ca="1">IFERROR(__xludf.DUMMYFUNCTION("""COMPUTED_VALUE"""),"")</f>
        <v/>
      </c>
      <c r="T231" s="2" t="str">
        <f ca="1">IFERROR(__xludf.DUMMYFUNCTION("""COMPUTED_VALUE"""),"")</f>
        <v/>
      </c>
      <c r="U231" s="2" t="str">
        <f ca="1">IFERROR(__xludf.DUMMYFUNCTION("""COMPUTED_VALUE"""),"")</f>
        <v/>
      </c>
      <c r="V231" s="2" t="str">
        <f ca="1">IFERROR(__xludf.DUMMYFUNCTION("""COMPUTED_VALUE"""),"")</f>
        <v/>
      </c>
      <c r="W231" s="2" t="str">
        <f ca="1">IFERROR(__xludf.DUMMYFUNCTION("""COMPUTED_VALUE"""),"")</f>
        <v/>
      </c>
      <c r="X231" s="2" t="str">
        <f ca="1">IFERROR(__xludf.DUMMYFUNCTION("""COMPUTED_VALUE"""),"")</f>
        <v/>
      </c>
      <c r="Y231" s="2" t="str">
        <f ca="1">IFERROR(__xludf.DUMMYFUNCTION("""COMPUTED_VALUE"""),"")</f>
        <v/>
      </c>
      <c r="Z231" s="2" t="str">
        <f ca="1">IFERROR(__xludf.DUMMYFUNCTION("""COMPUTED_VALUE"""),"")</f>
        <v/>
      </c>
      <c r="AA231" s="2" t="str">
        <f ca="1">IFERROR(__xludf.DUMMYFUNCTION("""COMPUTED_VALUE"""),"")</f>
        <v/>
      </c>
      <c r="AB231" s="2" t="str">
        <f ca="1">IFERROR(__xludf.DUMMYFUNCTION("""COMPUTED_VALUE"""),"")</f>
        <v/>
      </c>
      <c r="AC231" s="2" t="str">
        <f ca="1">IFERROR(__xludf.DUMMYFUNCTION("""COMPUTED_VALUE"""),"")</f>
        <v/>
      </c>
      <c r="AD231" s="2" t="str">
        <f ca="1">IFERROR(__xludf.DUMMYFUNCTION("""COMPUTED_VALUE"""),"")</f>
        <v/>
      </c>
      <c r="AE231" s="2" t="str">
        <f ca="1">IFERROR(__xludf.DUMMYFUNCTION("""COMPUTED_VALUE"""),"")</f>
        <v/>
      </c>
      <c r="AF231" s="2" t="str">
        <f ca="1">IFERROR(__xludf.DUMMYFUNCTION("""COMPUTED_VALUE"""),"")</f>
        <v/>
      </c>
      <c r="AG231" s="2" t="str">
        <f ca="1">IFERROR(__xludf.DUMMYFUNCTION("""COMPUTED_VALUE"""),"")</f>
        <v/>
      </c>
      <c r="AH231" s="2" t="str">
        <f ca="1">IFERROR(__xludf.DUMMYFUNCTION("""COMPUTED_VALUE"""),"")</f>
        <v/>
      </c>
      <c r="AI231" s="2" t="str">
        <f ca="1">IFERROR(__xludf.DUMMYFUNCTION("""COMPUTED_VALUE"""),"")</f>
        <v/>
      </c>
      <c r="AJ231" s="2" t="str">
        <f ca="1">IFERROR(__xludf.DUMMYFUNCTION("""COMPUTED_VALUE"""),"")</f>
        <v/>
      </c>
      <c r="AK231" s="2" t="str">
        <f ca="1">IFERROR(__xludf.DUMMYFUNCTION("""COMPUTED_VALUE"""),"")</f>
        <v/>
      </c>
      <c r="AL231" s="2" t="str">
        <f ca="1">IFERROR(__xludf.DUMMYFUNCTION("""COMPUTED_VALUE"""),"")</f>
        <v/>
      </c>
      <c r="AM231" s="2" t="str">
        <f ca="1">IFERROR(__xludf.DUMMYFUNCTION("""COMPUTED_VALUE"""),"")</f>
        <v/>
      </c>
      <c r="AN231" s="2" t="str">
        <f ca="1">IFERROR(__xludf.DUMMYFUNCTION("""COMPUTED_VALUE"""),"")</f>
        <v/>
      </c>
      <c r="AO231" s="2" t="str">
        <f ca="1">IFERROR(__xludf.DUMMYFUNCTION("""COMPUTED_VALUE"""),"")</f>
        <v/>
      </c>
      <c r="AP231" s="2" t="str">
        <f ca="1">IFERROR(__xludf.DUMMYFUNCTION("""COMPUTED_VALUE"""),"")</f>
        <v/>
      </c>
      <c r="AQ231" s="2" t="str">
        <f ca="1">IFERROR(__xludf.DUMMYFUNCTION("""COMPUTED_VALUE"""),"")</f>
        <v/>
      </c>
      <c r="AR231" s="2" t="str">
        <f ca="1">IFERROR(__xludf.DUMMYFUNCTION("""COMPUTED_VALUE"""),"")</f>
        <v/>
      </c>
      <c r="AS231" s="2" t="str">
        <f ca="1">IFERROR(__xludf.DUMMYFUNCTION("""COMPUTED_VALUE"""),"")</f>
        <v/>
      </c>
      <c r="AT231" s="2" t="str">
        <f ca="1">IFERROR(__xludf.DUMMYFUNCTION("""COMPUTED_VALUE"""),"")</f>
        <v/>
      </c>
      <c r="AU231" s="2" t="str">
        <f ca="1">IFERROR(__xludf.DUMMYFUNCTION("""COMPUTED_VALUE"""),"")</f>
        <v/>
      </c>
      <c r="AV231" s="2" t="str">
        <f ca="1">IFERROR(__xludf.DUMMYFUNCTION("""COMPUTED_VALUE"""),"")</f>
        <v/>
      </c>
      <c r="AW231" s="2" t="str">
        <f ca="1">IFERROR(__xludf.DUMMYFUNCTION("""COMPUTED_VALUE"""),"")</f>
        <v/>
      </c>
      <c r="AX231" s="2" t="str">
        <f ca="1">IFERROR(__xludf.DUMMYFUNCTION("""COMPUTED_VALUE"""),"")</f>
        <v/>
      </c>
      <c r="AY231" s="2" t="str">
        <f ca="1">IFERROR(__xludf.DUMMYFUNCTION("""COMPUTED_VALUE"""),"")</f>
        <v/>
      </c>
      <c r="AZ231" s="2" t="str">
        <f ca="1">IFERROR(__xludf.DUMMYFUNCTION("""COMPUTED_VALUE"""),"")</f>
        <v/>
      </c>
      <c r="BA231" s="2" t="str">
        <f ca="1">IFERROR(__xludf.DUMMYFUNCTION("""COMPUTED_VALUE"""),"")</f>
        <v/>
      </c>
      <c r="BB231" s="2" t="str">
        <f ca="1">IFERROR(__xludf.DUMMYFUNCTION("""COMPUTED_VALUE"""),"")</f>
        <v/>
      </c>
      <c r="BC231" s="2" t="str">
        <f ca="1">IFERROR(__xludf.DUMMYFUNCTION("""COMPUTED_VALUE"""),"")</f>
        <v/>
      </c>
      <c r="BD231" s="2" t="str">
        <f ca="1">IFERROR(__xludf.DUMMYFUNCTION("""COMPUTED_VALUE"""),"")</f>
        <v/>
      </c>
      <c r="BE231" s="2" t="str">
        <f ca="1">IFERROR(__xludf.DUMMYFUNCTION("""COMPUTED_VALUE"""),"")</f>
        <v/>
      </c>
      <c r="BF231" t="str">
        <f ca="1">IFERROR(__xludf.DUMMYFUNCTION("""COMPUTED_VALUE"""),"")</f>
        <v/>
      </c>
      <c r="BG231" t="str">
        <f ca="1">IFERROR(__xludf.DUMMYFUNCTION("""COMPUTED_VALUE"""),"")</f>
        <v/>
      </c>
      <c r="BH231" s="2">
        <f ca="1">IFERROR(__xludf.DUMMYFUNCTION("""COMPUTED_VALUE"""),-37.3230972)</f>
        <v>-37.323097199999999</v>
      </c>
      <c r="BI231" s="12">
        <f ca="1">IFERROR(__xludf.DUMMYFUNCTION("""COMPUTED_VALUE"""),175.4535065)</f>
        <v>175.4535065</v>
      </c>
      <c r="BJ231" s="9">
        <f ca="1">IFERROR(__xludf.DUMMYFUNCTION("""COMPUTED_VALUE"""),43428)</f>
        <v>43428</v>
      </c>
      <c r="BK231" s="4">
        <f ca="1">IFERROR(__xludf.DUMMYFUNCTION("""COMPUTED_VALUE"""),0.457777777777664)</f>
        <v>0.45777777777766399</v>
      </c>
    </row>
    <row r="232" spans="1:63" ht="12.5" x14ac:dyDescent="0.25">
      <c r="A232" s="7" t="str">
        <f ca="1">IFERROR(__xludf.DUMMYFUNCTION("""COMPUTED_VALUE"""),"")</f>
        <v/>
      </c>
      <c r="B232" s="8" t="str">
        <f ca="1">IFERROR(__xludf.DUMMYFUNCTION("""COMPUTED_VALUE"""),"Waikato")</f>
        <v>Waikato</v>
      </c>
      <c r="C232" s="2">
        <f ca="1">IFERROR(__xludf.DUMMYFUNCTION("""COMPUTED_VALUE"""),23)</f>
        <v>23</v>
      </c>
      <c r="D232" s="9" t="str">
        <f ca="1">IFERROR(__xludf.DUMMYFUNCTION("""COMPUTED_VALUE"""),"")</f>
        <v/>
      </c>
      <c r="E232" s="4" t="str">
        <f ca="1">IFERROR(__xludf.DUMMYFUNCTION("""COMPUTED_VALUE"""),"")</f>
        <v/>
      </c>
      <c r="F232" s="2" t="str">
        <f ca="1">IFERROR(__xludf.DUMMYFUNCTION("""COMPUTED_VALUE"""),"")</f>
        <v/>
      </c>
      <c r="G232" s="2" t="str">
        <f ca="1">IFERROR(__xludf.DUMMYFUNCTION("""COMPUTED_VALUE"""),"GPS: I converted data downloaded from ARGOS using Pinpoint software")</f>
        <v>GPS: I converted data downloaded from ARGOS using Pinpoint software</v>
      </c>
      <c r="H232" s="2" t="str">
        <f ca="1">IFERROR(__xludf.DUMMYFUNCTION("""COMPUTED_VALUE"""),"3D")</f>
        <v>3D</v>
      </c>
      <c r="I232" s="2" t="str">
        <f ca="1">IFERROR(__xludf.DUMMYFUNCTION("""COMPUTED_VALUE"""),"")</f>
        <v/>
      </c>
      <c r="J232" s="2" t="str">
        <f ca="1">IFERROR(__xludf.DUMMYFUNCTION("""COMPUTED_VALUE"""),"")</f>
        <v/>
      </c>
      <c r="K232" s="2" t="str">
        <f ca="1">IFERROR(__xludf.DUMMYFUNCTION("""COMPUTED_VALUE"""),"")</f>
        <v/>
      </c>
      <c r="L232" s="2" t="str">
        <f ca="1">IFERROR(__xludf.DUMMYFUNCTION("""COMPUTED_VALUE"""),"")</f>
        <v/>
      </c>
      <c r="M232" s="5" t="str">
        <f ca="1">IFERROR(__xludf.DUMMYFUNCTION("""COMPUTED_VALUE"""),"")</f>
        <v/>
      </c>
      <c r="N232" s="5" t="str">
        <f ca="1">IFERROR(__xludf.DUMMYFUNCTION("""COMPUTED_VALUE"""),"")</f>
        <v/>
      </c>
      <c r="O232" s="2" t="str">
        <f ca="1">IFERROR(__xludf.DUMMYFUNCTION("""COMPUTED_VALUE"""),"")</f>
        <v/>
      </c>
      <c r="P232" s="2" t="str">
        <f ca="1">IFERROR(__xludf.DUMMYFUNCTION("""COMPUTED_VALUE"""),"")</f>
        <v/>
      </c>
      <c r="Q232" s="2" t="str">
        <f ca="1">IFERROR(__xludf.DUMMYFUNCTION("""COMPUTED_VALUE"""),"")</f>
        <v/>
      </c>
      <c r="R232" s="2" t="str">
        <f ca="1">IFERROR(__xludf.DUMMYFUNCTION("""COMPUTED_VALUE"""),"")</f>
        <v/>
      </c>
      <c r="S232" s="2" t="str">
        <f ca="1">IFERROR(__xludf.DUMMYFUNCTION("""COMPUTED_VALUE"""),"")</f>
        <v/>
      </c>
      <c r="T232" s="2" t="str">
        <f ca="1">IFERROR(__xludf.DUMMYFUNCTION("""COMPUTED_VALUE"""),"")</f>
        <v/>
      </c>
      <c r="U232" s="2" t="str">
        <f ca="1">IFERROR(__xludf.DUMMYFUNCTION("""COMPUTED_VALUE"""),"")</f>
        <v/>
      </c>
      <c r="V232" s="2" t="str">
        <f ca="1">IFERROR(__xludf.DUMMYFUNCTION("""COMPUTED_VALUE"""),"")</f>
        <v/>
      </c>
      <c r="W232" s="2" t="str">
        <f ca="1">IFERROR(__xludf.DUMMYFUNCTION("""COMPUTED_VALUE"""),"")</f>
        <v/>
      </c>
      <c r="X232" s="2" t="str">
        <f ca="1">IFERROR(__xludf.DUMMYFUNCTION("""COMPUTED_VALUE"""),"")</f>
        <v/>
      </c>
      <c r="Y232" s="2" t="str">
        <f ca="1">IFERROR(__xludf.DUMMYFUNCTION("""COMPUTED_VALUE"""),"")</f>
        <v/>
      </c>
      <c r="Z232" s="2" t="str">
        <f ca="1">IFERROR(__xludf.DUMMYFUNCTION("""COMPUTED_VALUE"""),"")</f>
        <v/>
      </c>
      <c r="AA232" s="2" t="str">
        <f ca="1">IFERROR(__xludf.DUMMYFUNCTION("""COMPUTED_VALUE"""),"")</f>
        <v/>
      </c>
      <c r="AB232" s="2" t="str">
        <f ca="1">IFERROR(__xludf.DUMMYFUNCTION("""COMPUTED_VALUE"""),"")</f>
        <v/>
      </c>
      <c r="AC232" s="2" t="str">
        <f ca="1">IFERROR(__xludf.DUMMYFUNCTION("""COMPUTED_VALUE"""),"")</f>
        <v/>
      </c>
      <c r="AD232" s="2" t="str">
        <f ca="1">IFERROR(__xludf.DUMMYFUNCTION("""COMPUTED_VALUE"""),"")</f>
        <v/>
      </c>
      <c r="AE232" s="2" t="str">
        <f ca="1">IFERROR(__xludf.DUMMYFUNCTION("""COMPUTED_VALUE"""),"")</f>
        <v/>
      </c>
      <c r="AF232" s="2" t="str">
        <f ca="1">IFERROR(__xludf.DUMMYFUNCTION("""COMPUTED_VALUE"""),"")</f>
        <v/>
      </c>
      <c r="AG232" s="2" t="str">
        <f ca="1">IFERROR(__xludf.DUMMYFUNCTION("""COMPUTED_VALUE"""),"")</f>
        <v/>
      </c>
      <c r="AH232" s="2" t="str">
        <f ca="1">IFERROR(__xludf.DUMMYFUNCTION("""COMPUTED_VALUE"""),"")</f>
        <v/>
      </c>
      <c r="AI232" s="2" t="str">
        <f ca="1">IFERROR(__xludf.DUMMYFUNCTION("""COMPUTED_VALUE"""),"")</f>
        <v/>
      </c>
      <c r="AJ232" s="2" t="str">
        <f ca="1">IFERROR(__xludf.DUMMYFUNCTION("""COMPUTED_VALUE"""),"")</f>
        <v/>
      </c>
      <c r="AK232" s="2" t="str">
        <f ca="1">IFERROR(__xludf.DUMMYFUNCTION("""COMPUTED_VALUE"""),"")</f>
        <v/>
      </c>
      <c r="AL232" s="2" t="str">
        <f ca="1">IFERROR(__xludf.DUMMYFUNCTION("""COMPUTED_VALUE"""),"")</f>
        <v/>
      </c>
      <c r="AM232" s="2" t="str">
        <f ca="1">IFERROR(__xludf.DUMMYFUNCTION("""COMPUTED_VALUE"""),"")</f>
        <v/>
      </c>
      <c r="AN232" s="2" t="str">
        <f ca="1">IFERROR(__xludf.DUMMYFUNCTION("""COMPUTED_VALUE"""),"")</f>
        <v/>
      </c>
      <c r="AO232" s="2" t="str">
        <f ca="1">IFERROR(__xludf.DUMMYFUNCTION("""COMPUTED_VALUE"""),"")</f>
        <v/>
      </c>
      <c r="AP232" s="2" t="str">
        <f ca="1">IFERROR(__xludf.DUMMYFUNCTION("""COMPUTED_VALUE"""),"")</f>
        <v/>
      </c>
      <c r="AQ232" s="2" t="str">
        <f ca="1">IFERROR(__xludf.DUMMYFUNCTION("""COMPUTED_VALUE"""),"")</f>
        <v/>
      </c>
      <c r="AR232" s="2" t="str">
        <f ca="1">IFERROR(__xludf.DUMMYFUNCTION("""COMPUTED_VALUE"""),"")</f>
        <v/>
      </c>
      <c r="AS232" s="2" t="str">
        <f ca="1">IFERROR(__xludf.DUMMYFUNCTION("""COMPUTED_VALUE"""),"")</f>
        <v/>
      </c>
      <c r="AT232" s="2" t="str">
        <f ca="1">IFERROR(__xludf.DUMMYFUNCTION("""COMPUTED_VALUE"""),"")</f>
        <v/>
      </c>
      <c r="AU232" s="2" t="str">
        <f ca="1">IFERROR(__xludf.DUMMYFUNCTION("""COMPUTED_VALUE"""),"")</f>
        <v/>
      </c>
      <c r="AV232" s="2" t="str">
        <f ca="1">IFERROR(__xludf.DUMMYFUNCTION("""COMPUTED_VALUE"""),"")</f>
        <v/>
      </c>
      <c r="AW232" s="2" t="str">
        <f ca="1">IFERROR(__xludf.DUMMYFUNCTION("""COMPUTED_VALUE"""),"")</f>
        <v/>
      </c>
      <c r="AX232" s="2" t="str">
        <f ca="1">IFERROR(__xludf.DUMMYFUNCTION("""COMPUTED_VALUE"""),"")</f>
        <v/>
      </c>
      <c r="AY232" s="2" t="str">
        <f ca="1">IFERROR(__xludf.DUMMYFUNCTION("""COMPUTED_VALUE"""),"")</f>
        <v/>
      </c>
      <c r="AZ232" s="2" t="str">
        <f ca="1">IFERROR(__xludf.DUMMYFUNCTION("""COMPUTED_VALUE"""),"")</f>
        <v/>
      </c>
      <c r="BA232" s="2" t="str">
        <f ca="1">IFERROR(__xludf.DUMMYFUNCTION("""COMPUTED_VALUE"""),"")</f>
        <v/>
      </c>
      <c r="BB232" s="2" t="str">
        <f ca="1">IFERROR(__xludf.DUMMYFUNCTION("""COMPUTED_VALUE"""),"")</f>
        <v/>
      </c>
      <c r="BC232" s="2" t="str">
        <f ca="1">IFERROR(__xludf.DUMMYFUNCTION("""COMPUTED_VALUE"""),"")</f>
        <v/>
      </c>
      <c r="BD232" s="2" t="str">
        <f ca="1">IFERROR(__xludf.DUMMYFUNCTION("""COMPUTED_VALUE"""),"")</f>
        <v/>
      </c>
      <c r="BE232" s="2" t="str">
        <f ca="1">IFERROR(__xludf.DUMMYFUNCTION("""COMPUTED_VALUE"""),"")</f>
        <v/>
      </c>
      <c r="BF232" t="str">
        <f ca="1">IFERROR(__xludf.DUMMYFUNCTION("""COMPUTED_VALUE"""),"")</f>
        <v/>
      </c>
      <c r="BG232" t="str">
        <f ca="1">IFERROR(__xludf.DUMMYFUNCTION("""COMPUTED_VALUE"""),"")</f>
        <v/>
      </c>
      <c r="BH232" s="2">
        <f ca="1">IFERROR(__xludf.DUMMYFUNCTION("""COMPUTED_VALUE"""),-38.1591949)</f>
        <v>-38.159194900000003</v>
      </c>
      <c r="BI232" s="13">
        <f ca="1">IFERROR(__xludf.DUMMYFUNCTION("""COMPUTED_VALUE"""),175.6543884)</f>
        <v>175.65438839999999</v>
      </c>
      <c r="BJ232" s="9">
        <f ca="1">IFERROR(__xludf.DUMMYFUNCTION("""COMPUTED_VALUE"""),43428)</f>
        <v>43428</v>
      </c>
      <c r="BK232" s="4">
        <f ca="1">IFERROR(__xludf.DUMMYFUNCTION("""COMPUTED_VALUE"""),0.911111111112404)</f>
        <v>0.91111111111240395</v>
      </c>
    </row>
    <row r="233" spans="1:63" ht="12.5" x14ac:dyDescent="0.25">
      <c r="A233" s="7" t="str">
        <f ca="1">IFERROR(__xludf.DUMMYFUNCTION("""COMPUTED_VALUE"""),"")</f>
        <v/>
      </c>
      <c r="B233" s="8" t="str">
        <f ca="1">IFERROR(__xludf.DUMMYFUNCTION("""COMPUTED_VALUE"""),"Waikato")</f>
        <v>Waikato</v>
      </c>
      <c r="C233" s="2">
        <f ca="1">IFERROR(__xludf.DUMMYFUNCTION("""COMPUTED_VALUE"""),23)</f>
        <v>23</v>
      </c>
      <c r="D233" s="9" t="str">
        <f ca="1">IFERROR(__xludf.DUMMYFUNCTION("""COMPUTED_VALUE"""),"")</f>
        <v/>
      </c>
      <c r="E233" s="4" t="str">
        <f ca="1">IFERROR(__xludf.DUMMYFUNCTION("""COMPUTED_VALUE"""),"")</f>
        <v/>
      </c>
      <c r="F233" s="2" t="str">
        <f ca="1">IFERROR(__xludf.DUMMYFUNCTION("""COMPUTED_VALUE"""),"")</f>
        <v/>
      </c>
      <c r="G233" s="2" t="str">
        <f ca="1">IFERROR(__xludf.DUMMYFUNCTION("""COMPUTED_VALUE"""),"GPS: I converted data downloaded from ARGOS using Pinpoint software")</f>
        <v>GPS: I converted data downloaded from ARGOS using Pinpoint software</v>
      </c>
      <c r="H233" s="2" t="str">
        <f ca="1">IFERROR(__xludf.DUMMYFUNCTION("""COMPUTED_VALUE"""),"3D")</f>
        <v>3D</v>
      </c>
      <c r="I233" s="2" t="str">
        <f ca="1">IFERROR(__xludf.DUMMYFUNCTION("""COMPUTED_VALUE"""),"")</f>
        <v/>
      </c>
      <c r="J233" s="2" t="str">
        <f ca="1">IFERROR(__xludf.DUMMYFUNCTION("""COMPUTED_VALUE"""),"")</f>
        <v/>
      </c>
      <c r="K233" s="2" t="str">
        <f ca="1">IFERROR(__xludf.DUMMYFUNCTION("""COMPUTED_VALUE"""),"")</f>
        <v/>
      </c>
      <c r="L233" s="2" t="str">
        <f ca="1">IFERROR(__xludf.DUMMYFUNCTION("""COMPUTED_VALUE"""),"")</f>
        <v/>
      </c>
      <c r="M233" s="5" t="str">
        <f ca="1">IFERROR(__xludf.DUMMYFUNCTION("""COMPUTED_VALUE"""),"")</f>
        <v/>
      </c>
      <c r="N233" s="5" t="str">
        <f ca="1">IFERROR(__xludf.DUMMYFUNCTION("""COMPUTED_VALUE"""),"")</f>
        <v/>
      </c>
      <c r="O233" s="2" t="str">
        <f ca="1">IFERROR(__xludf.DUMMYFUNCTION("""COMPUTED_VALUE"""),"")</f>
        <v/>
      </c>
      <c r="P233" s="2" t="str">
        <f ca="1">IFERROR(__xludf.DUMMYFUNCTION("""COMPUTED_VALUE"""),"")</f>
        <v/>
      </c>
      <c r="Q233" s="2" t="str">
        <f ca="1">IFERROR(__xludf.DUMMYFUNCTION("""COMPUTED_VALUE"""),"")</f>
        <v/>
      </c>
      <c r="R233" s="2" t="str">
        <f ca="1">IFERROR(__xludf.DUMMYFUNCTION("""COMPUTED_VALUE"""),"")</f>
        <v/>
      </c>
      <c r="S233" s="2" t="str">
        <f ca="1">IFERROR(__xludf.DUMMYFUNCTION("""COMPUTED_VALUE"""),"")</f>
        <v/>
      </c>
      <c r="T233" s="2" t="str">
        <f ca="1">IFERROR(__xludf.DUMMYFUNCTION("""COMPUTED_VALUE"""),"")</f>
        <v/>
      </c>
      <c r="U233" s="2" t="str">
        <f ca="1">IFERROR(__xludf.DUMMYFUNCTION("""COMPUTED_VALUE"""),"")</f>
        <v/>
      </c>
      <c r="V233" s="2" t="str">
        <f ca="1">IFERROR(__xludf.DUMMYFUNCTION("""COMPUTED_VALUE"""),"")</f>
        <v/>
      </c>
      <c r="W233" s="2" t="str">
        <f ca="1">IFERROR(__xludf.DUMMYFUNCTION("""COMPUTED_VALUE"""),"")</f>
        <v/>
      </c>
      <c r="X233" s="2" t="str">
        <f ca="1">IFERROR(__xludf.DUMMYFUNCTION("""COMPUTED_VALUE"""),"")</f>
        <v/>
      </c>
      <c r="Y233" s="2" t="str">
        <f ca="1">IFERROR(__xludf.DUMMYFUNCTION("""COMPUTED_VALUE"""),"")</f>
        <v/>
      </c>
      <c r="Z233" s="2" t="str">
        <f ca="1">IFERROR(__xludf.DUMMYFUNCTION("""COMPUTED_VALUE"""),"")</f>
        <v/>
      </c>
      <c r="AA233" s="2" t="str">
        <f ca="1">IFERROR(__xludf.DUMMYFUNCTION("""COMPUTED_VALUE"""),"")</f>
        <v/>
      </c>
      <c r="AB233" s="2" t="str">
        <f ca="1">IFERROR(__xludf.DUMMYFUNCTION("""COMPUTED_VALUE"""),"")</f>
        <v/>
      </c>
      <c r="AC233" s="2" t="str">
        <f ca="1">IFERROR(__xludf.DUMMYFUNCTION("""COMPUTED_VALUE"""),"")</f>
        <v/>
      </c>
      <c r="AD233" s="2" t="str">
        <f ca="1">IFERROR(__xludf.DUMMYFUNCTION("""COMPUTED_VALUE"""),"")</f>
        <v/>
      </c>
      <c r="AE233" s="2" t="str">
        <f ca="1">IFERROR(__xludf.DUMMYFUNCTION("""COMPUTED_VALUE"""),"")</f>
        <v/>
      </c>
      <c r="AF233" s="2" t="str">
        <f ca="1">IFERROR(__xludf.DUMMYFUNCTION("""COMPUTED_VALUE"""),"")</f>
        <v/>
      </c>
      <c r="AG233" s="2" t="str">
        <f ca="1">IFERROR(__xludf.DUMMYFUNCTION("""COMPUTED_VALUE"""),"")</f>
        <v/>
      </c>
      <c r="AH233" s="2" t="str">
        <f ca="1">IFERROR(__xludf.DUMMYFUNCTION("""COMPUTED_VALUE"""),"")</f>
        <v/>
      </c>
      <c r="AI233" s="2" t="str">
        <f ca="1">IFERROR(__xludf.DUMMYFUNCTION("""COMPUTED_VALUE"""),"")</f>
        <v/>
      </c>
      <c r="AJ233" s="2" t="str">
        <f ca="1">IFERROR(__xludf.DUMMYFUNCTION("""COMPUTED_VALUE"""),"")</f>
        <v/>
      </c>
      <c r="AK233" s="2" t="str">
        <f ca="1">IFERROR(__xludf.DUMMYFUNCTION("""COMPUTED_VALUE"""),"")</f>
        <v/>
      </c>
      <c r="AL233" s="2" t="str">
        <f ca="1">IFERROR(__xludf.DUMMYFUNCTION("""COMPUTED_VALUE"""),"")</f>
        <v/>
      </c>
      <c r="AM233" s="2" t="str">
        <f ca="1">IFERROR(__xludf.DUMMYFUNCTION("""COMPUTED_VALUE"""),"")</f>
        <v/>
      </c>
      <c r="AN233" s="2" t="str">
        <f ca="1">IFERROR(__xludf.DUMMYFUNCTION("""COMPUTED_VALUE"""),"")</f>
        <v/>
      </c>
      <c r="AO233" s="2" t="str">
        <f ca="1">IFERROR(__xludf.DUMMYFUNCTION("""COMPUTED_VALUE"""),"")</f>
        <v/>
      </c>
      <c r="AP233" s="2" t="str">
        <f ca="1">IFERROR(__xludf.DUMMYFUNCTION("""COMPUTED_VALUE"""),"")</f>
        <v/>
      </c>
      <c r="AQ233" s="2" t="str">
        <f ca="1">IFERROR(__xludf.DUMMYFUNCTION("""COMPUTED_VALUE"""),"")</f>
        <v/>
      </c>
      <c r="AR233" s="2" t="str">
        <f ca="1">IFERROR(__xludf.DUMMYFUNCTION("""COMPUTED_VALUE"""),"")</f>
        <v/>
      </c>
      <c r="AS233" s="2" t="str">
        <f ca="1">IFERROR(__xludf.DUMMYFUNCTION("""COMPUTED_VALUE"""),"")</f>
        <v/>
      </c>
      <c r="AT233" s="2" t="str">
        <f ca="1">IFERROR(__xludf.DUMMYFUNCTION("""COMPUTED_VALUE"""),"")</f>
        <v/>
      </c>
      <c r="AU233" s="2" t="str">
        <f ca="1">IFERROR(__xludf.DUMMYFUNCTION("""COMPUTED_VALUE"""),"")</f>
        <v/>
      </c>
      <c r="AV233" s="2" t="str">
        <f ca="1">IFERROR(__xludf.DUMMYFUNCTION("""COMPUTED_VALUE"""),"")</f>
        <v/>
      </c>
      <c r="AW233" s="2" t="str">
        <f ca="1">IFERROR(__xludf.DUMMYFUNCTION("""COMPUTED_VALUE"""),"")</f>
        <v/>
      </c>
      <c r="AX233" s="2" t="str">
        <f ca="1">IFERROR(__xludf.DUMMYFUNCTION("""COMPUTED_VALUE"""),"")</f>
        <v/>
      </c>
      <c r="AY233" s="2" t="str">
        <f ca="1">IFERROR(__xludf.DUMMYFUNCTION("""COMPUTED_VALUE"""),"")</f>
        <v/>
      </c>
      <c r="AZ233" s="2" t="str">
        <f ca="1">IFERROR(__xludf.DUMMYFUNCTION("""COMPUTED_VALUE"""),"")</f>
        <v/>
      </c>
      <c r="BA233" s="2" t="str">
        <f ca="1">IFERROR(__xludf.DUMMYFUNCTION("""COMPUTED_VALUE"""),"")</f>
        <v/>
      </c>
      <c r="BB233" s="2" t="str">
        <f ca="1">IFERROR(__xludf.DUMMYFUNCTION("""COMPUTED_VALUE"""),"")</f>
        <v/>
      </c>
      <c r="BC233" s="2" t="str">
        <f ca="1">IFERROR(__xludf.DUMMYFUNCTION("""COMPUTED_VALUE"""),"")</f>
        <v/>
      </c>
      <c r="BD233" s="2" t="str">
        <f ca="1">IFERROR(__xludf.DUMMYFUNCTION("""COMPUTED_VALUE"""),"")</f>
        <v/>
      </c>
      <c r="BE233" s="2" t="str">
        <f ca="1">IFERROR(__xludf.DUMMYFUNCTION("""COMPUTED_VALUE"""),"")</f>
        <v/>
      </c>
      <c r="BF233" t="str">
        <f ca="1">IFERROR(__xludf.DUMMYFUNCTION("""COMPUTED_VALUE"""),"")</f>
        <v/>
      </c>
      <c r="BG233" t="str">
        <f ca="1">IFERROR(__xludf.DUMMYFUNCTION("""COMPUTED_VALUE"""),"")</f>
        <v/>
      </c>
      <c r="BH233" s="2">
        <f ca="1">IFERROR(__xludf.DUMMYFUNCTION("""COMPUTED_VALUE"""),-37.3203316)</f>
        <v>-37.320331600000003</v>
      </c>
      <c r="BI233" s="12">
        <f ca="1">IFERROR(__xludf.DUMMYFUNCTION("""COMPUTED_VALUE"""),175.4446716)</f>
        <v>175.44467159999999</v>
      </c>
      <c r="BJ233" s="9">
        <f ca="1">IFERROR(__xludf.DUMMYFUNCTION("""COMPUTED_VALUE"""),43428)</f>
        <v>43428</v>
      </c>
      <c r="BK233" s="4">
        <f ca="1">IFERROR(__xludf.DUMMYFUNCTION("""COMPUTED_VALUE"""),0.958518518516939)</f>
        <v>0.95851851851693903</v>
      </c>
    </row>
    <row r="234" spans="1:63" ht="12.5" x14ac:dyDescent="0.25">
      <c r="A234" s="7" t="str">
        <f ca="1">IFERROR(__xludf.DUMMYFUNCTION("""COMPUTED_VALUE"""),"")</f>
        <v/>
      </c>
      <c r="B234" s="8" t="str">
        <f ca="1">IFERROR(__xludf.DUMMYFUNCTION("""COMPUTED_VALUE"""),"Waikato")</f>
        <v>Waikato</v>
      </c>
      <c r="C234" s="2">
        <f ca="1">IFERROR(__xludf.DUMMYFUNCTION("""COMPUTED_VALUE"""),23)</f>
        <v>23</v>
      </c>
      <c r="D234" s="9" t="str">
        <f ca="1">IFERROR(__xludf.DUMMYFUNCTION("""COMPUTED_VALUE"""),"")</f>
        <v/>
      </c>
      <c r="E234" s="4" t="str">
        <f ca="1">IFERROR(__xludf.DUMMYFUNCTION("""COMPUTED_VALUE"""),"")</f>
        <v/>
      </c>
      <c r="F234" s="2" t="str">
        <f ca="1">IFERROR(__xludf.DUMMYFUNCTION("""COMPUTED_VALUE"""),"")</f>
        <v/>
      </c>
      <c r="G234" s="2" t="str">
        <f ca="1">IFERROR(__xludf.DUMMYFUNCTION("""COMPUTED_VALUE"""),"GPS: I converted data downloaded from ARGOS using Pinpoint software")</f>
        <v>GPS: I converted data downloaded from ARGOS using Pinpoint software</v>
      </c>
      <c r="H234" s="2" t="str">
        <f ca="1">IFERROR(__xludf.DUMMYFUNCTION("""COMPUTED_VALUE"""),"3D")</f>
        <v>3D</v>
      </c>
      <c r="I234" s="2" t="str">
        <f ca="1">IFERROR(__xludf.DUMMYFUNCTION("""COMPUTED_VALUE"""),"")</f>
        <v/>
      </c>
      <c r="J234" s="2" t="str">
        <f ca="1">IFERROR(__xludf.DUMMYFUNCTION("""COMPUTED_VALUE"""),"")</f>
        <v/>
      </c>
      <c r="K234" s="2" t="str">
        <f ca="1">IFERROR(__xludf.DUMMYFUNCTION("""COMPUTED_VALUE"""),"")</f>
        <v/>
      </c>
      <c r="L234" s="2" t="str">
        <f ca="1">IFERROR(__xludf.DUMMYFUNCTION("""COMPUTED_VALUE"""),"")</f>
        <v/>
      </c>
      <c r="M234" s="5" t="str">
        <f ca="1">IFERROR(__xludf.DUMMYFUNCTION("""COMPUTED_VALUE"""),"")</f>
        <v/>
      </c>
      <c r="N234" s="5" t="str">
        <f ca="1">IFERROR(__xludf.DUMMYFUNCTION("""COMPUTED_VALUE"""),"")</f>
        <v/>
      </c>
      <c r="O234" s="2" t="str">
        <f ca="1">IFERROR(__xludf.DUMMYFUNCTION("""COMPUTED_VALUE"""),"")</f>
        <v/>
      </c>
      <c r="P234" s="2" t="str">
        <f ca="1">IFERROR(__xludf.DUMMYFUNCTION("""COMPUTED_VALUE"""),"")</f>
        <v/>
      </c>
      <c r="Q234" s="2" t="str">
        <f ca="1">IFERROR(__xludf.DUMMYFUNCTION("""COMPUTED_VALUE"""),"")</f>
        <v/>
      </c>
      <c r="R234" s="2" t="str">
        <f ca="1">IFERROR(__xludf.DUMMYFUNCTION("""COMPUTED_VALUE"""),"")</f>
        <v/>
      </c>
      <c r="S234" s="2" t="str">
        <f ca="1">IFERROR(__xludf.DUMMYFUNCTION("""COMPUTED_VALUE"""),"")</f>
        <v/>
      </c>
      <c r="T234" s="2" t="str">
        <f ca="1">IFERROR(__xludf.DUMMYFUNCTION("""COMPUTED_VALUE"""),"")</f>
        <v/>
      </c>
      <c r="U234" s="2" t="str">
        <f ca="1">IFERROR(__xludf.DUMMYFUNCTION("""COMPUTED_VALUE"""),"")</f>
        <v/>
      </c>
      <c r="V234" s="2" t="str">
        <f ca="1">IFERROR(__xludf.DUMMYFUNCTION("""COMPUTED_VALUE"""),"")</f>
        <v/>
      </c>
      <c r="W234" s="2" t="str">
        <f ca="1">IFERROR(__xludf.DUMMYFUNCTION("""COMPUTED_VALUE"""),"")</f>
        <v/>
      </c>
      <c r="X234" s="2" t="str">
        <f ca="1">IFERROR(__xludf.DUMMYFUNCTION("""COMPUTED_VALUE"""),"")</f>
        <v/>
      </c>
      <c r="Y234" s="2" t="str">
        <f ca="1">IFERROR(__xludf.DUMMYFUNCTION("""COMPUTED_VALUE"""),"")</f>
        <v/>
      </c>
      <c r="Z234" s="2" t="str">
        <f ca="1">IFERROR(__xludf.DUMMYFUNCTION("""COMPUTED_VALUE"""),"")</f>
        <v/>
      </c>
      <c r="AA234" s="2" t="str">
        <f ca="1">IFERROR(__xludf.DUMMYFUNCTION("""COMPUTED_VALUE"""),"")</f>
        <v/>
      </c>
      <c r="AB234" s="2" t="str">
        <f ca="1">IFERROR(__xludf.DUMMYFUNCTION("""COMPUTED_VALUE"""),"")</f>
        <v/>
      </c>
      <c r="AC234" s="2" t="str">
        <f ca="1">IFERROR(__xludf.DUMMYFUNCTION("""COMPUTED_VALUE"""),"")</f>
        <v/>
      </c>
      <c r="AD234" s="2" t="str">
        <f ca="1">IFERROR(__xludf.DUMMYFUNCTION("""COMPUTED_VALUE"""),"")</f>
        <v/>
      </c>
      <c r="AE234" s="2" t="str">
        <f ca="1">IFERROR(__xludf.DUMMYFUNCTION("""COMPUTED_VALUE"""),"")</f>
        <v/>
      </c>
      <c r="AF234" s="2" t="str">
        <f ca="1">IFERROR(__xludf.DUMMYFUNCTION("""COMPUTED_VALUE"""),"")</f>
        <v/>
      </c>
      <c r="AG234" s="2" t="str">
        <f ca="1">IFERROR(__xludf.DUMMYFUNCTION("""COMPUTED_VALUE"""),"")</f>
        <v/>
      </c>
      <c r="AH234" s="2" t="str">
        <f ca="1">IFERROR(__xludf.DUMMYFUNCTION("""COMPUTED_VALUE"""),"")</f>
        <v/>
      </c>
      <c r="AI234" s="2" t="str">
        <f ca="1">IFERROR(__xludf.DUMMYFUNCTION("""COMPUTED_VALUE"""),"")</f>
        <v/>
      </c>
      <c r="AJ234" s="2" t="str">
        <f ca="1">IFERROR(__xludf.DUMMYFUNCTION("""COMPUTED_VALUE"""),"")</f>
        <v/>
      </c>
      <c r="AK234" s="2" t="str">
        <f ca="1">IFERROR(__xludf.DUMMYFUNCTION("""COMPUTED_VALUE"""),"")</f>
        <v/>
      </c>
      <c r="AL234" s="2" t="str">
        <f ca="1">IFERROR(__xludf.DUMMYFUNCTION("""COMPUTED_VALUE"""),"")</f>
        <v/>
      </c>
      <c r="AM234" s="2" t="str">
        <f ca="1">IFERROR(__xludf.DUMMYFUNCTION("""COMPUTED_VALUE"""),"")</f>
        <v/>
      </c>
      <c r="AN234" s="2" t="str">
        <f ca="1">IFERROR(__xludf.DUMMYFUNCTION("""COMPUTED_VALUE"""),"")</f>
        <v/>
      </c>
      <c r="AO234" s="2" t="str">
        <f ca="1">IFERROR(__xludf.DUMMYFUNCTION("""COMPUTED_VALUE"""),"")</f>
        <v/>
      </c>
      <c r="AP234" s="2" t="str">
        <f ca="1">IFERROR(__xludf.DUMMYFUNCTION("""COMPUTED_VALUE"""),"")</f>
        <v/>
      </c>
      <c r="AQ234" s="2" t="str">
        <f ca="1">IFERROR(__xludf.DUMMYFUNCTION("""COMPUTED_VALUE"""),"")</f>
        <v/>
      </c>
      <c r="AR234" s="2" t="str">
        <f ca="1">IFERROR(__xludf.DUMMYFUNCTION("""COMPUTED_VALUE"""),"")</f>
        <v/>
      </c>
      <c r="AS234" s="2" t="str">
        <f ca="1">IFERROR(__xludf.DUMMYFUNCTION("""COMPUTED_VALUE"""),"")</f>
        <v/>
      </c>
      <c r="AT234" s="2" t="str">
        <f ca="1">IFERROR(__xludf.DUMMYFUNCTION("""COMPUTED_VALUE"""),"")</f>
        <v/>
      </c>
      <c r="AU234" s="2" t="str">
        <f ca="1">IFERROR(__xludf.DUMMYFUNCTION("""COMPUTED_VALUE"""),"")</f>
        <v/>
      </c>
      <c r="AV234" s="2" t="str">
        <f ca="1">IFERROR(__xludf.DUMMYFUNCTION("""COMPUTED_VALUE"""),"")</f>
        <v/>
      </c>
      <c r="AW234" s="2" t="str">
        <f ca="1">IFERROR(__xludf.DUMMYFUNCTION("""COMPUTED_VALUE"""),"")</f>
        <v/>
      </c>
      <c r="AX234" s="2" t="str">
        <f ca="1">IFERROR(__xludf.DUMMYFUNCTION("""COMPUTED_VALUE"""),"")</f>
        <v/>
      </c>
      <c r="AY234" s="2" t="str">
        <f ca="1">IFERROR(__xludf.DUMMYFUNCTION("""COMPUTED_VALUE"""),"")</f>
        <v/>
      </c>
      <c r="AZ234" s="2" t="str">
        <f ca="1">IFERROR(__xludf.DUMMYFUNCTION("""COMPUTED_VALUE"""),"")</f>
        <v/>
      </c>
      <c r="BA234" s="2" t="str">
        <f ca="1">IFERROR(__xludf.DUMMYFUNCTION("""COMPUTED_VALUE"""),"")</f>
        <v/>
      </c>
      <c r="BB234" s="2" t="str">
        <f ca="1">IFERROR(__xludf.DUMMYFUNCTION("""COMPUTED_VALUE"""),"")</f>
        <v/>
      </c>
      <c r="BC234" s="2" t="str">
        <f ca="1">IFERROR(__xludf.DUMMYFUNCTION("""COMPUTED_VALUE"""),"")</f>
        <v/>
      </c>
      <c r="BD234" s="2" t="str">
        <f ca="1">IFERROR(__xludf.DUMMYFUNCTION("""COMPUTED_VALUE"""),"")</f>
        <v/>
      </c>
      <c r="BE234" s="2" t="str">
        <f ca="1">IFERROR(__xludf.DUMMYFUNCTION("""COMPUTED_VALUE"""),"")</f>
        <v/>
      </c>
      <c r="BF234" t="str">
        <f ca="1">IFERROR(__xludf.DUMMYFUNCTION("""COMPUTED_VALUE"""),"")</f>
        <v/>
      </c>
      <c r="BG234" t="str">
        <f ca="1">IFERROR(__xludf.DUMMYFUNCTION("""COMPUTED_VALUE"""),"")</f>
        <v/>
      </c>
      <c r="BH234" s="2">
        <f ca="1">IFERROR(__xludf.DUMMYFUNCTION("""COMPUTED_VALUE"""),-37.3202553)</f>
        <v>-37.320255299999999</v>
      </c>
      <c r="BI234" s="13">
        <f ca="1">IFERROR(__xludf.DUMMYFUNCTION("""COMPUTED_VALUE"""),175.4612122)</f>
        <v>175.46121220000001</v>
      </c>
      <c r="BJ234" s="9">
        <f ca="1">IFERROR(__xludf.DUMMYFUNCTION("""COMPUTED_VALUE"""),43430)</f>
        <v>43430</v>
      </c>
      <c r="BK234" s="4">
        <f ca="1">IFERROR(__xludf.DUMMYFUNCTION("""COMPUTED_VALUE"""),0.457777777777664)</f>
        <v>0.45777777777766399</v>
      </c>
    </row>
    <row r="235" spans="1:63" ht="12.5" x14ac:dyDescent="0.25">
      <c r="A235" s="7" t="str">
        <f ca="1">IFERROR(__xludf.DUMMYFUNCTION("""COMPUTED_VALUE"""),"")</f>
        <v/>
      </c>
      <c r="B235" s="8" t="str">
        <f ca="1">IFERROR(__xludf.DUMMYFUNCTION("""COMPUTED_VALUE"""),"Waikato")</f>
        <v>Waikato</v>
      </c>
      <c r="C235" s="2">
        <f ca="1">IFERROR(__xludf.DUMMYFUNCTION("""COMPUTED_VALUE"""),23)</f>
        <v>23</v>
      </c>
      <c r="D235" s="9" t="str">
        <f ca="1">IFERROR(__xludf.DUMMYFUNCTION("""COMPUTED_VALUE"""),"")</f>
        <v/>
      </c>
      <c r="E235" s="4" t="str">
        <f ca="1">IFERROR(__xludf.DUMMYFUNCTION("""COMPUTED_VALUE"""),"")</f>
        <v/>
      </c>
      <c r="F235" s="2" t="str">
        <f ca="1">IFERROR(__xludf.DUMMYFUNCTION("""COMPUTED_VALUE"""),"")</f>
        <v/>
      </c>
      <c r="G235" s="2" t="str">
        <f ca="1">IFERROR(__xludf.DUMMYFUNCTION("""COMPUTED_VALUE"""),"GPS: I converted data downloaded from ARGOS using Pinpoint software")</f>
        <v>GPS: I converted data downloaded from ARGOS using Pinpoint software</v>
      </c>
      <c r="H235" s="2" t="str">
        <f ca="1">IFERROR(__xludf.DUMMYFUNCTION("""COMPUTED_VALUE"""),"3D")</f>
        <v>3D</v>
      </c>
      <c r="I235" s="2" t="str">
        <f ca="1">IFERROR(__xludf.DUMMYFUNCTION("""COMPUTED_VALUE"""),"")</f>
        <v/>
      </c>
      <c r="J235" s="2" t="str">
        <f ca="1">IFERROR(__xludf.DUMMYFUNCTION("""COMPUTED_VALUE"""),"")</f>
        <v/>
      </c>
      <c r="K235" s="2" t="str">
        <f ca="1">IFERROR(__xludf.DUMMYFUNCTION("""COMPUTED_VALUE"""),"")</f>
        <v/>
      </c>
      <c r="L235" s="2" t="str">
        <f ca="1">IFERROR(__xludf.DUMMYFUNCTION("""COMPUTED_VALUE"""),"")</f>
        <v/>
      </c>
      <c r="M235" s="5" t="str">
        <f ca="1">IFERROR(__xludf.DUMMYFUNCTION("""COMPUTED_VALUE"""),"")</f>
        <v/>
      </c>
      <c r="N235" s="5" t="str">
        <f ca="1">IFERROR(__xludf.DUMMYFUNCTION("""COMPUTED_VALUE"""),"")</f>
        <v/>
      </c>
      <c r="O235" s="2" t="str">
        <f ca="1">IFERROR(__xludf.DUMMYFUNCTION("""COMPUTED_VALUE"""),"")</f>
        <v/>
      </c>
      <c r="P235" s="2" t="str">
        <f ca="1">IFERROR(__xludf.DUMMYFUNCTION("""COMPUTED_VALUE"""),"")</f>
        <v/>
      </c>
      <c r="Q235" s="2" t="str">
        <f ca="1">IFERROR(__xludf.DUMMYFUNCTION("""COMPUTED_VALUE"""),"")</f>
        <v/>
      </c>
      <c r="R235" s="2" t="str">
        <f ca="1">IFERROR(__xludf.DUMMYFUNCTION("""COMPUTED_VALUE"""),"")</f>
        <v/>
      </c>
      <c r="S235" s="2" t="str">
        <f ca="1">IFERROR(__xludf.DUMMYFUNCTION("""COMPUTED_VALUE"""),"")</f>
        <v/>
      </c>
      <c r="T235" s="2" t="str">
        <f ca="1">IFERROR(__xludf.DUMMYFUNCTION("""COMPUTED_VALUE"""),"")</f>
        <v/>
      </c>
      <c r="U235" s="2" t="str">
        <f ca="1">IFERROR(__xludf.DUMMYFUNCTION("""COMPUTED_VALUE"""),"")</f>
        <v/>
      </c>
      <c r="V235" s="2" t="str">
        <f ca="1">IFERROR(__xludf.DUMMYFUNCTION("""COMPUTED_VALUE"""),"")</f>
        <v/>
      </c>
      <c r="W235" s="2" t="str">
        <f ca="1">IFERROR(__xludf.DUMMYFUNCTION("""COMPUTED_VALUE"""),"")</f>
        <v/>
      </c>
      <c r="X235" s="2" t="str">
        <f ca="1">IFERROR(__xludf.DUMMYFUNCTION("""COMPUTED_VALUE"""),"")</f>
        <v/>
      </c>
      <c r="Y235" s="2" t="str">
        <f ca="1">IFERROR(__xludf.DUMMYFUNCTION("""COMPUTED_VALUE"""),"")</f>
        <v/>
      </c>
      <c r="Z235" s="2" t="str">
        <f ca="1">IFERROR(__xludf.DUMMYFUNCTION("""COMPUTED_VALUE"""),"")</f>
        <v/>
      </c>
      <c r="AA235" s="2" t="str">
        <f ca="1">IFERROR(__xludf.DUMMYFUNCTION("""COMPUTED_VALUE"""),"")</f>
        <v/>
      </c>
      <c r="AB235" s="2" t="str">
        <f ca="1">IFERROR(__xludf.DUMMYFUNCTION("""COMPUTED_VALUE"""),"")</f>
        <v/>
      </c>
      <c r="AC235" s="2" t="str">
        <f ca="1">IFERROR(__xludf.DUMMYFUNCTION("""COMPUTED_VALUE"""),"")</f>
        <v/>
      </c>
      <c r="AD235" s="2" t="str">
        <f ca="1">IFERROR(__xludf.DUMMYFUNCTION("""COMPUTED_VALUE"""),"")</f>
        <v/>
      </c>
      <c r="AE235" s="2" t="str">
        <f ca="1">IFERROR(__xludf.DUMMYFUNCTION("""COMPUTED_VALUE"""),"")</f>
        <v/>
      </c>
      <c r="AF235" s="2" t="str">
        <f ca="1">IFERROR(__xludf.DUMMYFUNCTION("""COMPUTED_VALUE"""),"")</f>
        <v/>
      </c>
      <c r="AG235" s="2" t="str">
        <f ca="1">IFERROR(__xludf.DUMMYFUNCTION("""COMPUTED_VALUE"""),"")</f>
        <v/>
      </c>
      <c r="AH235" s="2" t="str">
        <f ca="1">IFERROR(__xludf.DUMMYFUNCTION("""COMPUTED_VALUE"""),"")</f>
        <v/>
      </c>
      <c r="AI235" s="2" t="str">
        <f ca="1">IFERROR(__xludf.DUMMYFUNCTION("""COMPUTED_VALUE"""),"")</f>
        <v/>
      </c>
      <c r="AJ235" s="2" t="str">
        <f ca="1">IFERROR(__xludf.DUMMYFUNCTION("""COMPUTED_VALUE"""),"")</f>
        <v/>
      </c>
      <c r="AK235" s="2" t="str">
        <f ca="1">IFERROR(__xludf.DUMMYFUNCTION("""COMPUTED_VALUE"""),"")</f>
        <v/>
      </c>
      <c r="AL235" s="2" t="str">
        <f ca="1">IFERROR(__xludf.DUMMYFUNCTION("""COMPUTED_VALUE"""),"")</f>
        <v/>
      </c>
      <c r="AM235" s="2" t="str">
        <f ca="1">IFERROR(__xludf.DUMMYFUNCTION("""COMPUTED_VALUE"""),"")</f>
        <v/>
      </c>
      <c r="AN235" s="2" t="str">
        <f ca="1">IFERROR(__xludf.DUMMYFUNCTION("""COMPUTED_VALUE"""),"")</f>
        <v/>
      </c>
      <c r="AO235" s="2" t="str">
        <f ca="1">IFERROR(__xludf.DUMMYFUNCTION("""COMPUTED_VALUE"""),"")</f>
        <v/>
      </c>
      <c r="AP235" s="2" t="str">
        <f ca="1">IFERROR(__xludf.DUMMYFUNCTION("""COMPUTED_VALUE"""),"")</f>
        <v/>
      </c>
      <c r="AQ235" s="2" t="str">
        <f ca="1">IFERROR(__xludf.DUMMYFUNCTION("""COMPUTED_VALUE"""),"")</f>
        <v/>
      </c>
      <c r="AR235" s="2" t="str">
        <f ca="1">IFERROR(__xludf.DUMMYFUNCTION("""COMPUTED_VALUE"""),"")</f>
        <v/>
      </c>
      <c r="AS235" s="2" t="str">
        <f ca="1">IFERROR(__xludf.DUMMYFUNCTION("""COMPUTED_VALUE"""),"")</f>
        <v/>
      </c>
      <c r="AT235" s="2" t="str">
        <f ca="1">IFERROR(__xludf.DUMMYFUNCTION("""COMPUTED_VALUE"""),"")</f>
        <v/>
      </c>
      <c r="AU235" s="2" t="str">
        <f ca="1">IFERROR(__xludf.DUMMYFUNCTION("""COMPUTED_VALUE"""),"")</f>
        <v/>
      </c>
      <c r="AV235" s="2" t="str">
        <f ca="1">IFERROR(__xludf.DUMMYFUNCTION("""COMPUTED_VALUE"""),"")</f>
        <v/>
      </c>
      <c r="AW235" s="2" t="str">
        <f ca="1">IFERROR(__xludf.DUMMYFUNCTION("""COMPUTED_VALUE"""),"")</f>
        <v/>
      </c>
      <c r="AX235" s="2" t="str">
        <f ca="1">IFERROR(__xludf.DUMMYFUNCTION("""COMPUTED_VALUE"""),"")</f>
        <v/>
      </c>
      <c r="AY235" s="2" t="str">
        <f ca="1">IFERROR(__xludf.DUMMYFUNCTION("""COMPUTED_VALUE"""),"")</f>
        <v/>
      </c>
      <c r="AZ235" s="2" t="str">
        <f ca="1">IFERROR(__xludf.DUMMYFUNCTION("""COMPUTED_VALUE"""),"")</f>
        <v/>
      </c>
      <c r="BA235" s="2" t="str">
        <f ca="1">IFERROR(__xludf.DUMMYFUNCTION("""COMPUTED_VALUE"""),"")</f>
        <v/>
      </c>
      <c r="BB235" s="2" t="str">
        <f ca="1">IFERROR(__xludf.DUMMYFUNCTION("""COMPUTED_VALUE"""),"")</f>
        <v/>
      </c>
      <c r="BC235" s="2" t="str">
        <f ca="1">IFERROR(__xludf.DUMMYFUNCTION("""COMPUTED_VALUE"""),"")</f>
        <v/>
      </c>
      <c r="BD235" s="2" t="str">
        <f ca="1">IFERROR(__xludf.DUMMYFUNCTION("""COMPUTED_VALUE"""),"")</f>
        <v/>
      </c>
      <c r="BE235" s="2" t="str">
        <f ca="1">IFERROR(__xludf.DUMMYFUNCTION("""COMPUTED_VALUE"""),"")</f>
        <v/>
      </c>
      <c r="BF235" t="str">
        <f ca="1">IFERROR(__xludf.DUMMYFUNCTION("""COMPUTED_VALUE"""),"")</f>
        <v/>
      </c>
      <c r="BG235" t="str">
        <f ca="1">IFERROR(__xludf.DUMMYFUNCTION("""COMPUTED_VALUE"""),"")</f>
        <v/>
      </c>
      <c r="BH235" s="2">
        <f ca="1">IFERROR(__xludf.DUMMYFUNCTION("""COMPUTED_VALUE"""),-37.3215866)</f>
        <v>-37.321586600000003</v>
      </c>
      <c r="BI235" s="12">
        <f ca="1">IFERROR(__xludf.DUMMYFUNCTION("""COMPUTED_VALUE"""),175.460495)</f>
        <v>175.46049500000001</v>
      </c>
      <c r="BJ235" s="9">
        <f ca="1">IFERROR(__xludf.DUMMYFUNCTION("""COMPUTED_VALUE"""),43430)</f>
        <v>43430</v>
      </c>
      <c r="BK235" s="4">
        <f ca="1">IFERROR(__xludf.DUMMYFUNCTION("""COMPUTED_VALUE"""),0.958518518516939)</f>
        <v>0.95851851851693903</v>
      </c>
    </row>
    <row r="236" spans="1:63" ht="12.5" x14ac:dyDescent="0.25">
      <c r="A236" s="7" t="str">
        <f ca="1">IFERROR(__xludf.DUMMYFUNCTION("""COMPUTED_VALUE"""),"")</f>
        <v/>
      </c>
      <c r="B236" s="8" t="str">
        <f ca="1">IFERROR(__xludf.DUMMYFUNCTION("""COMPUTED_VALUE"""),"Waikato")</f>
        <v>Waikato</v>
      </c>
      <c r="C236" s="2">
        <f ca="1">IFERROR(__xludf.DUMMYFUNCTION("""COMPUTED_VALUE"""),23)</f>
        <v>23</v>
      </c>
      <c r="D236" s="9" t="str">
        <f ca="1">IFERROR(__xludf.DUMMYFUNCTION("""COMPUTED_VALUE"""),"")</f>
        <v/>
      </c>
      <c r="E236" s="4" t="str">
        <f ca="1">IFERROR(__xludf.DUMMYFUNCTION("""COMPUTED_VALUE"""),"")</f>
        <v/>
      </c>
      <c r="F236" s="2" t="str">
        <f ca="1">IFERROR(__xludf.DUMMYFUNCTION("""COMPUTED_VALUE"""),"")</f>
        <v/>
      </c>
      <c r="G236" s="2" t="str">
        <f ca="1">IFERROR(__xludf.DUMMYFUNCTION("""COMPUTED_VALUE"""),"GPS: I converted data downloaded from ARGOS using Pinpoint software")</f>
        <v>GPS: I converted data downloaded from ARGOS using Pinpoint software</v>
      </c>
      <c r="H236" s="2" t="str">
        <f ca="1">IFERROR(__xludf.DUMMYFUNCTION("""COMPUTED_VALUE"""),"3D")</f>
        <v>3D</v>
      </c>
      <c r="I236" s="2" t="str">
        <f ca="1">IFERROR(__xludf.DUMMYFUNCTION("""COMPUTED_VALUE"""),"")</f>
        <v/>
      </c>
      <c r="J236" s="2" t="str">
        <f ca="1">IFERROR(__xludf.DUMMYFUNCTION("""COMPUTED_VALUE"""),"")</f>
        <v/>
      </c>
      <c r="K236" s="2" t="str">
        <f ca="1">IFERROR(__xludf.DUMMYFUNCTION("""COMPUTED_VALUE"""),"")</f>
        <v/>
      </c>
      <c r="L236" s="2" t="str">
        <f ca="1">IFERROR(__xludf.DUMMYFUNCTION("""COMPUTED_VALUE"""),"")</f>
        <v/>
      </c>
      <c r="M236" s="5" t="str">
        <f ca="1">IFERROR(__xludf.DUMMYFUNCTION("""COMPUTED_VALUE"""),"")</f>
        <v/>
      </c>
      <c r="N236" s="5" t="str">
        <f ca="1">IFERROR(__xludf.DUMMYFUNCTION("""COMPUTED_VALUE"""),"")</f>
        <v/>
      </c>
      <c r="O236" s="2" t="str">
        <f ca="1">IFERROR(__xludf.DUMMYFUNCTION("""COMPUTED_VALUE"""),"")</f>
        <v/>
      </c>
      <c r="P236" s="2" t="str">
        <f ca="1">IFERROR(__xludf.DUMMYFUNCTION("""COMPUTED_VALUE"""),"")</f>
        <v/>
      </c>
      <c r="Q236" s="2" t="str">
        <f ca="1">IFERROR(__xludf.DUMMYFUNCTION("""COMPUTED_VALUE"""),"")</f>
        <v/>
      </c>
      <c r="R236" s="2" t="str">
        <f ca="1">IFERROR(__xludf.DUMMYFUNCTION("""COMPUTED_VALUE"""),"")</f>
        <v/>
      </c>
      <c r="S236" s="2" t="str">
        <f ca="1">IFERROR(__xludf.DUMMYFUNCTION("""COMPUTED_VALUE"""),"")</f>
        <v/>
      </c>
      <c r="T236" s="2" t="str">
        <f ca="1">IFERROR(__xludf.DUMMYFUNCTION("""COMPUTED_VALUE"""),"")</f>
        <v/>
      </c>
      <c r="U236" s="2" t="str">
        <f ca="1">IFERROR(__xludf.DUMMYFUNCTION("""COMPUTED_VALUE"""),"")</f>
        <v/>
      </c>
      <c r="V236" s="2" t="str">
        <f ca="1">IFERROR(__xludf.DUMMYFUNCTION("""COMPUTED_VALUE"""),"")</f>
        <v/>
      </c>
      <c r="W236" s="2" t="str">
        <f ca="1">IFERROR(__xludf.DUMMYFUNCTION("""COMPUTED_VALUE"""),"")</f>
        <v/>
      </c>
      <c r="X236" s="2" t="str">
        <f ca="1">IFERROR(__xludf.DUMMYFUNCTION("""COMPUTED_VALUE"""),"")</f>
        <v/>
      </c>
      <c r="Y236" s="2" t="str">
        <f ca="1">IFERROR(__xludf.DUMMYFUNCTION("""COMPUTED_VALUE"""),"")</f>
        <v/>
      </c>
      <c r="Z236" s="2" t="str">
        <f ca="1">IFERROR(__xludf.DUMMYFUNCTION("""COMPUTED_VALUE"""),"")</f>
        <v/>
      </c>
      <c r="AA236" s="2" t="str">
        <f ca="1">IFERROR(__xludf.DUMMYFUNCTION("""COMPUTED_VALUE"""),"")</f>
        <v/>
      </c>
      <c r="AB236" s="2" t="str">
        <f ca="1">IFERROR(__xludf.DUMMYFUNCTION("""COMPUTED_VALUE"""),"")</f>
        <v/>
      </c>
      <c r="AC236" s="2" t="str">
        <f ca="1">IFERROR(__xludf.DUMMYFUNCTION("""COMPUTED_VALUE"""),"")</f>
        <v/>
      </c>
      <c r="AD236" s="2" t="str">
        <f ca="1">IFERROR(__xludf.DUMMYFUNCTION("""COMPUTED_VALUE"""),"")</f>
        <v/>
      </c>
      <c r="AE236" s="2" t="str">
        <f ca="1">IFERROR(__xludf.DUMMYFUNCTION("""COMPUTED_VALUE"""),"")</f>
        <v/>
      </c>
      <c r="AF236" s="2" t="str">
        <f ca="1">IFERROR(__xludf.DUMMYFUNCTION("""COMPUTED_VALUE"""),"")</f>
        <v/>
      </c>
      <c r="AG236" s="2" t="str">
        <f ca="1">IFERROR(__xludf.DUMMYFUNCTION("""COMPUTED_VALUE"""),"")</f>
        <v/>
      </c>
      <c r="AH236" s="2" t="str">
        <f ca="1">IFERROR(__xludf.DUMMYFUNCTION("""COMPUTED_VALUE"""),"")</f>
        <v/>
      </c>
      <c r="AI236" s="2" t="str">
        <f ca="1">IFERROR(__xludf.DUMMYFUNCTION("""COMPUTED_VALUE"""),"")</f>
        <v/>
      </c>
      <c r="AJ236" s="2" t="str">
        <f ca="1">IFERROR(__xludf.DUMMYFUNCTION("""COMPUTED_VALUE"""),"")</f>
        <v/>
      </c>
      <c r="AK236" s="2" t="str">
        <f ca="1">IFERROR(__xludf.DUMMYFUNCTION("""COMPUTED_VALUE"""),"")</f>
        <v/>
      </c>
      <c r="AL236" s="2" t="str">
        <f ca="1">IFERROR(__xludf.DUMMYFUNCTION("""COMPUTED_VALUE"""),"")</f>
        <v/>
      </c>
      <c r="AM236" s="2" t="str">
        <f ca="1">IFERROR(__xludf.DUMMYFUNCTION("""COMPUTED_VALUE"""),"")</f>
        <v/>
      </c>
      <c r="AN236" s="2" t="str">
        <f ca="1">IFERROR(__xludf.DUMMYFUNCTION("""COMPUTED_VALUE"""),"")</f>
        <v/>
      </c>
      <c r="AO236" s="2" t="str">
        <f ca="1">IFERROR(__xludf.DUMMYFUNCTION("""COMPUTED_VALUE"""),"")</f>
        <v/>
      </c>
      <c r="AP236" s="2" t="str">
        <f ca="1">IFERROR(__xludf.DUMMYFUNCTION("""COMPUTED_VALUE"""),"")</f>
        <v/>
      </c>
      <c r="AQ236" s="2" t="str">
        <f ca="1">IFERROR(__xludf.DUMMYFUNCTION("""COMPUTED_VALUE"""),"")</f>
        <v/>
      </c>
      <c r="AR236" s="2" t="str">
        <f ca="1">IFERROR(__xludf.DUMMYFUNCTION("""COMPUTED_VALUE"""),"")</f>
        <v/>
      </c>
      <c r="AS236" s="2" t="str">
        <f ca="1">IFERROR(__xludf.DUMMYFUNCTION("""COMPUTED_VALUE"""),"")</f>
        <v/>
      </c>
      <c r="AT236" s="2" t="str">
        <f ca="1">IFERROR(__xludf.DUMMYFUNCTION("""COMPUTED_VALUE"""),"")</f>
        <v/>
      </c>
      <c r="AU236" s="2" t="str">
        <f ca="1">IFERROR(__xludf.DUMMYFUNCTION("""COMPUTED_VALUE"""),"")</f>
        <v/>
      </c>
      <c r="AV236" s="2" t="str">
        <f ca="1">IFERROR(__xludf.DUMMYFUNCTION("""COMPUTED_VALUE"""),"")</f>
        <v/>
      </c>
      <c r="AW236" s="2" t="str">
        <f ca="1">IFERROR(__xludf.DUMMYFUNCTION("""COMPUTED_VALUE"""),"")</f>
        <v/>
      </c>
      <c r="AX236" s="2" t="str">
        <f ca="1">IFERROR(__xludf.DUMMYFUNCTION("""COMPUTED_VALUE"""),"")</f>
        <v/>
      </c>
      <c r="AY236" s="2" t="str">
        <f ca="1">IFERROR(__xludf.DUMMYFUNCTION("""COMPUTED_VALUE"""),"")</f>
        <v/>
      </c>
      <c r="AZ236" s="2" t="str">
        <f ca="1">IFERROR(__xludf.DUMMYFUNCTION("""COMPUTED_VALUE"""),"")</f>
        <v/>
      </c>
      <c r="BA236" s="2" t="str">
        <f ca="1">IFERROR(__xludf.DUMMYFUNCTION("""COMPUTED_VALUE"""),"")</f>
        <v/>
      </c>
      <c r="BB236" s="2" t="str">
        <f ca="1">IFERROR(__xludf.DUMMYFUNCTION("""COMPUTED_VALUE"""),"")</f>
        <v/>
      </c>
      <c r="BC236" s="2" t="str">
        <f ca="1">IFERROR(__xludf.DUMMYFUNCTION("""COMPUTED_VALUE"""),"")</f>
        <v/>
      </c>
      <c r="BD236" s="2" t="str">
        <f ca="1">IFERROR(__xludf.DUMMYFUNCTION("""COMPUTED_VALUE"""),"")</f>
        <v/>
      </c>
      <c r="BE236" s="2" t="str">
        <f ca="1">IFERROR(__xludf.DUMMYFUNCTION("""COMPUTED_VALUE"""),"")</f>
        <v/>
      </c>
      <c r="BF236" t="str">
        <f ca="1">IFERROR(__xludf.DUMMYFUNCTION("""COMPUTED_VALUE"""),"")</f>
        <v/>
      </c>
      <c r="BG236" t="str">
        <f ca="1">IFERROR(__xludf.DUMMYFUNCTION("""COMPUTED_VALUE"""),"")</f>
        <v/>
      </c>
      <c r="BH236" s="2">
        <f ca="1">IFERROR(__xludf.DUMMYFUNCTION("""COMPUTED_VALUE"""),-37.3237114)</f>
        <v>-37.323711400000001</v>
      </c>
      <c r="BI236" s="13">
        <f ca="1">IFERROR(__xludf.DUMMYFUNCTION("""COMPUTED_VALUE"""),175.4535828)</f>
        <v>175.45358279999999</v>
      </c>
      <c r="BJ236" s="9">
        <f ca="1">IFERROR(__xludf.DUMMYFUNCTION("""COMPUTED_VALUE"""),43432)</f>
        <v>43432</v>
      </c>
      <c r="BK236" s="4">
        <f ca="1">IFERROR(__xludf.DUMMYFUNCTION("""COMPUTED_VALUE"""),0.457777777777664)</f>
        <v>0.45777777777766399</v>
      </c>
    </row>
    <row r="237" spans="1:63" ht="12.5" x14ac:dyDescent="0.25">
      <c r="A237" s="7" t="str">
        <f ca="1">IFERROR(__xludf.DUMMYFUNCTION("""COMPUTED_VALUE"""),"")</f>
        <v/>
      </c>
      <c r="B237" s="8" t="str">
        <f ca="1">IFERROR(__xludf.DUMMYFUNCTION("""COMPUTED_VALUE"""),"Waikato")</f>
        <v>Waikato</v>
      </c>
      <c r="C237" s="2">
        <f ca="1">IFERROR(__xludf.DUMMYFUNCTION("""COMPUTED_VALUE"""),23)</f>
        <v>23</v>
      </c>
      <c r="D237" s="9" t="str">
        <f ca="1">IFERROR(__xludf.DUMMYFUNCTION("""COMPUTED_VALUE"""),"")</f>
        <v/>
      </c>
      <c r="E237" s="4" t="str">
        <f ca="1">IFERROR(__xludf.DUMMYFUNCTION("""COMPUTED_VALUE"""),"")</f>
        <v/>
      </c>
      <c r="F237" s="2" t="str">
        <f ca="1">IFERROR(__xludf.DUMMYFUNCTION("""COMPUTED_VALUE"""),"")</f>
        <v/>
      </c>
      <c r="G237" s="2" t="str">
        <f ca="1">IFERROR(__xludf.DUMMYFUNCTION("""COMPUTED_VALUE"""),"GPS: I converted data downloaded from ARGOS using Pinpoint software")</f>
        <v>GPS: I converted data downloaded from ARGOS using Pinpoint software</v>
      </c>
      <c r="H237" s="2" t="str">
        <f ca="1">IFERROR(__xludf.DUMMYFUNCTION("""COMPUTED_VALUE"""),"3D")</f>
        <v>3D</v>
      </c>
      <c r="I237" s="2" t="str">
        <f ca="1">IFERROR(__xludf.DUMMYFUNCTION("""COMPUTED_VALUE"""),"")</f>
        <v/>
      </c>
      <c r="J237" s="2" t="str">
        <f ca="1">IFERROR(__xludf.DUMMYFUNCTION("""COMPUTED_VALUE"""),"")</f>
        <v/>
      </c>
      <c r="K237" s="2" t="str">
        <f ca="1">IFERROR(__xludf.DUMMYFUNCTION("""COMPUTED_VALUE"""),"")</f>
        <v/>
      </c>
      <c r="L237" s="2" t="str">
        <f ca="1">IFERROR(__xludf.DUMMYFUNCTION("""COMPUTED_VALUE"""),"")</f>
        <v/>
      </c>
      <c r="M237" s="5" t="str">
        <f ca="1">IFERROR(__xludf.DUMMYFUNCTION("""COMPUTED_VALUE"""),"")</f>
        <v/>
      </c>
      <c r="N237" s="5" t="str">
        <f ca="1">IFERROR(__xludf.DUMMYFUNCTION("""COMPUTED_VALUE"""),"")</f>
        <v/>
      </c>
      <c r="O237" s="2" t="str">
        <f ca="1">IFERROR(__xludf.DUMMYFUNCTION("""COMPUTED_VALUE"""),"")</f>
        <v/>
      </c>
      <c r="P237" s="2" t="str">
        <f ca="1">IFERROR(__xludf.DUMMYFUNCTION("""COMPUTED_VALUE"""),"")</f>
        <v/>
      </c>
      <c r="Q237" s="2" t="str">
        <f ca="1">IFERROR(__xludf.DUMMYFUNCTION("""COMPUTED_VALUE"""),"")</f>
        <v/>
      </c>
      <c r="R237" s="2" t="str">
        <f ca="1">IFERROR(__xludf.DUMMYFUNCTION("""COMPUTED_VALUE"""),"")</f>
        <v/>
      </c>
      <c r="S237" s="2" t="str">
        <f ca="1">IFERROR(__xludf.DUMMYFUNCTION("""COMPUTED_VALUE"""),"")</f>
        <v/>
      </c>
      <c r="T237" s="2" t="str">
        <f ca="1">IFERROR(__xludf.DUMMYFUNCTION("""COMPUTED_VALUE"""),"")</f>
        <v/>
      </c>
      <c r="U237" s="2" t="str">
        <f ca="1">IFERROR(__xludf.DUMMYFUNCTION("""COMPUTED_VALUE"""),"")</f>
        <v/>
      </c>
      <c r="V237" s="2" t="str">
        <f ca="1">IFERROR(__xludf.DUMMYFUNCTION("""COMPUTED_VALUE"""),"")</f>
        <v/>
      </c>
      <c r="W237" s="2" t="str">
        <f ca="1">IFERROR(__xludf.DUMMYFUNCTION("""COMPUTED_VALUE"""),"")</f>
        <v/>
      </c>
      <c r="X237" s="2" t="str">
        <f ca="1">IFERROR(__xludf.DUMMYFUNCTION("""COMPUTED_VALUE"""),"")</f>
        <v/>
      </c>
      <c r="Y237" s="2" t="str">
        <f ca="1">IFERROR(__xludf.DUMMYFUNCTION("""COMPUTED_VALUE"""),"")</f>
        <v/>
      </c>
      <c r="Z237" s="2" t="str">
        <f ca="1">IFERROR(__xludf.DUMMYFUNCTION("""COMPUTED_VALUE"""),"")</f>
        <v/>
      </c>
      <c r="AA237" s="2" t="str">
        <f ca="1">IFERROR(__xludf.DUMMYFUNCTION("""COMPUTED_VALUE"""),"")</f>
        <v/>
      </c>
      <c r="AB237" s="2" t="str">
        <f ca="1">IFERROR(__xludf.DUMMYFUNCTION("""COMPUTED_VALUE"""),"")</f>
        <v/>
      </c>
      <c r="AC237" s="2" t="str">
        <f ca="1">IFERROR(__xludf.DUMMYFUNCTION("""COMPUTED_VALUE"""),"")</f>
        <v/>
      </c>
      <c r="AD237" s="2" t="str">
        <f ca="1">IFERROR(__xludf.DUMMYFUNCTION("""COMPUTED_VALUE"""),"")</f>
        <v/>
      </c>
      <c r="AE237" s="2" t="str">
        <f ca="1">IFERROR(__xludf.DUMMYFUNCTION("""COMPUTED_VALUE"""),"")</f>
        <v/>
      </c>
      <c r="AF237" s="2" t="str">
        <f ca="1">IFERROR(__xludf.DUMMYFUNCTION("""COMPUTED_VALUE"""),"")</f>
        <v/>
      </c>
      <c r="AG237" s="2" t="str">
        <f ca="1">IFERROR(__xludf.DUMMYFUNCTION("""COMPUTED_VALUE"""),"")</f>
        <v/>
      </c>
      <c r="AH237" s="2" t="str">
        <f ca="1">IFERROR(__xludf.DUMMYFUNCTION("""COMPUTED_VALUE"""),"")</f>
        <v/>
      </c>
      <c r="AI237" s="2" t="str">
        <f ca="1">IFERROR(__xludf.DUMMYFUNCTION("""COMPUTED_VALUE"""),"")</f>
        <v/>
      </c>
      <c r="AJ237" s="2" t="str">
        <f ca="1">IFERROR(__xludf.DUMMYFUNCTION("""COMPUTED_VALUE"""),"")</f>
        <v/>
      </c>
      <c r="AK237" s="2" t="str">
        <f ca="1">IFERROR(__xludf.DUMMYFUNCTION("""COMPUTED_VALUE"""),"")</f>
        <v/>
      </c>
      <c r="AL237" s="2" t="str">
        <f ca="1">IFERROR(__xludf.DUMMYFUNCTION("""COMPUTED_VALUE"""),"")</f>
        <v/>
      </c>
      <c r="AM237" s="2" t="str">
        <f ca="1">IFERROR(__xludf.DUMMYFUNCTION("""COMPUTED_VALUE"""),"")</f>
        <v/>
      </c>
      <c r="AN237" s="2" t="str">
        <f ca="1">IFERROR(__xludf.DUMMYFUNCTION("""COMPUTED_VALUE"""),"")</f>
        <v/>
      </c>
      <c r="AO237" s="2" t="str">
        <f ca="1">IFERROR(__xludf.DUMMYFUNCTION("""COMPUTED_VALUE"""),"")</f>
        <v/>
      </c>
      <c r="AP237" s="2" t="str">
        <f ca="1">IFERROR(__xludf.DUMMYFUNCTION("""COMPUTED_VALUE"""),"")</f>
        <v/>
      </c>
      <c r="AQ237" s="2" t="str">
        <f ca="1">IFERROR(__xludf.DUMMYFUNCTION("""COMPUTED_VALUE"""),"")</f>
        <v/>
      </c>
      <c r="AR237" s="2" t="str">
        <f ca="1">IFERROR(__xludf.DUMMYFUNCTION("""COMPUTED_VALUE"""),"")</f>
        <v/>
      </c>
      <c r="AS237" s="2" t="str">
        <f ca="1">IFERROR(__xludf.DUMMYFUNCTION("""COMPUTED_VALUE"""),"")</f>
        <v/>
      </c>
      <c r="AT237" s="2" t="str">
        <f ca="1">IFERROR(__xludf.DUMMYFUNCTION("""COMPUTED_VALUE"""),"")</f>
        <v/>
      </c>
      <c r="AU237" s="2" t="str">
        <f ca="1">IFERROR(__xludf.DUMMYFUNCTION("""COMPUTED_VALUE"""),"")</f>
        <v/>
      </c>
      <c r="AV237" s="2" t="str">
        <f ca="1">IFERROR(__xludf.DUMMYFUNCTION("""COMPUTED_VALUE"""),"")</f>
        <v/>
      </c>
      <c r="AW237" s="2" t="str">
        <f ca="1">IFERROR(__xludf.DUMMYFUNCTION("""COMPUTED_VALUE"""),"")</f>
        <v/>
      </c>
      <c r="AX237" s="2" t="str">
        <f ca="1">IFERROR(__xludf.DUMMYFUNCTION("""COMPUTED_VALUE"""),"")</f>
        <v/>
      </c>
      <c r="AY237" s="2" t="str">
        <f ca="1">IFERROR(__xludf.DUMMYFUNCTION("""COMPUTED_VALUE"""),"")</f>
        <v/>
      </c>
      <c r="AZ237" s="2" t="str">
        <f ca="1">IFERROR(__xludf.DUMMYFUNCTION("""COMPUTED_VALUE"""),"")</f>
        <v/>
      </c>
      <c r="BA237" s="2" t="str">
        <f ca="1">IFERROR(__xludf.DUMMYFUNCTION("""COMPUTED_VALUE"""),"")</f>
        <v/>
      </c>
      <c r="BB237" s="2" t="str">
        <f ca="1">IFERROR(__xludf.DUMMYFUNCTION("""COMPUTED_VALUE"""),"")</f>
        <v/>
      </c>
      <c r="BC237" s="2" t="str">
        <f ca="1">IFERROR(__xludf.DUMMYFUNCTION("""COMPUTED_VALUE"""),"")</f>
        <v/>
      </c>
      <c r="BD237" s="2" t="str">
        <f ca="1">IFERROR(__xludf.DUMMYFUNCTION("""COMPUTED_VALUE"""),"")</f>
        <v/>
      </c>
      <c r="BE237" s="2" t="str">
        <f ca="1">IFERROR(__xludf.DUMMYFUNCTION("""COMPUTED_VALUE"""),"")</f>
        <v/>
      </c>
      <c r="BF237" t="str">
        <f ca="1">IFERROR(__xludf.DUMMYFUNCTION("""COMPUTED_VALUE"""),"")</f>
        <v/>
      </c>
      <c r="BG237" t="str">
        <f ca="1">IFERROR(__xludf.DUMMYFUNCTION("""COMPUTED_VALUE"""),"")</f>
        <v/>
      </c>
      <c r="BH237" s="2">
        <f ca="1">IFERROR(__xludf.DUMMYFUNCTION("""COMPUTED_VALUE"""),-37.3222771)</f>
        <v>-37.322277100000001</v>
      </c>
      <c r="BI237" s="12">
        <f ca="1">IFERROR(__xludf.DUMMYFUNCTION("""COMPUTED_VALUE"""),175.461853)</f>
        <v>175.46185299999999</v>
      </c>
      <c r="BJ237" s="9">
        <f ca="1">IFERROR(__xludf.DUMMYFUNCTION("""COMPUTED_VALUE"""),43432)</f>
        <v>43432</v>
      </c>
      <c r="BK237" s="4">
        <f ca="1">IFERROR(__xludf.DUMMYFUNCTION("""COMPUTED_VALUE"""),0.958518518516939)</f>
        <v>0.95851851851693903</v>
      </c>
    </row>
    <row r="238" spans="1:63" ht="12.5" x14ac:dyDescent="0.25">
      <c r="A238" s="7" t="str">
        <f ca="1">IFERROR(__xludf.DUMMYFUNCTION("""COMPUTED_VALUE"""),"")</f>
        <v/>
      </c>
      <c r="B238" s="8" t="str">
        <f ca="1">IFERROR(__xludf.DUMMYFUNCTION("""COMPUTED_VALUE"""),"Waikato")</f>
        <v>Waikato</v>
      </c>
      <c r="C238" s="2">
        <f ca="1">IFERROR(__xludf.DUMMYFUNCTION("""COMPUTED_VALUE"""),23)</f>
        <v>23</v>
      </c>
      <c r="D238" s="9" t="str">
        <f ca="1">IFERROR(__xludf.DUMMYFUNCTION("""COMPUTED_VALUE"""),"")</f>
        <v/>
      </c>
      <c r="E238" s="4" t="str">
        <f ca="1">IFERROR(__xludf.DUMMYFUNCTION("""COMPUTED_VALUE"""),"")</f>
        <v/>
      </c>
      <c r="F238" s="2" t="str">
        <f ca="1">IFERROR(__xludf.DUMMYFUNCTION("""COMPUTED_VALUE"""),"")</f>
        <v/>
      </c>
      <c r="G238" s="2" t="str">
        <f ca="1">IFERROR(__xludf.DUMMYFUNCTION("""COMPUTED_VALUE"""),"GPS: I converted data downloaded from ARGOS using Pinpoint software")</f>
        <v>GPS: I converted data downloaded from ARGOS using Pinpoint software</v>
      </c>
      <c r="H238" s="2" t="str">
        <f ca="1">IFERROR(__xludf.DUMMYFUNCTION("""COMPUTED_VALUE"""),"3D")</f>
        <v>3D</v>
      </c>
      <c r="I238" s="2" t="str">
        <f ca="1">IFERROR(__xludf.DUMMYFUNCTION("""COMPUTED_VALUE"""),"")</f>
        <v/>
      </c>
      <c r="J238" s="2" t="str">
        <f ca="1">IFERROR(__xludf.DUMMYFUNCTION("""COMPUTED_VALUE"""),"")</f>
        <v/>
      </c>
      <c r="K238" s="2" t="str">
        <f ca="1">IFERROR(__xludf.DUMMYFUNCTION("""COMPUTED_VALUE"""),"")</f>
        <v/>
      </c>
      <c r="L238" s="2" t="str">
        <f ca="1">IFERROR(__xludf.DUMMYFUNCTION("""COMPUTED_VALUE"""),"")</f>
        <v/>
      </c>
      <c r="M238" s="5" t="str">
        <f ca="1">IFERROR(__xludf.DUMMYFUNCTION("""COMPUTED_VALUE"""),"")</f>
        <v/>
      </c>
      <c r="N238" s="5" t="str">
        <f ca="1">IFERROR(__xludf.DUMMYFUNCTION("""COMPUTED_VALUE"""),"")</f>
        <v/>
      </c>
      <c r="O238" s="2" t="str">
        <f ca="1">IFERROR(__xludf.DUMMYFUNCTION("""COMPUTED_VALUE"""),"")</f>
        <v/>
      </c>
      <c r="P238" s="2" t="str">
        <f ca="1">IFERROR(__xludf.DUMMYFUNCTION("""COMPUTED_VALUE"""),"")</f>
        <v/>
      </c>
      <c r="Q238" s="2" t="str">
        <f ca="1">IFERROR(__xludf.DUMMYFUNCTION("""COMPUTED_VALUE"""),"")</f>
        <v/>
      </c>
      <c r="R238" s="2" t="str">
        <f ca="1">IFERROR(__xludf.DUMMYFUNCTION("""COMPUTED_VALUE"""),"")</f>
        <v/>
      </c>
      <c r="S238" s="2" t="str">
        <f ca="1">IFERROR(__xludf.DUMMYFUNCTION("""COMPUTED_VALUE"""),"")</f>
        <v/>
      </c>
      <c r="T238" s="2" t="str">
        <f ca="1">IFERROR(__xludf.DUMMYFUNCTION("""COMPUTED_VALUE"""),"")</f>
        <v/>
      </c>
      <c r="U238" s="2" t="str">
        <f ca="1">IFERROR(__xludf.DUMMYFUNCTION("""COMPUTED_VALUE"""),"")</f>
        <v/>
      </c>
      <c r="V238" s="2" t="str">
        <f ca="1">IFERROR(__xludf.DUMMYFUNCTION("""COMPUTED_VALUE"""),"")</f>
        <v/>
      </c>
      <c r="W238" s="2" t="str">
        <f ca="1">IFERROR(__xludf.DUMMYFUNCTION("""COMPUTED_VALUE"""),"")</f>
        <v/>
      </c>
      <c r="X238" s="2" t="str">
        <f ca="1">IFERROR(__xludf.DUMMYFUNCTION("""COMPUTED_VALUE"""),"")</f>
        <v/>
      </c>
      <c r="Y238" s="2" t="str">
        <f ca="1">IFERROR(__xludf.DUMMYFUNCTION("""COMPUTED_VALUE"""),"")</f>
        <v/>
      </c>
      <c r="Z238" s="2" t="str">
        <f ca="1">IFERROR(__xludf.DUMMYFUNCTION("""COMPUTED_VALUE"""),"")</f>
        <v/>
      </c>
      <c r="AA238" s="2" t="str">
        <f ca="1">IFERROR(__xludf.DUMMYFUNCTION("""COMPUTED_VALUE"""),"")</f>
        <v/>
      </c>
      <c r="AB238" s="2" t="str">
        <f ca="1">IFERROR(__xludf.DUMMYFUNCTION("""COMPUTED_VALUE"""),"")</f>
        <v/>
      </c>
      <c r="AC238" s="2" t="str">
        <f ca="1">IFERROR(__xludf.DUMMYFUNCTION("""COMPUTED_VALUE"""),"")</f>
        <v/>
      </c>
      <c r="AD238" s="2" t="str">
        <f ca="1">IFERROR(__xludf.DUMMYFUNCTION("""COMPUTED_VALUE"""),"")</f>
        <v/>
      </c>
      <c r="AE238" s="2" t="str">
        <f ca="1">IFERROR(__xludf.DUMMYFUNCTION("""COMPUTED_VALUE"""),"")</f>
        <v/>
      </c>
      <c r="AF238" s="2" t="str">
        <f ca="1">IFERROR(__xludf.DUMMYFUNCTION("""COMPUTED_VALUE"""),"")</f>
        <v/>
      </c>
      <c r="AG238" s="2" t="str">
        <f ca="1">IFERROR(__xludf.DUMMYFUNCTION("""COMPUTED_VALUE"""),"")</f>
        <v/>
      </c>
      <c r="AH238" s="2" t="str">
        <f ca="1">IFERROR(__xludf.DUMMYFUNCTION("""COMPUTED_VALUE"""),"")</f>
        <v/>
      </c>
      <c r="AI238" s="2" t="str">
        <f ca="1">IFERROR(__xludf.DUMMYFUNCTION("""COMPUTED_VALUE"""),"")</f>
        <v/>
      </c>
      <c r="AJ238" s="2" t="str">
        <f ca="1">IFERROR(__xludf.DUMMYFUNCTION("""COMPUTED_VALUE"""),"")</f>
        <v/>
      </c>
      <c r="AK238" s="2" t="str">
        <f ca="1">IFERROR(__xludf.DUMMYFUNCTION("""COMPUTED_VALUE"""),"")</f>
        <v/>
      </c>
      <c r="AL238" s="2" t="str">
        <f ca="1">IFERROR(__xludf.DUMMYFUNCTION("""COMPUTED_VALUE"""),"")</f>
        <v/>
      </c>
      <c r="AM238" s="2" t="str">
        <f ca="1">IFERROR(__xludf.DUMMYFUNCTION("""COMPUTED_VALUE"""),"")</f>
        <v/>
      </c>
      <c r="AN238" s="2" t="str">
        <f ca="1">IFERROR(__xludf.DUMMYFUNCTION("""COMPUTED_VALUE"""),"")</f>
        <v/>
      </c>
      <c r="AO238" s="2" t="str">
        <f ca="1">IFERROR(__xludf.DUMMYFUNCTION("""COMPUTED_VALUE"""),"")</f>
        <v/>
      </c>
      <c r="AP238" s="2" t="str">
        <f ca="1">IFERROR(__xludf.DUMMYFUNCTION("""COMPUTED_VALUE"""),"")</f>
        <v/>
      </c>
      <c r="AQ238" s="2" t="str">
        <f ca="1">IFERROR(__xludf.DUMMYFUNCTION("""COMPUTED_VALUE"""),"")</f>
        <v/>
      </c>
      <c r="AR238" s="2" t="str">
        <f ca="1">IFERROR(__xludf.DUMMYFUNCTION("""COMPUTED_VALUE"""),"")</f>
        <v/>
      </c>
      <c r="AS238" s="2" t="str">
        <f ca="1">IFERROR(__xludf.DUMMYFUNCTION("""COMPUTED_VALUE"""),"")</f>
        <v/>
      </c>
      <c r="AT238" s="2" t="str">
        <f ca="1">IFERROR(__xludf.DUMMYFUNCTION("""COMPUTED_VALUE"""),"")</f>
        <v/>
      </c>
      <c r="AU238" s="2" t="str">
        <f ca="1">IFERROR(__xludf.DUMMYFUNCTION("""COMPUTED_VALUE"""),"")</f>
        <v/>
      </c>
      <c r="AV238" s="2" t="str">
        <f ca="1">IFERROR(__xludf.DUMMYFUNCTION("""COMPUTED_VALUE"""),"")</f>
        <v/>
      </c>
      <c r="AW238" s="2" t="str">
        <f ca="1">IFERROR(__xludf.DUMMYFUNCTION("""COMPUTED_VALUE"""),"")</f>
        <v/>
      </c>
      <c r="AX238" s="2" t="str">
        <f ca="1">IFERROR(__xludf.DUMMYFUNCTION("""COMPUTED_VALUE"""),"")</f>
        <v/>
      </c>
      <c r="AY238" s="2" t="str">
        <f ca="1">IFERROR(__xludf.DUMMYFUNCTION("""COMPUTED_VALUE"""),"")</f>
        <v/>
      </c>
      <c r="AZ238" s="2" t="str">
        <f ca="1">IFERROR(__xludf.DUMMYFUNCTION("""COMPUTED_VALUE"""),"")</f>
        <v/>
      </c>
      <c r="BA238" s="2" t="str">
        <f ca="1">IFERROR(__xludf.DUMMYFUNCTION("""COMPUTED_VALUE"""),"")</f>
        <v/>
      </c>
      <c r="BB238" s="2" t="str">
        <f ca="1">IFERROR(__xludf.DUMMYFUNCTION("""COMPUTED_VALUE"""),"")</f>
        <v/>
      </c>
      <c r="BC238" s="2" t="str">
        <f ca="1">IFERROR(__xludf.DUMMYFUNCTION("""COMPUTED_VALUE"""),"")</f>
        <v/>
      </c>
      <c r="BD238" s="2" t="str">
        <f ca="1">IFERROR(__xludf.DUMMYFUNCTION("""COMPUTED_VALUE"""),"")</f>
        <v/>
      </c>
      <c r="BE238" s="2" t="str">
        <f ca="1">IFERROR(__xludf.DUMMYFUNCTION("""COMPUTED_VALUE"""),"")</f>
        <v/>
      </c>
      <c r="BF238" t="str">
        <f ca="1">IFERROR(__xludf.DUMMYFUNCTION("""COMPUTED_VALUE"""),"")</f>
        <v/>
      </c>
      <c r="BG238" t="str">
        <f ca="1">IFERROR(__xludf.DUMMYFUNCTION("""COMPUTED_VALUE"""),"")</f>
        <v/>
      </c>
      <c r="BH238" s="2">
        <f ca="1">IFERROR(__xludf.DUMMYFUNCTION("""COMPUTED_VALUE"""),-37.3236084)</f>
        <v>-37.323608399999998</v>
      </c>
      <c r="BI238" s="13">
        <f ca="1">IFERROR(__xludf.DUMMYFUNCTION("""COMPUTED_VALUE"""),175.4528351)</f>
        <v>175.45283509999999</v>
      </c>
      <c r="BJ238" s="9">
        <f ca="1">IFERROR(__xludf.DUMMYFUNCTION("""COMPUTED_VALUE"""),43434)</f>
        <v>43434</v>
      </c>
      <c r="BK238" s="4">
        <f ca="1">IFERROR(__xludf.DUMMYFUNCTION("""COMPUTED_VALUE"""),0.457777777777664)</f>
        <v>0.45777777777766399</v>
      </c>
    </row>
    <row r="239" spans="1:63" ht="12.5" x14ac:dyDescent="0.25">
      <c r="A239" s="7" t="str">
        <f ca="1">IFERROR(__xludf.DUMMYFUNCTION("""COMPUTED_VALUE"""),"")</f>
        <v/>
      </c>
      <c r="B239" s="8" t="str">
        <f ca="1">IFERROR(__xludf.DUMMYFUNCTION("""COMPUTED_VALUE"""),"Waikato")</f>
        <v>Waikato</v>
      </c>
      <c r="C239" s="2">
        <f ca="1">IFERROR(__xludf.DUMMYFUNCTION("""COMPUTED_VALUE"""),23)</f>
        <v>23</v>
      </c>
      <c r="D239" s="9" t="str">
        <f ca="1">IFERROR(__xludf.DUMMYFUNCTION("""COMPUTED_VALUE"""),"")</f>
        <v/>
      </c>
      <c r="E239" s="4" t="str">
        <f ca="1">IFERROR(__xludf.DUMMYFUNCTION("""COMPUTED_VALUE"""),"")</f>
        <v/>
      </c>
      <c r="F239" s="2" t="str">
        <f ca="1">IFERROR(__xludf.DUMMYFUNCTION("""COMPUTED_VALUE"""),"")</f>
        <v/>
      </c>
      <c r="G239" s="2" t="str">
        <f ca="1">IFERROR(__xludf.DUMMYFUNCTION("""COMPUTED_VALUE"""),"GPS: I converted data downloaded from ARGOS using Pinpoint software")</f>
        <v>GPS: I converted data downloaded from ARGOS using Pinpoint software</v>
      </c>
      <c r="H239" s="2" t="str">
        <f ca="1">IFERROR(__xludf.DUMMYFUNCTION("""COMPUTED_VALUE"""),"3D")</f>
        <v>3D</v>
      </c>
      <c r="I239" s="2" t="str">
        <f ca="1">IFERROR(__xludf.DUMMYFUNCTION("""COMPUTED_VALUE"""),"")</f>
        <v/>
      </c>
      <c r="J239" s="2" t="str">
        <f ca="1">IFERROR(__xludf.DUMMYFUNCTION("""COMPUTED_VALUE"""),"")</f>
        <v/>
      </c>
      <c r="K239" s="2" t="str">
        <f ca="1">IFERROR(__xludf.DUMMYFUNCTION("""COMPUTED_VALUE"""),"")</f>
        <v/>
      </c>
      <c r="L239" s="2" t="str">
        <f ca="1">IFERROR(__xludf.DUMMYFUNCTION("""COMPUTED_VALUE"""),"")</f>
        <v/>
      </c>
      <c r="M239" s="5" t="str">
        <f ca="1">IFERROR(__xludf.DUMMYFUNCTION("""COMPUTED_VALUE"""),"")</f>
        <v/>
      </c>
      <c r="N239" s="5" t="str">
        <f ca="1">IFERROR(__xludf.DUMMYFUNCTION("""COMPUTED_VALUE"""),"")</f>
        <v/>
      </c>
      <c r="O239" s="2" t="str">
        <f ca="1">IFERROR(__xludf.DUMMYFUNCTION("""COMPUTED_VALUE"""),"")</f>
        <v/>
      </c>
      <c r="P239" s="2" t="str">
        <f ca="1">IFERROR(__xludf.DUMMYFUNCTION("""COMPUTED_VALUE"""),"")</f>
        <v/>
      </c>
      <c r="Q239" s="2" t="str">
        <f ca="1">IFERROR(__xludf.DUMMYFUNCTION("""COMPUTED_VALUE"""),"")</f>
        <v/>
      </c>
      <c r="R239" s="2" t="str">
        <f ca="1">IFERROR(__xludf.DUMMYFUNCTION("""COMPUTED_VALUE"""),"")</f>
        <v/>
      </c>
      <c r="S239" s="2" t="str">
        <f ca="1">IFERROR(__xludf.DUMMYFUNCTION("""COMPUTED_VALUE"""),"")</f>
        <v/>
      </c>
      <c r="T239" s="2" t="str">
        <f ca="1">IFERROR(__xludf.DUMMYFUNCTION("""COMPUTED_VALUE"""),"")</f>
        <v/>
      </c>
      <c r="U239" s="2" t="str">
        <f ca="1">IFERROR(__xludf.DUMMYFUNCTION("""COMPUTED_VALUE"""),"")</f>
        <v/>
      </c>
      <c r="V239" s="2" t="str">
        <f ca="1">IFERROR(__xludf.DUMMYFUNCTION("""COMPUTED_VALUE"""),"")</f>
        <v/>
      </c>
      <c r="W239" s="2" t="str">
        <f ca="1">IFERROR(__xludf.DUMMYFUNCTION("""COMPUTED_VALUE"""),"")</f>
        <v/>
      </c>
      <c r="X239" s="2" t="str">
        <f ca="1">IFERROR(__xludf.DUMMYFUNCTION("""COMPUTED_VALUE"""),"")</f>
        <v/>
      </c>
      <c r="Y239" s="2" t="str">
        <f ca="1">IFERROR(__xludf.DUMMYFUNCTION("""COMPUTED_VALUE"""),"")</f>
        <v/>
      </c>
      <c r="Z239" s="2" t="str">
        <f ca="1">IFERROR(__xludf.DUMMYFUNCTION("""COMPUTED_VALUE"""),"")</f>
        <v/>
      </c>
      <c r="AA239" s="2" t="str">
        <f ca="1">IFERROR(__xludf.DUMMYFUNCTION("""COMPUTED_VALUE"""),"")</f>
        <v/>
      </c>
      <c r="AB239" s="2" t="str">
        <f ca="1">IFERROR(__xludf.DUMMYFUNCTION("""COMPUTED_VALUE"""),"")</f>
        <v/>
      </c>
      <c r="AC239" s="2" t="str">
        <f ca="1">IFERROR(__xludf.DUMMYFUNCTION("""COMPUTED_VALUE"""),"")</f>
        <v/>
      </c>
      <c r="AD239" s="2" t="str">
        <f ca="1">IFERROR(__xludf.DUMMYFUNCTION("""COMPUTED_VALUE"""),"")</f>
        <v/>
      </c>
      <c r="AE239" s="2" t="str">
        <f ca="1">IFERROR(__xludf.DUMMYFUNCTION("""COMPUTED_VALUE"""),"")</f>
        <v/>
      </c>
      <c r="AF239" s="2" t="str">
        <f ca="1">IFERROR(__xludf.DUMMYFUNCTION("""COMPUTED_VALUE"""),"")</f>
        <v/>
      </c>
      <c r="AG239" s="2" t="str">
        <f ca="1">IFERROR(__xludf.DUMMYFUNCTION("""COMPUTED_VALUE"""),"")</f>
        <v/>
      </c>
      <c r="AH239" s="2" t="str">
        <f ca="1">IFERROR(__xludf.DUMMYFUNCTION("""COMPUTED_VALUE"""),"")</f>
        <v/>
      </c>
      <c r="AI239" s="2" t="str">
        <f ca="1">IFERROR(__xludf.DUMMYFUNCTION("""COMPUTED_VALUE"""),"")</f>
        <v/>
      </c>
      <c r="AJ239" s="2" t="str">
        <f ca="1">IFERROR(__xludf.DUMMYFUNCTION("""COMPUTED_VALUE"""),"")</f>
        <v/>
      </c>
      <c r="AK239" s="2" t="str">
        <f ca="1">IFERROR(__xludf.DUMMYFUNCTION("""COMPUTED_VALUE"""),"")</f>
        <v/>
      </c>
      <c r="AL239" s="2" t="str">
        <f ca="1">IFERROR(__xludf.DUMMYFUNCTION("""COMPUTED_VALUE"""),"")</f>
        <v/>
      </c>
      <c r="AM239" s="2" t="str">
        <f ca="1">IFERROR(__xludf.DUMMYFUNCTION("""COMPUTED_VALUE"""),"")</f>
        <v/>
      </c>
      <c r="AN239" s="2" t="str">
        <f ca="1">IFERROR(__xludf.DUMMYFUNCTION("""COMPUTED_VALUE"""),"")</f>
        <v/>
      </c>
      <c r="AO239" s="2" t="str">
        <f ca="1">IFERROR(__xludf.DUMMYFUNCTION("""COMPUTED_VALUE"""),"")</f>
        <v/>
      </c>
      <c r="AP239" s="2" t="str">
        <f ca="1">IFERROR(__xludf.DUMMYFUNCTION("""COMPUTED_VALUE"""),"")</f>
        <v/>
      </c>
      <c r="AQ239" s="2" t="str">
        <f ca="1">IFERROR(__xludf.DUMMYFUNCTION("""COMPUTED_VALUE"""),"")</f>
        <v/>
      </c>
      <c r="AR239" s="2" t="str">
        <f ca="1">IFERROR(__xludf.DUMMYFUNCTION("""COMPUTED_VALUE"""),"")</f>
        <v/>
      </c>
      <c r="AS239" s="2" t="str">
        <f ca="1">IFERROR(__xludf.DUMMYFUNCTION("""COMPUTED_VALUE"""),"")</f>
        <v/>
      </c>
      <c r="AT239" s="2" t="str">
        <f ca="1">IFERROR(__xludf.DUMMYFUNCTION("""COMPUTED_VALUE"""),"")</f>
        <v/>
      </c>
      <c r="AU239" s="2" t="str">
        <f ca="1">IFERROR(__xludf.DUMMYFUNCTION("""COMPUTED_VALUE"""),"")</f>
        <v/>
      </c>
      <c r="AV239" s="2" t="str">
        <f ca="1">IFERROR(__xludf.DUMMYFUNCTION("""COMPUTED_VALUE"""),"")</f>
        <v/>
      </c>
      <c r="AW239" s="2" t="str">
        <f ca="1">IFERROR(__xludf.DUMMYFUNCTION("""COMPUTED_VALUE"""),"")</f>
        <v/>
      </c>
      <c r="AX239" s="2" t="str">
        <f ca="1">IFERROR(__xludf.DUMMYFUNCTION("""COMPUTED_VALUE"""),"")</f>
        <v/>
      </c>
      <c r="AY239" s="2" t="str">
        <f ca="1">IFERROR(__xludf.DUMMYFUNCTION("""COMPUTED_VALUE"""),"")</f>
        <v/>
      </c>
      <c r="AZ239" s="2" t="str">
        <f ca="1">IFERROR(__xludf.DUMMYFUNCTION("""COMPUTED_VALUE"""),"")</f>
        <v/>
      </c>
      <c r="BA239" s="2" t="str">
        <f ca="1">IFERROR(__xludf.DUMMYFUNCTION("""COMPUTED_VALUE"""),"")</f>
        <v/>
      </c>
      <c r="BB239" s="2" t="str">
        <f ca="1">IFERROR(__xludf.DUMMYFUNCTION("""COMPUTED_VALUE"""),"")</f>
        <v/>
      </c>
      <c r="BC239" s="2" t="str">
        <f ca="1">IFERROR(__xludf.DUMMYFUNCTION("""COMPUTED_VALUE"""),"")</f>
        <v/>
      </c>
      <c r="BD239" s="2" t="str">
        <f ca="1">IFERROR(__xludf.DUMMYFUNCTION("""COMPUTED_VALUE"""),"")</f>
        <v/>
      </c>
      <c r="BE239" s="2" t="str">
        <f ca="1">IFERROR(__xludf.DUMMYFUNCTION("""COMPUTED_VALUE"""),"")</f>
        <v/>
      </c>
      <c r="BF239" t="str">
        <f ca="1">IFERROR(__xludf.DUMMYFUNCTION("""COMPUTED_VALUE"""),"")</f>
        <v/>
      </c>
      <c r="BG239" t="str">
        <f ca="1">IFERROR(__xludf.DUMMYFUNCTION("""COMPUTED_VALUE"""),"")</f>
        <v/>
      </c>
      <c r="BH239" s="2">
        <f ca="1">IFERROR(__xludf.DUMMYFUNCTION("""COMPUTED_VALUE"""),-37.3192825)</f>
        <v>-37.3192825</v>
      </c>
      <c r="BI239" s="12">
        <f ca="1">IFERROR(__xludf.DUMMYFUNCTION("""COMPUTED_VALUE"""),175.4440308)</f>
        <v>175.44403080000001</v>
      </c>
      <c r="BJ239" s="9">
        <f ca="1">IFERROR(__xludf.DUMMYFUNCTION("""COMPUTED_VALUE"""),43434)</f>
        <v>43434</v>
      </c>
      <c r="BK239" s="4">
        <f ca="1">IFERROR(__xludf.DUMMYFUNCTION("""COMPUTED_VALUE"""),0.875555555554456)</f>
        <v>0.87555555555445597</v>
      </c>
    </row>
    <row r="240" spans="1:63" ht="12.5" x14ac:dyDescent="0.25">
      <c r="A240" s="7" t="str">
        <f ca="1">IFERROR(__xludf.DUMMYFUNCTION("""COMPUTED_VALUE"""),"")</f>
        <v/>
      </c>
      <c r="B240" s="8" t="str">
        <f ca="1">IFERROR(__xludf.DUMMYFUNCTION("""COMPUTED_VALUE"""),"Waikato")</f>
        <v>Waikato</v>
      </c>
      <c r="C240" s="2">
        <f ca="1">IFERROR(__xludf.DUMMYFUNCTION("""COMPUTED_VALUE"""),23)</f>
        <v>23</v>
      </c>
      <c r="D240" s="9" t="str">
        <f ca="1">IFERROR(__xludf.DUMMYFUNCTION("""COMPUTED_VALUE"""),"")</f>
        <v/>
      </c>
      <c r="E240" s="4" t="str">
        <f ca="1">IFERROR(__xludf.DUMMYFUNCTION("""COMPUTED_VALUE"""),"")</f>
        <v/>
      </c>
      <c r="F240" s="2" t="str">
        <f ca="1">IFERROR(__xludf.DUMMYFUNCTION("""COMPUTED_VALUE"""),"")</f>
        <v/>
      </c>
      <c r="G240" s="2" t="str">
        <f ca="1">IFERROR(__xludf.DUMMYFUNCTION("""COMPUTED_VALUE"""),"GPS: I converted data downloaded from ARGOS using Pinpoint software")</f>
        <v>GPS: I converted data downloaded from ARGOS using Pinpoint software</v>
      </c>
      <c r="H240" s="2" t="str">
        <f ca="1">IFERROR(__xludf.DUMMYFUNCTION("""COMPUTED_VALUE"""),"3D")</f>
        <v>3D</v>
      </c>
      <c r="I240" s="2" t="str">
        <f ca="1">IFERROR(__xludf.DUMMYFUNCTION("""COMPUTED_VALUE"""),"")</f>
        <v/>
      </c>
      <c r="J240" s="2" t="str">
        <f ca="1">IFERROR(__xludf.DUMMYFUNCTION("""COMPUTED_VALUE"""),"")</f>
        <v/>
      </c>
      <c r="K240" s="2" t="str">
        <f ca="1">IFERROR(__xludf.DUMMYFUNCTION("""COMPUTED_VALUE"""),"")</f>
        <v/>
      </c>
      <c r="L240" s="2" t="str">
        <f ca="1">IFERROR(__xludf.DUMMYFUNCTION("""COMPUTED_VALUE"""),"")</f>
        <v/>
      </c>
      <c r="M240" s="5" t="str">
        <f ca="1">IFERROR(__xludf.DUMMYFUNCTION("""COMPUTED_VALUE"""),"")</f>
        <v/>
      </c>
      <c r="N240" s="5" t="str">
        <f ca="1">IFERROR(__xludf.DUMMYFUNCTION("""COMPUTED_VALUE"""),"")</f>
        <v/>
      </c>
      <c r="O240" s="2" t="str">
        <f ca="1">IFERROR(__xludf.DUMMYFUNCTION("""COMPUTED_VALUE"""),"")</f>
        <v/>
      </c>
      <c r="P240" s="2" t="str">
        <f ca="1">IFERROR(__xludf.DUMMYFUNCTION("""COMPUTED_VALUE"""),"")</f>
        <v/>
      </c>
      <c r="Q240" s="2" t="str">
        <f ca="1">IFERROR(__xludf.DUMMYFUNCTION("""COMPUTED_VALUE"""),"")</f>
        <v/>
      </c>
      <c r="R240" s="2" t="str">
        <f ca="1">IFERROR(__xludf.DUMMYFUNCTION("""COMPUTED_VALUE"""),"")</f>
        <v/>
      </c>
      <c r="S240" s="2" t="str">
        <f ca="1">IFERROR(__xludf.DUMMYFUNCTION("""COMPUTED_VALUE"""),"")</f>
        <v/>
      </c>
      <c r="T240" s="2" t="str">
        <f ca="1">IFERROR(__xludf.DUMMYFUNCTION("""COMPUTED_VALUE"""),"")</f>
        <v/>
      </c>
      <c r="U240" s="2" t="str">
        <f ca="1">IFERROR(__xludf.DUMMYFUNCTION("""COMPUTED_VALUE"""),"")</f>
        <v/>
      </c>
      <c r="V240" s="2" t="str">
        <f ca="1">IFERROR(__xludf.DUMMYFUNCTION("""COMPUTED_VALUE"""),"")</f>
        <v/>
      </c>
      <c r="W240" s="2" t="str">
        <f ca="1">IFERROR(__xludf.DUMMYFUNCTION("""COMPUTED_VALUE"""),"")</f>
        <v/>
      </c>
      <c r="X240" s="2" t="str">
        <f ca="1">IFERROR(__xludf.DUMMYFUNCTION("""COMPUTED_VALUE"""),"")</f>
        <v/>
      </c>
      <c r="Y240" s="2" t="str">
        <f ca="1">IFERROR(__xludf.DUMMYFUNCTION("""COMPUTED_VALUE"""),"")</f>
        <v/>
      </c>
      <c r="Z240" s="2" t="str">
        <f ca="1">IFERROR(__xludf.DUMMYFUNCTION("""COMPUTED_VALUE"""),"")</f>
        <v/>
      </c>
      <c r="AA240" s="2" t="str">
        <f ca="1">IFERROR(__xludf.DUMMYFUNCTION("""COMPUTED_VALUE"""),"")</f>
        <v/>
      </c>
      <c r="AB240" s="2" t="str">
        <f ca="1">IFERROR(__xludf.DUMMYFUNCTION("""COMPUTED_VALUE"""),"")</f>
        <v/>
      </c>
      <c r="AC240" s="2" t="str">
        <f ca="1">IFERROR(__xludf.DUMMYFUNCTION("""COMPUTED_VALUE"""),"")</f>
        <v/>
      </c>
      <c r="AD240" s="2" t="str">
        <f ca="1">IFERROR(__xludf.DUMMYFUNCTION("""COMPUTED_VALUE"""),"")</f>
        <v/>
      </c>
      <c r="AE240" s="2" t="str">
        <f ca="1">IFERROR(__xludf.DUMMYFUNCTION("""COMPUTED_VALUE"""),"")</f>
        <v/>
      </c>
      <c r="AF240" s="2" t="str">
        <f ca="1">IFERROR(__xludf.DUMMYFUNCTION("""COMPUTED_VALUE"""),"")</f>
        <v/>
      </c>
      <c r="AG240" s="2" t="str">
        <f ca="1">IFERROR(__xludf.DUMMYFUNCTION("""COMPUTED_VALUE"""),"")</f>
        <v/>
      </c>
      <c r="AH240" s="2" t="str">
        <f ca="1">IFERROR(__xludf.DUMMYFUNCTION("""COMPUTED_VALUE"""),"")</f>
        <v/>
      </c>
      <c r="AI240" s="2" t="str">
        <f ca="1">IFERROR(__xludf.DUMMYFUNCTION("""COMPUTED_VALUE"""),"")</f>
        <v/>
      </c>
      <c r="AJ240" s="2" t="str">
        <f ca="1">IFERROR(__xludf.DUMMYFUNCTION("""COMPUTED_VALUE"""),"")</f>
        <v/>
      </c>
      <c r="AK240" s="2" t="str">
        <f ca="1">IFERROR(__xludf.DUMMYFUNCTION("""COMPUTED_VALUE"""),"")</f>
        <v/>
      </c>
      <c r="AL240" s="2" t="str">
        <f ca="1">IFERROR(__xludf.DUMMYFUNCTION("""COMPUTED_VALUE"""),"")</f>
        <v/>
      </c>
      <c r="AM240" s="2" t="str">
        <f ca="1">IFERROR(__xludf.DUMMYFUNCTION("""COMPUTED_VALUE"""),"")</f>
        <v/>
      </c>
      <c r="AN240" s="2" t="str">
        <f ca="1">IFERROR(__xludf.DUMMYFUNCTION("""COMPUTED_VALUE"""),"")</f>
        <v/>
      </c>
      <c r="AO240" s="2" t="str">
        <f ca="1">IFERROR(__xludf.DUMMYFUNCTION("""COMPUTED_VALUE"""),"")</f>
        <v/>
      </c>
      <c r="AP240" s="2" t="str">
        <f ca="1">IFERROR(__xludf.DUMMYFUNCTION("""COMPUTED_VALUE"""),"")</f>
        <v/>
      </c>
      <c r="AQ240" s="2" t="str">
        <f ca="1">IFERROR(__xludf.DUMMYFUNCTION("""COMPUTED_VALUE"""),"")</f>
        <v/>
      </c>
      <c r="AR240" s="2" t="str">
        <f ca="1">IFERROR(__xludf.DUMMYFUNCTION("""COMPUTED_VALUE"""),"")</f>
        <v/>
      </c>
      <c r="AS240" s="2" t="str">
        <f ca="1">IFERROR(__xludf.DUMMYFUNCTION("""COMPUTED_VALUE"""),"")</f>
        <v/>
      </c>
      <c r="AT240" s="2" t="str">
        <f ca="1">IFERROR(__xludf.DUMMYFUNCTION("""COMPUTED_VALUE"""),"")</f>
        <v/>
      </c>
      <c r="AU240" s="2" t="str">
        <f ca="1">IFERROR(__xludf.DUMMYFUNCTION("""COMPUTED_VALUE"""),"")</f>
        <v/>
      </c>
      <c r="AV240" s="2" t="str">
        <f ca="1">IFERROR(__xludf.DUMMYFUNCTION("""COMPUTED_VALUE"""),"")</f>
        <v/>
      </c>
      <c r="AW240" s="2" t="str">
        <f ca="1">IFERROR(__xludf.DUMMYFUNCTION("""COMPUTED_VALUE"""),"")</f>
        <v/>
      </c>
      <c r="AX240" s="2" t="str">
        <f ca="1">IFERROR(__xludf.DUMMYFUNCTION("""COMPUTED_VALUE"""),"")</f>
        <v/>
      </c>
      <c r="AY240" s="2" t="str">
        <f ca="1">IFERROR(__xludf.DUMMYFUNCTION("""COMPUTED_VALUE"""),"")</f>
        <v/>
      </c>
      <c r="AZ240" s="2" t="str">
        <f ca="1">IFERROR(__xludf.DUMMYFUNCTION("""COMPUTED_VALUE"""),"")</f>
        <v/>
      </c>
      <c r="BA240" s="2" t="str">
        <f ca="1">IFERROR(__xludf.DUMMYFUNCTION("""COMPUTED_VALUE"""),"")</f>
        <v/>
      </c>
      <c r="BB240" s="2" t="str">
        <f ca="1">IFERROR(__xludf.DUMMYFUNCTION("""COMPUTED_VALUE"""),"")</f>
        <v/>
      </c>
      <c r="BC240" s="2" t="str">
        <f ca="1">IFERROR(__xludf.DUMMYFUNCTION("""COMPUTED_VALUE"""),"")</f>
        <v/>
      </c>
      <c r="BD240" s="2" t="str">
        <f ca="1">IFERROR(__xludf.DUMMYFUNCTION("""COMPUTED_VALUE"""),"")</f>
        <v/>
      </c>
      <c r="BE240" s="2" t="str">
        <f ca="1">IFERROR(__xludf.DUMMYFUNCTION("""COMPUTED_VALUE"""),"")</f>
        <v/>
      </c>
      <c r="BF240" t="str">
        <f ca="1">IFERROR(__xludf.DUMMYFUNCTION("""COMPUTED_VALUE"""),"")</f>
        <v/>
      </c>
      <c r="BG240" t="str">
        <f ca="1">IFERROR(__xludf.DUMMYFUNCTION("""COMPUTED_VALUE"""),"")</f>
        <v/>
      </c>
      <c r="BH240" s="2">
        <f ca="1">IFERROR(__xludf.DUMMYFUNCTION("""COMPUTED_VALUE"""),-37.3186417)</f>
        <v>-37.318641700000001</v>
      </c>
      <c r="BI240" s="13">
        <f ca="1">IFERROR(__xludf.DUMMYFUNCTION("""COMPUTED_VALUE"""),175.4436798)</f>
        <v>175.44367980000001</v>
      </c>
      <c r="BJ240" s="9">
        <f ca="1">IFERROR(__xludf.DUMMYFUNCTION("""COMPUTED_VALUE"""),43434)</f>
        <v>43434</v>
      </c>
      <c r="BK240" s="4">
        <f ca="1">IFERROR(__xludf.DUMMYFUNCTION("""COMPUTED_VALUE"""),0.958518518516939)</f>
        <v>0.95851851851693903</v>
      </c>
    </row>
    <row r="241" spans="1:63" ht="12.5" x14ac:dyDescent="0.25">
      <c r="A241" s="7" t="str">
        <f ca="1">IFERROR(__xludf.DUMMYFUNCTION("""COMPUTED_VALUE"""),"")</f>
        <v/>
      </c>
      <c r="B241" s="8" t="str">
        <f ca="1">IFERROR(__xludf.DUMMYFUNCTION("""COMPUTED_VALUE"""),"Waikato")</f>
        <v>Waikato</v>
      </c>
      <c r="C241" s="2">
        <f ca="1">IFERROR(__xludf.DUMMYFUNCTION("""COMPUTED_VALUE"""),23)</f>
        <v>23</v>
      </c>
      <c r="D241" s="9" t="str">
        <f ca="1">IFERROR(__xludf.DUMMYFUNCTION("""COMPUTED_VALUE"""),"")</f>
        <v/>
      </c>
      <c r="E241" s="4" t="str">
        <f ca="1">IFERROR(__xludf.DUMMYFUNCTION("""COMPUTED_VALUE"""),"")</f>
        <v/>
      </c>
      <c r="F241" s="2" t="str">
        <f ca="1">IFERROR(__xludf.DUMMYFUNCTION("""COMPUTED_VALUE"""),"")</f>
        <v/>
      </c>
      <c r="G241" s="2" t="str">
        <f ca="1">IFERROR(__xludf.DUMMYFUNCTION("""COMPUTED_VALUE"""),"GPS: I converted data downloaded from ARGOS using Pinpoint software")</f>
        <v>GPS: I converted data downloaded from ARGOS using Pinpoint software</v>
      </c>
      <c r="H241" s="2" t="str">
        <f ca="1">IFERROR(__xludf.DUMMYFUNCTION("""COMPUTED_VALUE"""),"3D")</f>
        <v>3D</v>
      </c>
      <c r="I241" s="2" t="str">
        <f ca="1">IFERROR(__xludf.DUMMYFUNCTION("""COMPUTED_VALUE"""),"")</f>
        <v/>
      </c>
      <c r="J241" s="2" t="str">
        <f ca="1">IFERROR(__xludf.DUMMYFUNCTION("""COMPUTED_VALUE"""),"")</f>
        <v/>
      </c>
      <c r="K241" s="2" t="str">
        <f ca="1">IFERROR(__xludf.DUMMYFUNCTION("""COMPUTED_VALUE"""),"")</f>
        <v/>
      </c>
      <c r="L241" s="2" t="str">
        <f ca="1">IFERROR(__xludf.DUMMYFUNCTION("""COMPUTED_VALUE"""),"")</f>
        <v/>
      </c>
      <c r="M241" s="5" t="str">
        <f ca="1">IFERROR(__xludf.DUMMYFUNCTION("""COMPUTED_VALUE"""),"")</f>
        <v/>
      </c>
      <c r="N241" s="5" t="str">
        <f ca="1">IFERROR(__xludf.DUMMYFUNCTION("""COMPUTED_VALUE"""),"")</f>
        <v/>
      </c>
      <c r="O241" s="2" t="str">
        <f ca="1">IFERROR(__xludf.DUMMYFUNCTION("""COMPUTED_VALUE"""),"")</f>
        <v/>
      </c>
      <c r="P241" s="2" t="str">
        <f ca="1">IFERROR(__xludf.DUMMYFUNCTION("""COMPUTED_VALUE"""),"")</f>
        <v/>
      </c>
      <c r="Q241" s="2" t="str">
        <f ca="1">IFERROR(__xludf.DUMMYFUNCTION("""COMPUTED_VALUE"""),"")</f>
        <v/>
      </c>
      <c r="R241" s="2" t="str">
        <f ca="1">IFERROR(__xludf.DUMMYFUNCTION("""COMPUTED_VALUE"""),"")</f>
        <v/>
      </c>
      <c r="S241" s="2" t="str">
        <f ca="1">IFERROR(__xludf.DUMMYFUNCTION("""COMPUTED_VALUE"""),"")</f>
        <v/>
      </c>
      <c r="T241" s="2" t="str">
        <f ca="1">IFERROR(__xludf.DUMMYFUNCTION("""COMPUTED_VALUE"""),"")</f>
        <v/>
      </c>
      <c r="U241" s="2" t="str">
        <f ca="1">IFERROR(__xludf.DUMMYFUNCTION("""COMPUTED_VALUE"""),"")</f>
        <v/>
      </c>
      <c r="V241" s="2" t="str">
        <f ca="1">IFERROR(__xludf.DUMMYFUNCTION("""COMPUTED_VALUE"""),"")</f>
        <v/>
      </c>
      <c r="W241" s="2" t="str">
        <f ca="1">IFERROR(__xludf.DUMMYFUNCTION("""COMPUTED_VALUE"""),"")</f>
        <v/>
      </c>
      <c r="X241" s="2" t="str">
        <f ca="1">IFERROR(__xludf.DUMMYFUNCTION("""COMPUTED_VALUE"""),"")</f>
        <v/>
      </c>
      <c r="Y241" s="2" t="str">
        <f ca="1">IFERROR(__xludf.DUMMYFUNCTION("""COMPUTED_VALUE"""),"")</f>
        <v/>
      </c>
      <c r="Z241" s="2" t="str">
        <f ca="1">IFERROR(__xludf.DUMMYFUNCTION("""COMPUTED_VALUE"""),"")</f>
        <v/>
      </c>
      <c r="AA241" s="2" t="str">
        <f ca="1">IFERROR(__xludf.DUMMYFUNCTION("""COMPUTED_VALUE"""),"")</f>
        <v/>
      </c>
      <c r="AB241" s="2" t="str">
        <f ca="1">IFERROR(__xludf.DUMMYFUNCTION("""COMPUTED_VALUE"""),"")</f>
        <v/>
      </c>
      <c r="AC241" s="2" t="str">
        <f ca="1">IFERROR(__xludf.DUMMYFUNCTION("""COMPUTED_VALUE"""),"")</f>
        <v/>
      </c>
      <c r="AD241" s="2" t="str">
        <f ca="1">IFERROR(__xludf.DUMMYFUNCTION("""COMPUTED_VALUE"""),"")</f>
        <v/>
      </c>
      <c r="AE241" s="2" t="str">
        <f ca="1">IFERROR(__xludf.DUMMYFUNCTION("""COMPUTED_VALUE"""),"")</f>
        <v/>
      </c>
      <c r="AF241" s="2" t="str">
        <f ca="1">IFERROR(__xludf.DUMMYFUNCTION("""COMPUTED_VALUE"""),"")</f>
        <v/>
      </c>
      <c r="AG241" s="2" t="str">
        <f ca="1">IFERROR(__xludf.DUMMYFUNCTION("""COMPUTED_VALUE"""),"")</f>
        <v/>
      </c>
      <c r="AH241" s="2" t="str">
        <f ca="1">IFERROR(__xludf.DUMMYFUNCTION("""COMPUTED_VALUE"""),"")</f>
        <v/>
      </c>
      <c r="AI241" s="2" t="str">
        <f ca="1">IFERROR(__xludf.DUMMYFUNCTION("""COMPUTED_VALUE"""),"")</f>
        <v/>
      </c>
      <c r="AJ241" s="2" t="str">
        <f ca="1">IFERROR(__xludf.DUMMYFUNCTION("""COMPUTED_VALUE"""),"")</f>
        <v/>
      </c>
      <c r="AK241" s="2" t="str">
        <f ca="1">IFERROR(__xludf.DUMMYFUNCTION("""COMPUTED_VALUE"""),"")</f>
        <v/>
      </c>
      <c r="AL241" s="2" t="str">
        <f ca="1">IFERROR(__xludf.DUMMYFUNCTION("""COMPUTED_VALUE"""),"")</f>
        <v/>
      </c>
      <c r="AM241" s="2" t="str">
        <f ca="1">IFERROR(__xludf.DUMMYFUNCTION("""COMPUTED_VALUE"""),"")</f>
        <v/>
      </c>
      <c r="AN241" s="2" t="str">
        <f ca="1">IFERROR(__xludf.DUMMYFUNCTION("""COMPUTED_VALUE"""),"")</f>
        <v/>
      </c>
      <c r="AO241" s="2" t="str">
        <f ca="1">IFERROR(__xludf.DUMMYFUNCTION("""COMPUTED_VALUE"""),"")</f>
        <v/>
      </c>
      <c r="AP241" s="2" t="str">
        <f ca="1">IFERROR(__xludf.DUMMYFUNCTION("""COMPUTED_VALUE"""),"")</f>
        <v/>
      </c>
      <c r="AQ241" s="2" t="str">
        <f ca="1">IFERROR(__xludf.DUMMYFUNCTION("""COMPUTED_VALUE"""),"")</f>
        <v/>
      </c>
      <c r="AR241" s="2" t="str">
        <f ca="1">IFERROR(__xludf.DUMMYFUNCTION("""COMPUTED_VALUE"""),"")</f>
        <v/>
      </c>
      <c r="AS241" s="2" t="str">
        <f ca="1">IFERROR(__xludf.DUMMYFUNCTION("""COMPUTED_VALUE"""),"")</f>
        <v/>
      </c>
      <c r="AT241" s="2" t="str">
        <f ca="1">IFERROR(__xludf.DUMMYFUNCTION("""COMPUTED_VALUE"""),"")</f>
        <v/>
      </c>
      <c r="AU241" s="2" t="str">
        <f ca="1">IFERROR(__xludf.DUMMYFUNCTION("""COMPUTED_VALUE"""),"")</f>
        <v/>
      </c>
      <c r="AV241" s="2" t="str">
        <f ca="1">IFERROR(__xludf.DUMMYFUNCTION("""COMPUTED_VALUE"""),"")</f>
        <v/>
      </c>
      <c r="AW241" s="2" t="str">
        <f ca="1">IFERROR(__xludf.DUMMYFUNCTION("""COMPUTED_VALUE"""),"")</f>
        <v/>
      </c>
      <c r="AX241" s="2" t="str">
        <f ca="1">IFERROR(__xludf.DUMMYFUNCTION("""COMPUTED_VALUE"""),"")</f>
        <v/>
      </c>
      <c r="AY241" s="2" t="str">
        <f ca="1">IFERROR(__xludf.DUMMYFUNCTION("""COMPUTED_VALUE"""),"")</f>
        <v/>
      </c>
      <c r="AZ241" s="2" t="str">
        <f ca="1">IFERROR(__xludf.DUMMYFUNCTION("""COMPUTED_VALUE"""),"")</f>
        <v/>
      </c>
      <c r="BA241" s="2" t="str">
        <f ca="1">IFERROR(__xludf.DUMMYFUNCTION("""COMPUTED_VALUE"""),"")</f>
        <v/>
      </c>
      <c r="BB241" s="2" t="str">
        <f ca="1">IFERROR(__xludf.DUMMYFUNCTION("""COMPUTED_VALUE"""),"")</f>
        <v/>
      </c>
      <c r="BC241" s="2" t="str">
        <f ca="1">IFERROR(__xludf.DUMMYFUNCTION("""COMPUTED_VALUE"""),"")</f>
        <v/>
      </c>
      <c r="BD241" s="2" t="str">
        <f ca="1">IFERROR(__xludf.DUMMYFUNCTION("""COMPUTED_VALUE"""),"")</f>
        <v/>
      </c>
      <c r="BE241" s="2" t="str">
        <f ca="1">IFERROR(__xludf.DUMMYFUNCTION("""COMPUTED_VALUE"""),"")</f>
        <v/>
      </c>
      <c r="BF241" t="str">
        <f ca="1">IFERROR(__xludf.DUMMYFUNCTION("""COMPUTED_VALUE"""),"")</f>
        <v/>
      </c>
      <c r="BG241" t="str">
        <f ca="1">IFERROR(__xludf.DUMMYFUNCTION("""COMPUTED_VALUE"""),"")</f>
        <v/>
      </c>
      <c r="BH241" s="2">
        <f ca="1">IFERROR(__xludf.DUMMYFUNCTION("""COMPUTED_VALUE"""),-37.3223038)</f>
        <v>-37.3223038</v>
      </c>
      <c r="BI241" s="12">
        <f ca="1">IFERROR(__xludf.DUMMYFUNCTION("""COMPUTED_VALUE"""),175.4564514)</f>
        <v>175.45645139999999</v>
      </c>
      <c r="BJ241" s="9">
        <f ca="1">IFERROR(__xludf.DUMMYFUNCTION("""COMPUTED_VALUE"""),43436)</f>
        <v>43436</v>
      </c>
      <c r="BK241" s="4">
        <f ca="1">IFERROR(__xludf.DUMMYFUNCTION("""COMPUTED_VALUE"""),0.457777777777664)</f>
        <v>0.45777777777766399</v>
      </c>
    </row>
    <row r="242" spans="1:63" ht="12.5" x14ac:dyDescent="0.25">
      <c r="A242" s="7" t="str">
        <f ca="1">IFERROR(__xludf.DUMMYFUNCTION("""COMPUTED_VALUE"""),"")</f>
        <v/>
      </c>
      <c r="B242" s="8" t="str">
        <f ca="1">IFERROR(__xludf.DUMMYFUNCTION("""COMPUTED_VALUE"""),"Waikato")</f>
        <v>Waikato</v>
      </c>
      <c r="C242" s="2">
        <f ca="1">IFERROR(__xludf.DUMMYFUNCTION("""COMPUTED_VALUE"""),23)</f>
        <v>23</v>
      </c>
      <c r="D242" s="9" t="str">
        <f ca="1">IFERROR(__xludf.DUMMYFUNCTION("""COMPUTED_VALUE"""),"")</f>
        <v/>
      </c>
      <c r="E242" s="4" t="str">
        <f ca="1">IFERROR(__xludf.DUMMYFUNCTION("""COMPUTED_VALUE"""),"")</f>
        <v/>
      </c>
      <c r="F242" s="2" t="str">
        <f ca="1">IFERROR(__xludf.DUMMYFUNCTION("""COMPUTED_VALUE"""),"")</f>
        <v/>
      </c>
      <c r="G242" s="2" t="str">
        <f ca="1">IFERROR(__xludf.DUMMYFUNCTION("""COMPUTED_VALUE"""),"GPS: I converted data downloaded from ARGOS using Pinpoint software")</f>
        <v>GPS: I converted data downloaded from ARGOS using Pinpoint software</v>
      </c>
      <c r="H242" s="2" t="str">
        <f ca="1">IFERROR(__xludf.DUMMYFUNCTION("""COMPUTED_VALUE"""),"3D")</f>
        <v>3D</v>
      </c>
      <c r="I242" s="2" t="str">
        <f ca="1">IFERROR(__xludf.DUMMYFUNCTION("""COMPUTED_VALUE"""),"")</f>
        <v/>
      </c>
      <c r="J242" s="2" t="str">
        <f ca="1">IFERROR(__xludf.DUMMYFUNCTION("""COMPUTED_VALUE"""),"")</f>
        <v/>
      </c>
      <c r="K242" s="2" t="str">
        <f ca="1">IFERROR(__xludf.DUMMYFUNCTION("""COMPUTED_VALUE"""),"")</f>
        <v/>
      </c>
      <c r="L242" s="2" t="str">
        <f ca="1">IFERROR(__xludf.DUMMYFUNCTION("""COMPUTED_VALUE"""),"")</f>
        <v/>
      </c>
      <c r="M242" s="5" t="str">
        <f ca="1">IFERROR(__xludf.DUMMYFUNCTION("""COMPUTED_VALUE"""),"")</f>
        <v/>
      </c>
      <c r="N242" s="5" t="str">
        <f ca="1">IFERROR(__xludf.DUMMYFUNCTION("""COMPUTED_VALUE"""),"")</f>
        <v/>
      </c>
      <c r="O242" s="2" t="str">
        <f ca="1">IFERROR(__xludf.DUMMYFUNCTION("""COMPUTED_VALUE"""),"")</f>
        <v/>
      </c>
      <c r="P242" s="2" t="str">
        <f ca="1">IFERROR(__xludf.DUMMYFUNCTION("""COMPUTED_VALUE"""),"")</f>
        <v/>
      </c>
      <c r="Q242" s="2" t="str">
        <f ca="1">IFERROR(__xludf.DUMMYFUNCTION("""COMPUTED_VALUE"""),"")</f>
        <v/>
      </c>
      <c r="R242" s="2" t="str">
        <f ca="1">IFERROR(__xludf.DUMMYFUNCTION("""COMPUTED_VALUE"""),"")</f>
        <v/>
      </c>
      <c r="S242" s="2" t="str">
        <f ca="1">IFERROR(__xludf.DUMMYFUNCTION("""COMPUTED_VALUE"""),"")</f>
        <v/>
      </c>
      <c r="T242" s="2" t="str">
        <f ca="1">IFERROR(__xludf.DUMMYFUNCTION("""COMPUTED_VALUE"""),"")</f>
        <v/>
      </c>
      <c r="U242" s="2" t="str">
        <f ca="1">IFERROR(__xludf.DUMMYFUNCTION("""COMPUTED_VALUE"""),"")</f>
        <v/>
      </c>
      <c r="V242" s="2" t="str">
        <f ca="1">IFERROR(__xludf.DUMMYFUNCTION("""COMPUTED_VALUE"""),"")</f>
        <v/>
      </c>
      <c r="W242" s="2" t="str">
        <f ca="1">IFERROR(__xludf.DUMMYFUNCTION("""COMPUTED_VALUE"""),"")</f>
        <v/>
      </c>
      <c r="X242" s="2" t="str">
        <f ca="1">IFERROR(__xludf.DUMMYFUNCTION("""COMPUTED_VALUE"""),"")</f>
        <v/>
      </c>
      <c r="Y242" s="2" t="str">
        <f ca="1">IFERROR(__xludf.DUMMYFUNCTION("""COMPUTED_VALUE"""),"")</f>
        <v/>
      </c>
      <c r="Z242" s="2" t="str">
        <f ca="1">IFERROR(__xludf.DUMMYFUNCTION("""COMPUTED_VALUE"""),"")</f>
        <v/>
      </c>
      <c r="AA242" s="2" t="str">
        <f ca="1">IFERROR(__xludf.DUMMYFUNCTION("""COMPUTED_VALUE"""),"")</f>
        <v/>
      </c>
      <c r="AB242" s="2" t="str">
        <f ca="1">IFERROR(__xludf.DUMMYFUNCTION("""COMPUTED_VALUE"""),"")</f>
        <v/>
      </c>
      <c r="AC242" s="2" t="str">
        <f ca="1">IFERROR(__xludf.DUMMYFUNCTION("""COMPUTED_VALUE"""),"")</f>
        <v/>
      </c>
      <c r="AD242" s="2" t="str">
        <f ca="1">IFERROR(__xludf.DUMMYFUNCTION("""COMPUTED_VALUE"""),"")</f>
        <v/>
      </c>
      <c r="AE242" s="2" t="str">
        <f ca="1">IFERROR(__xludf.DUMMYFUNCTION("""COMPUTED_VALUE"""),"")</f>
        <v/>
      </c>
      <c r="AF242" s="2" t="str">
        <f ca="1">IFERROR(__xludf.DUMMYFUNCTION("""COMPUTED_VALUE"""),"")</f>
        <v/>
      </c>
      <c r="AG242" s="2" t="str">
        <f ca="1">IFERROR(__xludf.DUMMYFUNCTION("""COMPUTED_VALUE"""),"")</f>
        <v/>
      </c>
      <c r="AH242" s="2" t="str">
        <f ca="1">IFERROR(__xludf.DUMMYFUNCTION("""COMPUTED_VALUE"""),"")</f>
        <v/>
      </c>
      <c r="AI242" s="2" t="str">
        <f ca="1">IFERROR(__xludf.DUMMYFUNCTION("""COMPUTED_VALUE"""),"")</f>
        <v/>
      </c>
      <c r="AJ242" s="2" t="str">
        <f ca="1">IFERROR(__xludf.DUMMYFUNCTION("""COMPUTED_VALUE"""),"")</f>
        <v/>
      </c>
      <c r="AK242" s="2" t="str">
        <f ca="1">IFERROR(__xludf.DUMMYFUNCTION("""COMPUTED_VALUE"""),"")</f>
        <v/>
      </c>
      <c r="AL242" s="2" t="str">
        <f ca="1">IFERROR(__xludf.DUMMYFUNCTION("""COMPUTED_VALUE"""),"")</f>
        <v/>
      </c>
      <c r="AM242" s="2" t="str">
        <f ca="1">IFERROR(__xludf.DUMMYFUNCTION("""COMPUTED_VALUE"""),"")</f>
        <v/>
      </c>
      <c r="AN242" s="2" t="str">
        <f ca="1">IFERROR(__xludf.DUMMYFUNCTION("""COMPUTED_VALUE"""),"")</f>
        <v/>
      </c>
      <c r="AO242" s="2" t="str">
        <f ca="1">IFERROR(__xludf.DUMMYFUNCTION("""COMPUTED_VALUE"""),"")</f>
        <v/>
      </c>
      <c r="AP242" s="2" t="str">
        <f ca="1">IFERROR(__xludf.DUMMYFUNCTION("""COMPUTED_VALUE"""),"")</f>
        <v/>
      </c>
      <c r="AQ242" s="2" t="str">
        <f ca="1">IFERROR(__xludf.DUMMYFUNCTION("""COMPUTED_VALUE"""),"")</f>
        <v/>
      </c>
      <c r="AR242" s="2" t="str">
        <f ca="1">IFERROR(__xludf.DUMMYFUNCTION("""COMPUTED_VALUE"""),"")</f>
        <v/>
      </c>
      <c r="AS242" s="2" t="str">
        <f ca="1">IFERROR(__xludf.DUMMYFUNCTION("""COMPUTED_VALUE"""),"")</f>
        <v/>
      </c>
      <c r="AT242" s="2" t="str">
        <f ca="1">IFERROR(__xludf.DUMMYFUNCTION("""COMPUTED_VALUE"""),"")</f>
        <v/>
      </c>
      <c r="AU242" s="2" t="str">
        <f ca="1">IFERROR(__xludf.DUMMYFUNCTION("""COMPUTED_VALUE"""),"")</f>
        <v/>
      </c>
      <c r="AV242" s="2" t="str">
        <f ca="1">IFERROR(__xludf.DUMMYFUNCTION("""COMPUTED_VALUE"""),"")</f>
        <v/>
      </c>
      <c r="AW242" s="2" t="str">
        <f ca="1">IFERROR(__xludf.DUMMYFUNCTION("""COMPUTED_VALUE"""),"")</f>
        <v/>
      </c>
      <c r="AX242" s="2" t="str">
        <f ca="1">IFERROR(__xludf.DUMMYFUNCTION("""COMPUTED_VALUE"""),"")</f>
        <v/>
      </c>
      <c r="AY242" s="2" t="str">
        <f ca="1">IFERROR(__xludf.DUMMYFUNCTION("""COMPUTED_VALUE"""),"")</f>
        <v/>
      </c>
      <c r="AZ242" s="2" t="str">
        <f ca="1">IFERROR(__xludf.DUMMYFUNCTION("""COMPUTED_VALUE"""),"")</f>
        <v/>
      </c>
      <c r="BA242" s="2" t="str">
        <f ca="1">IFERROR(__xludf.DUMMYFUNCTION("""COMPUTED_VALUE"""),"")</f>
        <v/>
      </c>
      <c r="BB242" s="2" t="str">
        <f ca="1">IFERROR(__xludf.DUMMYFUNCTION("""COMPUTED_VALUE"""),"")</f>
        <v/>
      </c>
      <c r="BC242" s="2" t="str">
        <f ca="1">IFERROR(__xludf.DUMMYFUNCTION("""COMPUTED_VALUE"""),"")</f>
        <v/>
      </c>
      <c r="BD242" s="2" t="str">
        <f ca="1">IFERROR(__xludf.DUMMYFUNCTION("""COMPUTED_VALUE"""),"")</f>
        <v/>
      </c>
      <c r="BE242" s="2" t="str">
        <f ca="1">IFERROR(__xludf.DUMMYFUNCTION("""COMPUTED_VALUE"""),"")</f>
        <v/>
      </c>
      <c r="BF242" t="str">
        <f ca="1">IFERROR(__xludf.DUMMYFUNCTION("""COMPUTED_VALUE"""),"")</f>
        <v/>
      </c>
      <c r="BG242" t="str">
        <f ca="1">IFERROR(__xludf.DUMMYFUNCTION("""COMPUTED_VALUE"""),"")</f>
        <v/>
      </c>
      <c r="BH242" s="2">
        <f ca="1">IFERROR(__xludf.DUMMYFUNCTION("""COMPUTED_VALUE"""),-37.3224831)</f>
        <v>-37.322483099999999</v>
      </c>
      <c r="BI242" s="13">
        <f ca="1">IFERROR(__xludf.DUMMYFUNCTION("""COMPUTED_VALUE"""),175.4460602)</f>
        <v>175.44606020000001</v>
      </c>
      <c r="BJ242" s="9">
        <f ca="1">IFERROR(__xludf.DUMMYFUNCTION("""COMPUTED_VALUE"""),43436)</f>
        <v>43436</v>
      </c>
      <c r="BK242" s="4">
        <f ca="1">IFERROR(__xludf.DUMMYFUNCTION("""COMPUTED_VALUE"""),0.958518518516939)</f>
        <v>0.95851851851693903</v>
      </c>
    </row>
    <row r="243" spans="1:63" ht="12.5" x14ac:dyDescent="0.25">
      <c r="A243" s="7" t="str">
        <f ca="1">IFERROR(__xludf.DUMMYFUNCTION("""COMPUTED_VALUE"""),"")</f>
        <v/>
      </c>
      <c r="B243" s="8" t="str">
        <f ca="1">IFERROR(__xludf.DUMMYFUNCTION("""COMPUTED_VALUE"""),"Waikato")</f>
        <v>Waikato</v>
      </c>
      <c r="C243" s="2">
        <f ca="1">IFERROR(__xludf.DUMMYFUNCTION("""COMPUTED_VALUE"""),23)</f>
        <v>23</v>
      </c>
      <c r="D243" s="9" t="str">
        <f ca="1">IFERROR(__xludf.DUMMYFUNCTION("""COMPUTED_VALUE"""),"")</f>
        <v/>
      </c>
      <c r="E243" s="4" t="str">
        <f ca="1">IFERROR(__xludf.DUMMYFUNCTION("""COMPUTED_VALUE"""),"")</f>
        <v/>
      </c>
      <c r="F243" s="2" t="str">
        <f ca="1">IFERROR(__xludf.DUMMYFUNCTION("""COMPUTED_VALUE"""),"")</f>
        <v/>
      </c>
      <c r="G243" s="2" t="str">
        <f ca="1">IFERROR(__xludf.DUMMYFUNCTION("""COMPUTED_VALUE"""),"GPS: I converted data downloaded from ARGOS using Pinpoint software")</f>
        <v>GPS: I converted data downloaded from ARGOS using Pinpoint software</v>
      </c>
      <c r="H243" s="2" t="str">
        <f ca="1">IFERROR(__xludf.DUMMYFUNCTION("""COMPUTED_VALUE"""),"3D")</f>
        <v>3D</v>
      </c>
      <c r="I243" s="2" t="str">
        <f ca="1">IFERROR(__xludf.DUMMYFUNCTION("""COMPUTED_VALUE"""),"")</f>
        <v/>
      </c>
      <c r="J243" s="2" t="str">
        <f ca="1">IFERROR(__xludf.DUMMYFUNCTION("""COMPUTED_VALUE"""),"")</f>
        <v/>
      </c>
      <c r="K243" s="2" t="str">
        <f ca="1">IFERROR(__xludf.DUMMYFUNCTION("""COMPUTED_VALUE"""),"")</f>
        <v/>
      </c>
      <c r="L243" s="2" t="str">
        <f ca="1">IFERROR(__xludf.DUMMYFUNCTION("""COMPUTED_VALUE"""),"")</f>
        <v/>
      </c>
      <c r="M243" s="5" t="str">
        <f ca="1">IFERROR(__xludf.DUMMYFUNCTION("""COMPUTED_VALUE"""),"")</f>
        <v/>
      </c>
      <c r="N243" s="5" t="str">
        <f ca="1">IFERROR(__xludf.DUMMYFUNCTION("""COMPUTED_VALUE"""),"")</f>
        <v/>
      </c>
      <c r="O243" s="2" t="str">
        <f ca="1">IFERROR(__xludf.DUMMYFUNCTION("""COMPUTED_VALUE"""),"")</f>
        <v/>
      </c>
      <c r="P243" s="2" t="str">
        <f ca="1">IFERROR(__xludf.DUMMYFUNCTION("""COMPUTED_VALUE"""),"")</f>
        <v/>
      </c>
      <c r="Q243" s="2" t="str">
        <f ca="1">IFERROR(__xludf.DUMMYFUNCTION("""COMPUTED_VALUE"""),"")</f>
        <v/>
      </c>
      <c r="R243" s="2" t="str">
        <f ca="1">IFERROR(__xludf.DUMMYFUNCTION("""COMPUTED_VALUE"""),"")</f>
        <v/>
      </c>
      <c r="S243" s="2" t="str">
        <f ca="1">IFERROR(__xludf.DUMMYFUNCTION("""COMPUTED_VALUE"""),"")</f>
        <v/>
      </c>
      <c r="T243" s="2" t="str">
        <f ca="1">IFERROR(__xludf.DUMMYFUNCTION("""COMPUTED_VALUE"""),"")</f>
        <v/>
      </c>
      <c r="U243" s="2" t="str">
        <f ca="1">IFERROR(__xludf.DUMMYFUNCTION("""COMPUTED_VALUE"""),"")</f>
        <v/>
      </c>
      <c r="V243" s="2" t="str">
        <f ca="1">IFERROR(__xludf.DUMMYFUNCTION("""COMPUTED_VALUE"""),"")</f>
        <v/>
      </c>
      <c r="W243" s="2" t="str">
        <f ca="1">IFERROR(__xludf.DUMMYFUNCTION("""COMPUTED_VALUE"""),"")</f>
        <v/>
      </c>
      <c r="X243" s="2" t="str">
        <f ca="1">IFERROR(__xludf.DUMMYFUNCTION("""COMPUTED_VALUE"""),"")</f>
        <v/>
      </c>
      <c r="Y243" s="2" t="str">
        <f ca="1">IFERROR(__xludf.DUMMYFUNCTION("""COMPUTED_VALUE"""),"")</f>
        <v/>
      </c>
      <c r="Z243" s="2" t="str">
        <f ca="1">IFERROR(__xludf.DUMMYFUNCTION("""COMPUTED_VALUE"""),"")</f>
        <v/>
      </c>
      <c r="AA243" s="2" t="str">
        <f ca="1">IFERROR(__xludf.DUMMYFUNCTION("""COMPUTED_VALUE"""),"")</f>
        <v/>
      </c>
      <c r="AB243" s="2" t="str">
        <f ca="1">IFERROR(__xludf.DUMMYFUNCTION("""COMPUTED_VALUE"""),"")</f>
        <v/>
      </c>
      <c r="AC243" s="2" t="str">
        <f ca="1">IFERROR(__xludf.DUMMYFUNCTION("""COMPUTED_VALUE"""),"")</f>
        <v/>
      </c>
      <c r="AD243" s="2" t="str">
        <f ca="1">IFERROR(__xludf.DUMMYFUNCTION("""COMPUTED_VALUE"""),"")</f>
        <v/>
      </c>
      <c r="AE243" s="2" t="str">
        <f ca="1">IFERROR(__xludf.DUMMYFUNCTION("""COMPUTED_VALUE"""),"")</f>
        <v/>
      </c>
      <c r="AF243" s="2" t="str">
        <f ca="1">IFERROR(__xludf.DUMMYFUNCTION("""COMPUTED_VALUE"""),"")</f>
        <v/>
      </c>
      <c r="AG243" s="2" t="str">
        <f ca="1">IFERROR(__xludf.DUMMYFUNCTION("""COMPUTED_VALUE"""),"")</f>
        <v/>
      </c>
      <c r="AH243" s="2" t="str">
        <f ca="1">IFERROR(__xludf.DUMMYFUNCTION("""COMPUTED_VALUE"""),"")</f>
        <v/>
      </c>
      <c r="AI243" s="2" t="str">
        <f ca="1">IFERROR(__xludf.DUMMYFUNCTION("""COMPUTED_VALUE"""),"")</f>
        <v/>
      </c>
      <c r="AJ243" s="2" t="str">
        <f ca="1">IFERROR(__xludf.DUMMYFUNCTION("""COMPUTED_VALUE"""),"")</f>
        <v/>
      </c>
      <c r="AK243" s="2" t="str">
        <f ca="1">IFERROR(__xludf.DUMMYFUNCTION("""COMPUTED_VALUE"""),"")</f>
        <v/>
      </c>
      <c r="AL243" s="2" t="str">
        <f ca="1">IFERROR(__xludf.DUMMYFUNCTION("""COMPUTED_VALUE"""),"")</f>
        <v/>
      </c>
      <c r="AM243" s="2" t="str">
        <f ca="1">IFERROR(__xludf.DUMMYFUNCTION("""COMPUTED_VALUE"""),"")</f>
        <v/>
      </c>
      <c r="AN243" s="2" t="str">
        <f ca="1">IFERROR(__xludf.DUMMYFUNCTION("""COMPUTED_VALUE"""),"")</f>
        <v/>
      </c>
      <c r="AO243" s="2" t="str">
        <f ca="1">IFERROR(__xludf.DUMMYFUNCTION("""COMPUTED_VALUE"""),"")</f>
        <v/>
      </c>
      <c r="AP243" s="2" t="str">
        <f ca="1">IFERROR(__xludf.DUMMYFUNCTION("""COMPUTED_VALUE"""),"")</f>
        <v/>
      </c>
      <c r="AQ243" s="2" t="str">
        <f ca="1">IFERROR(__xludf.DUMMYFUNCTION("""COMPUTED_VALUE"""),"")</f>
        <v/>
      </c>
      <c r="AR243" s="2" t="str">
        <f ca="1">IFERROR(__xludf.DUMMYFUNCTION("""COMPUTED_VALUE"""),"")</f>
        <v/>
      </c>
      <c r="AS243" s="2" t="str">
        <f ca="1">IFERROR(__xludf.DUMMYFUNCTION("""COMPUTED_VALUE"""),"")</f>
        <v/>
      </c>
      <c r="AT243" s="2" t="str">
        <f ca="1">IFERROR(__xludf.DUMMYFUNCTION("""COMPUTED_VALUE"""),"")</f>
        <v/>
      </c>
      <c r="AU243" s="2" t="str">
        <f ca="1">IFERROR(__xludf.DUMMYFUNCTION("""COMPUTED_VALUE"""),"")</f>
        <v/>
      </c>
      <c r="AV243" s="2" t="str">
        <f ca="1">IFERROR(__xludf.DUMMYFUNCTION("""COMPUTED_VALUE"""),"")</f>
        <v/>
      </c>
      <c r="AW243" s="2" t="str">
        <f ca="1">IFERROR(__xludf.DUMMYFUNCTION("""COMPUTED_VALUE"""),"")</f>
        <v/>
      </c>
      <c r="AX243" s="2" t="str">
        <f ca="1">IFERROR(__xludf.DUMMYFUNCTION("""COMPUTED_VALUE"""),"")</f>
        <v/>
      </c>
      <c r="AY243" s="2" t="str">
        <f ca="1">IFERROR(__xludf.DUMMYFUNCTION("""COMPUTED_VALUE"""),"")</f>
        <v/>
      </c>
      <c r="AZ243" s="2" t="str">
        <f ca="1">IFERROR(__xludf.DUMMYFUNCTION("""COMPUTED_VALUE"""),"")</f>
        <v/>
      </c>
      <c r="BA243" s="2" t="str">
        <f ca="1">IFERROR(__xludf.DUMMYFUNCTION("""COMPUTED_VALUE"""),"")</f>
        <v/>
      </c>
      <c r="BB243" s="2" t="str">
        <f ca="1">IFERROR(__xludf.DUMMYFUNCTION("""COMPUTED_VALUE"""),"")</f>
        <v/>
      </c>
      <c r="BC243" s="2" t="str">
        <f ca="1">IFERROR(__xludf.DUMMYFUNCTION("""COMPUTED_VALUE"""),"")</f>
        <v/>
      </c>
      <c r="BD243" s="2" t="str">
        <f ca="1">IFERROR(__xludf.DUMMYFUNCTION("""COMPUTED_VALUE"""),"")</f>
        <v/>
      </c>
      <c r="BE243" s="2" t="str">
        <f ca="1">IFERROR(__xludf.DUMMYFUNCTION("""COMPUTED_VALUE"""),"")</f>
        <v/>
      </c>
      <c r="BF243" t="str">
        <f ca="1">IFERROR(__xludf.DUMMYFUNCTION("""COMPUTED_VALUE"""),"")</f>
        <v/>
      </c>
      <c r="BG243" t="str">
        <f ca="1">IFERROR(__xludf.DUMMYFUNCTION("""COMPUTED_VALUE"""),"")</f>
        <v/>
      </c>
      <c r="BH243" s="2">
        <f ca="1">IFERROR(__xludf.DUMMYFUNCTION("""COMPUTED_VALUE"""),-37.3250694)</f>
        <v>-37.325069399999997</v>
      </c>
      <c r="BI243" s="12">
        <f ca="1">IFERROR(__xludf.DUMMYFUNCTION("""COMPUTED_VALUE"""),175.4504089)</f>
        <v>175.45040890000001</v>
      </c>
      <c r="BJ243" s="9">
        <f ca="1">IFERROR(__xludf.DUMMYFUNCTION("""COMPUTED_VALUE"""),43438)</f>
        <v>43438</v>
      </c>
      <c r="BK243" s="4">
        <f ca="1">IFERROR(__xludf.DUMMYFUNCTION("""COMPUTED_VALUE"""),0.457777777777664)</f>
        <v>0.45777777777766399</v>
      </c>
    </row>
    <row r="244" spans="1:63" ht="12.5" x14ac:dyDescent="0.25">
      <c r="A244" s="7" t="str">
        <f ca="1">IFERROR(__xludf.DUMMYFUNCTION("""COMPUTED_VALUE"""),"")</f>
        <v/>
      </c>
      <c r="B244" s="8" t="str">
        <f ca="1">IFERROR(__xludf.DUMMYFUNCTION("""COMPUTED_VALUE"""),"Waikato")</f>
        <v>Waikato</v>
      </c>
      <c r="C244" s="2">
        <f ca="1">IFERROR(__xludf.DUMMYFUNCTION("""COMPUTED_VALUE"""),23)</f>
        <v>23</v>
      </c>
      <c r="D244" s="9" t="str">
        <f ca="1">IFERROR(__xludf.DUMMYFUNCTION("""COMPUTED_VALUE"""),"")</f>
        <v/>
      </c>
      <c r="E244" s="4" t="str">
        <f ca="1">IFERROR(__xludf.DUMMYFUNCTION("""COMPUTED_VALUE"""),"")</f>
        <v/>
      </c>
      <c r="F244" s="2" t="str">
        <f ca="1">IFERROR(__xludf.DUMMYFUNCTION("""COMPUTED_VALUE"""),"")</f>
        <v/>
      </c>
      <c r="G244" s="2" t="str">
        <f ca="1">IFERROR(__xludf.DUMMYFUNCTION("""COMPUTED_VALUE"""),"GPS: I converted data downloaded from ARGOS using Pinpoint software")</f>
        <v>GPS: I converted data downloaded from ARGOS using Pinpoint software</v>
      </c>
      <c r="H244" s="2" t="str">
        <f ca="1">IFERROR(__xludf.DUMMYFUNCTION("""COMPUTED_VALUE"""),"3D")</f>
        <v>3D</v>
      </c>
      <c r="I244" s="2" t="str">
        <f ca="1">IFERROR(__xludf.DUMMYFUNCTION("""COMPUTED_VALUE"""),"")</f>
        <v/>
      </c>
      <c r="J244" s="2" t="str">
        <f ca="1">IFERROR(__xludf.DUMMYFUNCTION("""COMPUTED_VALUE"""),"")</f>
        <v/>
      </c>
      <c r="K244" s="2" t="str">
        <f ca="1">IFERROR(__xludf.DUMMYFUNCTION("""COMPUTED_VALUE"""),"")</f>
        <v/>
      </c>
      <c r="L244" s="2" t="str">
        <f ca="1">IFERROR(__xludf.DUMMYFUNCTION("""COMPUTED_VALUE"""),"")</f>
        <v/>
      </c>
      <c r="M244" s="5" t="str">
        <f ca="1">IFERROR(__xludf.DUMMYFUNCTION("""COMPUTED_VALUE"""),"")</f>
        <v/>
      </c>
      <c r="N244" s="5" t="str">
        <f ca="1">IFERROR(__xludf.DUMMYFUNCTION("""COMPUTED_VALUE"""),"")</f>
        <v/>
      </c>
      <c r="O244" s="2" t="str">
        <f ca="1">IFERROR(__xludf.DUMMYFUNCTION("""COMPUTED_VALUE"""),"")</f>
        <v/>
      </c>
      <c r="P244" s="2" t="str">
        <f ca="1">IFERROR(__xludf.DUMMYFUNCTION("""COMPUTED_VALUE"""),"")</f>
        <v/>
      </c>
      <c r="Q244" s="2" t="str">
        <f ca="1">IFERROR(__xludf.DUMMYFUNCTION("""COMPUTED_VALUE"""),"")</f>
        <v/>
      </c>
      <c r="R244" s="2" t="str">
        <f ca="1">IFERROR(__xludf.DUMMYFUNCTION("""COMPUTED_VALUE"""),"")</f>
        <v/>
      </c>
      <c r="S244" s="2" t="str">
        <f ca="1">IFERROR(__xludf.DUMMYFUNCTION("""COMPUTED_VALUE"""),"")</f>
        <v/>
      </c>
      <c r="T244" s="2" t="str">
        <f ca="1">IFERROR(__xludf.DUMMYFUNCTION("""COMPUTED_VALUE"""),"")</f>
        <v/>
      </c>
      <c r="U244" s="2" t="str">
        <f ca="1">IFERROR(__xludf.DUMMYFUNCTION("""COMPUTED_VALUE"""),"")</f>
        <v/>
      </c>
      <c r="V244" s="2" t="str">
        <f ca="1">IFERROR(__xludf.DUMMYFUNCTION("""COMPUTED_VALUE"""),"")</f>
        <v/>
      </c>
      <c r="W244" s="2" t="str">
        <f ca="1">IFERROR(__xludf.DUMMYFUNCTION("""COMPUTED_VALUE"""),"")</f>
        <v/>
      </c>
      <c r="X244" s="2" t="str">
        <f ca="1">IFERROR(__xludf.DUMMYFUNCTION("""COMPUTED_VALUE"""),"")</f>
        <v/>
      </c>
      <c r="Y244" s="2" t="str">
        <f ca="1">IFERROR(__xludf.DUMMYFUNCTION("""COMPUTED_VALUE"""),"")</f>
        <v/>
      </c>
      <c r="Z244" s="2" t="str">
        <f ca="1">IFERROR(__xludf.DUMMYFUNCTION("""COMPUTED_VALUE"""),"")</f>
        <v/>
      </c>
      <c r="AA244" s="2" t="str">
        <f ca="1">IFERROR(__xludf.DUMMYFUNCTION("""COMPUTED_VALUE"""),"")</f>
        <v/>
      </c>
      <c r="AB244" s="2" t="str">
        <f ca="1">IFERROR(__xludf.DUMMYFUNCTION("""COMPUTED_VALUE"""),"")</f>
        <v/>
      </c>
      <c r="AC244" s="2" t="str">
        <f ca="1">IFERROR(__xludf.DUMMYFUNCTION("""COMPUTED_VALUE"""),"")</f>
        <v/>
      </c>
      <c r="AD244" s="2" t="str">
        <f ca="1">IFERROR(__xludf.DUMMYFUNCTION("""COMPUTED_VALUE"""),"")</f>
        <v/>
      </c>
      <c r="AE244" s="2" t="str">
        <f ca="1">IFERROR(__xludf.DUMMYFUNCTION("""COMPUTED_VALUE"""),"")</f>
        <v/>
      </c>
      <c r="AF244" s="2" t="str">
        <f ca="1">IFERROR(__xludf.DUMMYFUNCTION("""COMPUTED_VALUE"""),"")</f>
        <v/>
      </c>
      <c r="AG244" s="2" t="str">
        <f ca="1">IFERROR(__xludf.DUMMYFUNCTION("""COMPUTED_VALUE"""),"")</f>
        <v/>
      </c>
      <c r="AH244" s="2" t="str">
        <f ca="1">IFERROR(__xludf.DUMMYFUNCTION("""COMPUTED_VALUE"""),"")</f>
        <v/>
      </c>
      <c r="AI244" s="2" t="str">
        <f ca="1">IFERROR(__xludf.DUMMYFUNCTION("""COMPUTED_VALUE"""),"")</f>
        <v/>
      </c>
      <c r="AJ244" s="2" t="str">
        <f ca="1">IFERROR(__xludf.DUMMYFUNCTION("""COMPUTED_VALUE"""),"")</f>
        <v/>
      </c>
      <c r="AK244" s="2" t="str">
        <f ca="1">IFERROR(__xludf.DUMMYFUNCTION("""COMPUTED_VALUE"""),"")</f>
        <v/>
      </c>
      <c r="AL244" s="2" t="str">
        <f ca="1">IFERROR(__xludf.DUMMYFUNCTION("""COMPUTED_VALUE"""),"")</f>
        <v/>
      </c>
      <c r="AM244" s="2" t="str">
        <f ca="1">IFERROR(__xludf.DUMMYFUNCTION("""COMPUTED_VALUE"""),"")</f>
        <v/>
      </c>
      <c r="AN244" s="2" t="str">
        <f ca="1">IFERROR(__xludf.DUMMYFUNCTION("""COMPUTED_VALUE"""),"")</f>
        <v/>
      </c>
      <c r="AO244" s="2" t="str">
        <f ca="1">IFERROR(__xludf.DUMMYFUNCTION("""COMPUTED_VALUE"""),"")</f>
        <v/>
      </c>
      <c r="AP244" s="2" t="str">
        <f ca="1">IFERROR(__xludf.DUMMYFUNCTION("""COMPUTED_VALUE"""),"")</f>
        <v/>
      </c>
      <c r="AQ244" s="2" t="str">
        <f ca="1">IFERROR(__xludf.DUMMYFUNCTION("""COMPUTED_VALUE"""),"")</f>
        <v/>
      </c>
      <c r="AR244" s="2" t="str">
        <f ca="1">IFERROR(__xludf.DUMMYFUNCTION("""COMPUTED_VALUE"""),"")</f>
        <v/>
      </c>
      <c r="AS244" s="2" t="str">
        <f ca="1">IFERROR(__xludf.DUMMYFUNCTION("""COMPUTED_VALUE"""),"")</f>
        <v/>
      </c>
      <c r="AT244" s="2" t="str">
        <f ca="1">IFERROR(__xludf.DUMMYFUNCTION("""COMPUTED_VALUE"""),"")</f>
        <v/>
      </c>
      <c r="AU244" s="2" t="str">
        <f ca="1">IFERROR(__xludf.DUMMYFUNCTION("""COMPUTED_VALUE"""),"")</f>
        <v/>
      </c>
      <c r="AV244" s="2" t="str">
        <f ca="1">IFERROR(__xludf.DUMMYFUNCTION("""COMPUTED_VALUE"""),"")</f>
        <v/>
      </c>
      <c r="AW244" s="2" t="str">
        <f ca="1">IFERROR(__xludf.DUMMYFUNCTION("""COMPUTED_VALUE"""),"")</f>
        <v/>
      </c>
      <c r="AX244" s="2" t="str">
        <f ca="1">IFERROR(__xludf.DUMMYFUNCTION("""COMPUTED_VALUE"""),"")</f>
        <v/>
      </c>
      <c r="AY244" s="2" t="str">
        <f ca="1">IFERROR(__xludf.DUMMYFUNCTION("""COMPUTED_VALUE"""),"")</f>
        <v/>
      </c>
      <c r="AZ244" s="2" t="str">
        <f ca="1">IFERROR(__xludf.DUMMYFUNCTION("""COMPUTED_VALUE"""),"")</f>
        <v/>
      </c>
      <c r="BA244" s="2" t="str">
        <f ca="1">IFERROR(__xludf.DUMMYFUNCTION("""COMPUTED_VALUE"""),"")</f>
        <v/>
      </c>
      <c r="BB244" s="2" t="str">
        <f ca="1">IFERROR(__xludf.DUMMYFUNCTION("""COMPUTED_VALUE"""),"")</f>
        <v/>
      </c>
      <c r="BC244" s="2" t="str">
        <f ca="1">IFERROR(__xludf.DUMMYFUNCTION("""COMPUTED_VALUE"""),"")</f>
        <v/>
      </c>
      <c r="BD244" s="2" t="str">
        <f ca="1">IFERROR(__xludf.DUMMYFUNCTION("""COMPUTED_VALUE"""),"")</f>
        <v/>
      </c>
      <c r="BE244" s="2" t="str">
        <f ca="1">IFERROR(__xludf.DUMMYFUNCTION("""COMPUTED_VALUE"""),"")</f>
        <v/>
      </c>
      <c r="BF244" t="str">
        <f ca="1">IFERROR(__xludf.DUMMYFUNCTION("""COMPUTED_VALUE"""),"")</f>
        <v/>
      </c>
      <c r="BG244" t="str">
        <f ca="1">IFERROR(__xludf.DUMMYFUNCTION("""COMPUTED_VALUE"""),"")</f>
        <v/>
      </c>
      <c r="BH244" s="2">
        <f ca="1">IFERROR(__xludf.DUMMYFUNCTION("""COMPUTED_VALUE"""),-37.3225594)</f>
        <v>-37.322559400000003</v>
      </c>
      <c r="BI244" s="13">
        <f ca="1">IFERROR(__xludf.DUMMYFUNCTION("""COMPUTED_VALUE"""),175.4477386)</f>
        <v>175.44773860000001</v>
      </c>
      <c r="BJ244" s="9">
        <f ca="1">IFERROR(__xludf.DUMMYFUNCTION("""COMPUTED_VALUE"""),43438)</f>
        <v>43438</v>
      </c>
      <c r="BK244" s="4">
        <f ca="1">IFERROR(__xludf.DUMMYFUNCTION("""COMPUTED_VALUE"""),0.958518518516939)</f>
        <v>0.95851851851693903</v>
      </c>
    </row>
    <row r="245" spans="1:63" ht="12.5" x14ac:dyDescent="0.25">
      <c r="A245" s="7" t="str">
        <f ca="1">IFERROR(__xludf.DUMMYFUNCTION("""COMPUTED_VALUE"""),"")</f>
        <v/>
      </c>
      <c r="B245" s="8" t="str">
        <f ca="1">IFERROR(__xludf.DUMMYFUNCTION("""COMPUTED_VALUE"""),"Waikato")</f>
        <v>Waikato</v>
      </c>
      <c r="C245" s="2">
        <f ca="1">IFERROR(__xludf.DUMMYFUNCTION("""COMPUTED_VALUE"""),23)</f>
        <v>23</v>
      </c>
      <c r="D245" s="9" t="str">
        <f ca="1">IFERROR(__xludf.DUMMYFUNCTION("""COMPUTED_VALUE"""),"")</f>
        <v/>
      </c>
      <c r="E245" s="4" t="str">
        <f ca="1">IFERROR(__xludf.DUMMYFUNCTION("""COMPUTED_VALUE"""),"")</f>
        <v/>
      </c>
      <c r="F245" s="2" t="str">
        <f ca="1">IFERROR(__xludf.DUMMYFUNCTION("""COMPUTED_VALUE"""),"")</f>
        <v/>
      </c>
      <c r="G245" s="2" t="str">
        <f ca="1">IFERROR(__xludf.DUMMYFUNCTION("""COMPUTED_VALUE"""),"GPS: I converted data downloaded from ARGOS using Pinpoint software")</f>
        <v>GPS: I converted data downloaded from ARGOS using Pinpoint software</v>
      </c>
      <c r="H245" s="2" t="str">
        <f ca="1">IFERROR(__xludf.DUMMYFUNCTION("""COMPUTED_VALUE"""),"3D")</f>
        <v>3D</v>
      </c>
      <c r="I245" s="2" t="str">
        <f ca="1">IFERROR(__xludf.DUMMYFUNCTION("""COMPUTED_VALUE"""),"")</f>
        <v/>
      </c>
      <c r="J245" s="2" t="str">
        <f ca="1">IFERROR(__xludf.DUMMYFUNCTION("""COMPUTED_VALUE"""),"")</f>
        <v/>
      </c>
      <c r="K245" s="2" t="str">
        <f ca="1">IFERROR(__xludf.DUMMYFUNCTION("""COMPUTED_VALUE"""),"")</f>
        <v/>
      </c>
      <c r="L245" s="2" t="str">
        <f ca="1">IFERROR(__xludf.DUMMYFUNCTION("""COMPUTED_VALUE"""),"")</f>
        <v/>
      </c>
      <c r="M245" s="5" t="str">
        <f ca="1">IFERROR(__xludf.DUMMYFUNCTION("""COMPUTED_VALUE"""),"")</f>
        <v/>
      </c>
      <c r="N245" s="5" t="str">
        <f ca="1">IFERROR(__xludf.DUMMYFUNCTION("""COMPUTED_VALUE"""),"")</f>
        <v/>
      </c>
      <c r="O245" s="2" t="str">
        <f ca="1">IFERROR(__xludf.DUMMYFUNCTION("""COMPUTED_VALUE"""),"")</f>
        <v/>
      </c>
      <c r="P245" s="2" t="str">
        <f ca="1">IFERROR(__xludf.DUMMYFUNCTION("""COMPUTED_VALUE"""),"")</f>
        <v/>
      </c>
      <c r="Q245" s="2" t="str">
        <f ca="1">IFERROR(__xludf.DUMMYFUNCTION("""COMPUTED_VALUE"""),"")</f>
        <v/>
      </c>
      <c r="R245" s="2" t="str">
        <f ca="1">IFERROR(__xludf.DUMMYFUNCTION("""COMPUTED_VALUE"""),"")</f>
        <v/>
      </c>
      <c r="S245" s="2" t="str">
        <f ca="1">IFERROR(__xludf.DUMMYFUNCTION("""COMPUTED_VALUE"""),"")</f>
        <v/>
      </c>
      <c r="T245" s="2" t="str">
        <f ca="1">IFERROR(__xludf.DUMMYFUNCTION("""COMPUTED_VALUE"""),"")</f>
        <v/>
      </c>
      <c r="U245" s="2" t="str">
        <f ca="1">IFERROR(__xludf.DUMMYFUNCTION("""COMPUTED_VALUE"""),"")</f>
        <v/>
      </c>
      <c r="V245" s="2" t="str">
        <f ca="1">IFERROR(__xludf.DUMMYFUNCTION("""COMPUTED_VALUE"""),"")</f>
        <v/>
      </c>
      <c r="W245" s="2" t="str">
        <f ca="1">IFERROR(__xludf.DUMMYFUNCTION("""COMPUTED_VALUE"""),"")</f>
        <v/>
      </c>
      <c r="X245" s="2" t="str">
        <f ca="1">IFERROR(__xludf.DUMMYFUNCTION("""COMPUTED_VALUE"""),"")</f>
        <v/>
      </c>
      <c r="Y245" s="2" t="str">
        <f ca="1">IFERROR(__xludf.DUMMYFUNCTION("""COMPUTED_VALUE"""),"")</f>
        <v/>
      </c>
      <c r="Z245" s="2" t="str">
        <f ca="1">IFERROR(__xludf.DUMMYFUNCTION("""COMPUTED_VALUE"""),"")</f>
        <v/>
      </c>
      <c r="AA245" s="2" t="str">
        <f ca="1">IFERROR(__xludf.DUMMYFUNCTION("""COMPUTED_VALUE"""),"")</f>
        <v/>
      </c>
      <c r="AB245" s="2" t="str">
        <f ca="1">IFERROR(__xludf.DUMMYFUNCTION("""COMPUTED_VALUE"""),"")</f>
        <v/>
      </c>
      <c r="AC245" s="2" t="str">
        <f ca="1">IFERROR(__xludf.DUMMYFUNCTION("""COMPUTED_VALUE"""),"")</f>
        <v/>
      </c>
      <c r="AD245" s="2" t="str">
        <f ca="1">IFERROR(__xludf.DUMMYFUNCTION("""COMPUTED_VALUE"""),"")</f>
        <v/>
      </c>
      <c r="AE245" s="2" t="str">
        <f ca="1">IFERROR(__xludf.DUMMYFUNCTION("""COMPUTED_VALUE"""),"")</f>
        <v/>
      </c>
      <c r="AF245" s="2" t="str">
        <f ca="1">IFERROR(__xludf.DUMMYFUNCTION("""COMPUTED_VALUE"""),"")</f>
        <v/>
      </c>
      <c r="AG245" s="2" t="str">
        <f ca="1">IFERROR(__xludf.DUMMYFUNCTION("""COMPUTED_VALUE"""),"")</f>
        <v/>
      </c>
      <c r="AH245" s="2" t="str">
        <f ca="1">IFERROR(__xludf.DUMMYFUNCTION("""COMPUTED_VALUE"""),"")</f>
        <v/>
      </c>
      <c r="AI245" s="2" t="str">
        <f ca="1">IFERROR(__xludf.DUMMYFUNCTION("""COMPUTED_VALUE"""),"")</f>
        <v/>
      </c>
      <c r="AJ245" s="2" t="str">
        <f ca="1">IFERROR(__xludf.DUMMYFUNCTION("""COMPUTED_VALUE"""),"")</f>
        <v/>
      </c>
      <c r="AK245" s="2" t="str">
        <f ca="1">IFERROR(__xludf.DUMMYFUNCTION("""COMPUTED_VALUE"""),"")</f>
        <v/>
      </c>
      <c r="AL245" s="2" t="str">
        <f ca="1">IFERROR(__xludf.DUMMYFUNCTION("""COMPUTED_VALUE"""),"")</f>
        <v/>
      </c>
      <c r="AM245" s="2" t="str">
        <f ca="1">IFERROR(__xludf.DUMMYFUNCTION("""COMPUTED_VALUE"""),"")</f>
        <v/>
      </c>
      <c r="AN245" s="2" t="str">
        <f ca="1">IFERROR(__xludf.DUMMYFUNCTION("""COMPUTED_VALUE"""),"")</f>
        <v/>
      </c>
      <c r="AO245" s="2" t="str">
        <f ca="1">IFERROR(__xludf.DUMMYFUNCTION("""COMPUTED_VALUE"""),"")</f>
        <v/>
      </c>
      <c r="AP245" s="2" t="str">
        <f ca="1">IFERROR(__xludf.DUMMYFUNCTION("""COMPUTED_VALUE"""),"")</f>
        <v/>
      </c>
      <c r="AQ245" s="2" t="str">
        <f ca="1">IFERROR(__xludf.DUMMYFUNCTION("""COMPUTED_VALUE"""),"")</f>
        <v/>
      </c>
      <c r="AR245" s="2" t="str">
        <f ca="1">IFERROR(__xludf.DUMMYFUNCTION("""COMPUTED_VALUE"""),"")</f>
        <v/>
      </c>
      <c r="AS245" s="2" t="str">
        <f ca="1">IFERROR(__xludf.DUMMYFUNCTION("""COMPUTED_VALUE"""),"")</f>
        <v/>
      </c>
      <c r="AT245" s="2" t="str">
        <f ca="1">IFERROR(__xludf.DUMMYFUNCTION("""COMPUTED_VALUE"""),"")</f>
        <v/>
      </c>
      <c r="AU245" s="2" t="str">
        <f ca="1">IFERROR(__xludf.DUMMYFUNCTION("""COMPUTED_VALUE"""),"")</f>
        <v/>
      </c>
      <c r="AV245" s="2" t="str">
        <f ca="1">IFERROR(__xludf.DUMMYFUNCTION("""COMPUTED_VALUE"""),"")</f>
        <v/>
      </c>
      <c r="AW245" s="2" t="str">
        <f ca="1">IFERROR(__xludf.DUMMYFUNCTION("""COMPUTED_VALUE"""),"")</f>
        <v/>
      </c>
      <c r="AX245" s="2" t="str">
        <f ca="1">IFERROR(__xludf.DUMMYFUNCTION("""COMPUTED_VALUE"""),"")</f>
        <v/>
      </c>
      <c r="AY245" s="2" t="str">
        <f ca="1">IFERROR(__xludf.DUMMYFUNCTION("""COMPUTED_VALUE"""),"")</f>
        <v/>
      </c>
      <c r="AZ245" s="2" t="str">
        <f ca="1">IFERROR(__xludf.DUMMYFUNCTION("""COMPUTED_VALUE"""),"")</f>
        <v/>
      </c>
      <c r="BA245" s="2" t="str">
        <f ca="1">IFERROR(__xludf.DUMMYFUNCTION("""COMPUTED_VALUE"""),"")</f>
        <v/>
      </c>
      <c r="BB245" s="2" t="str">
        <f ca="1">IFERROR(__xludf.DUMMYFUNCTION("""COMPUTED_VALUE"""),"")</f>
        <v/>
      </c>
      <c r="BC245" s="2" t="str">
        <f ca="1">IFERROR(__xludf.DUMMYFUNCTION("""COMPUTED_VALUE"""),"")</f>
        <v/>
      </c>
      <c r="BD245" s="2" t="str">
        <f ca="1">IFERROR(__xludf.DUMMYFUNCTION("""COMPUTED_VALUE"""),"")</f>
        <v/>
      </c>
      <c r="BE245" s="2" t="str">
        <f ca="1">IFERROR(__xludf.DUMMYFUNCTION("""COMPUTED_VALUE"""),"")</f>
        <v/>
      </c>
      <c r="BF245" t="str">
        <f ca="1">IFERROR(__xludf.DUMMYFUNCTION("""COMPUTED_VALUE"""),"")</f>
        <v/>
      </c>
      <c r="BG245" t="str">
        <f ca="1">IFERROR(__xludf.DUMMYFUNCTION("""COMPUTED_VALUE"""),"")</f>
        <v/>
      </c>
      <c r="BH245" s="2">
        <f ca="1">IFERROR(__xludf.DUMMYFUNCTION("""COMPUTED_VALUE"""),-37.3251457)</f>
        <v>-37.3251457</v>
      </c>
      <c r="BI245" s="12">
        <f ca="1">IFERROR(__xludf.DUMMYFUNCTION("""COMPUTED_VALUE"""),175.4509735)</f>
        <v>175.4509735</v>
      </c>
      <c r="BJ245" s="9">
        <f ca="1">IFERROR(__xludf.DUMMYFUNCTION("""COMPUTED_VALUE"""),43440)</f>
        <v>43440</v>
      </c>
      <c r="BK245" s="4">
        <f ca="1">IFERROR(__xludf.DUMMYFUNCTION("""COMPUTED_VALUE"""),0.457777777777664)</f>
        <v>0.45777777777766399</v>
      </c>
    </row>
    <row r="246" spans="1:63" ht="12.5" x14ac:dyDescent="0.25">
      <c r="A246" s="7" t="str">
        <f ca="1">IFERROR(__xludf.DUMMYFUNCTION("""COMPUTED_VALUE"""),"")</f>
        <v/>
      </c>
      <c r="B246" s="8" t="str">
        <f ca="1">IFERROR(__xludf.DUMMYFUNCTION("""COMPUTED_VALUE"""),"Waikato")</f>
        <v>Waikato</v>
      </c>
      <c r="C246" s="2">
        <f ca="1">IFERROR(__xludf.DUMMYFUNCTION("""COMPUTED_VALUE"""),23)</f>
        <v>23</v>
      </c>
      <c r="D246" s="9" t="str">
        <f ca="1">IFERROR(__xludf.DUMMYFUNCTION("""COMPUTED_VALUE"""),"")</f>
        <v/>
      </c>
      <c r="E246" s="4" t="str">
        <f ca="1">IFERROR(__xludf.DUMMYFUNCTION("""COMPUTED_VALUE"""),"")</f>
        <v/>
      </c>
      <c r="F246" s="2" t="str">
        <f ca="1">IFERROR(__xludf.DUMMYFUNCTION("""COMPUTED_VALUE"""),"")</f>
        <v/>
      </c>
      <c r="G246" s="2" t="str">
        <f ca="1">IFERROR(__xludf.DUMMYFUNCTION("""COMPUTED_VALUE"""),"GPS: I converted data downloaded from ARGOS using Pinpoint software")</f>
        <v>GPS: I converted data downloaded from ARGOS using Pinpoint software</v>
      </c>
      <c r="H246" s="2" t="str">
        <f ca="1">IFERROR(__xludf.DUMMYFUNCTION("""COMPUTED_VALUE"""),"3D")</f>
        <v>3D</v>
      </c>
      <c r="I246" s="2" t="str">
        <f ca="1">IFERROR(__xludf.DUMMYFUNCTION("""COMPUTED_VALUE"""),"")</f>
        <v/>
      </c>
      <c r="J246" s="2" t="str">
        <f ca="1">IFERROR(__xludf.DUMMYFUNCTION("""COMPUTED_VALUE"""),"")</f>
        <v/>
      </c>
      <c r="K246" s="2" t="str">
        <f ca="1">IFERROR(__xludf.DUMMYFUNCTION("""COMPUTED_VALUE"""),"")</f>
        <v/>
      </c>
      <c r="L246" s="2" t="str">
        <f ca="1">IFERROR(__xludf.DUMMYFUNCTION("""COMPUTED_VALUE"""),"")</f>
        <v/>
      </c>
      <c r="M246" s="5" t="str">
        <f ca="1">IFERROR(__xludf.DUMMYFUNCTION("""COMPUTED_VALUE"""),"")</f>
        <v/>
      </c>
      <c r="N246" s="5" t="str">
        <f ca="1">IFERROR(__xludf.DUMMYFUNCTION("""COMPUTED_VALUE"""),"")</f>
        <v/>
      </c>
      <c r="O246" s="2" t="str">
        <f ca="1">IFERROR(__xludf.DUMMYFUNCTION("""COMPUTED_VALUE"""),"")</f>
        <v/>
      </c>
      <c r="P246" s="2" t="str">
        <f ca="1">IFERROR(__xludf.DUMMYFUNCTION("""COMPUTED_VALUE"""),"")</f>
        <v/>
      </c>
      <c r="Q246" s="2" t="str">
        <f ca="1">IFERROR(__xludf.DUMMYFUNCTION("""COMPUTED_VALUE"""),"")</f>
        <v/>
      </c>
      <c r="R246" s="2" t="str">
        <f ca="1">IFERROR(__xludf.DUMMYFUNCTION("""COMPUTED_VALUE"""),"")</f>
        <v/>
      </c>
      <c r="S246" s="2" t="str">
        <f ca="1">IFERROR(__xludf.DUMMYFUNCTION("""COMPUTED_VALUE"""),"")</f>
        <v/>
      </c>
      <c r="T246" s="2" t="str">
        <f ca="1">IFERROR(__xludf.DUMMYFUNCTION("""COMPUTED_VALUE"""),"")</f>
        <v/>
      </c>
      <c r="U246" s="2" t="str">
        <f ca="1">IFERROR(__xludf.DUMMYFUNCTION("""COMPUTED_VALUE"""),"")</f>
        <v/>
      </c>
      <c r="V246" s="2" t="str">
        <f ca="1">IFERROR(__xludf.DUMMYFUNCTION("""COMPUTED_VALUE"""),"")</f>
        <v/>
      </c>
      <c r="W246" s="2" t="str">
        <f ca="1">IFERROR(__xludf.DUMMYFUNCTION("""COMPUTED_VALUE"""),"")</f>
        <v/>
      </c>
      <c r="X246" s="2" t="str">
        <f ca="1">IFERROR(__xludf.DUMMYFUNCTION("""COMPUTED_VALUE"""),"")</f>
        <v/>
      </c>
      <c r="Y246" s="2" t="str">
        <f ca="1">IFERROR(__xludf.DUMMYFUNCTION("""COMPUTED_VALUE"""),"")</f>
        <v/>
      </c>
      <c r="Z246" s="2" t="str">
        <f ca="1">IFERROR(__xludf.DUMMYFUNCTION("""COMPUTED_VALUE"""),"")</f>
        <v/>
      </c>
      <c r="AA246" s="2" t="str">
        <f ca="1">IFERROR(__xludf.DUMMYFUNCTION("""COMPUTED_VALUE"""),"")</f>
        <v/>
      </c>
      <c r="AB246" s="2" t="str">
        <f ca="1">IFERROR(__xludf.DUMMYFUNCTION("""COMPUTED_VALUE"""),"")</f>
        <v/>
      </c>
      <c r="AC246" s="2" t="str">
        <f ca="1">IFERROR(__xludf.DUMMYFUNCTION("""COMPUTED_VALUE"""),"")</f>
        <v/>
      </c>
      <c r="AD246" s="2" t="str">
        <f ca="1">IFERROR(__xludf.DUMMYFUNCTION("""COMPUTED_VALUE"""),"")</f>
        <v/>
      </c>
      <c r="AE246" s="2" t="str">
        <f ca="1">IFERROR(__xludf.DUMMYFUNCTION("""COMPUTED_VALUE"""),"")</f>
        <v/>
      </c>
      <c r="AF246" s="2" t="str">
        <f ca="1">IFERROR(__xludf.DUMMYFUNCTION("""COMPUTED_VALUE"""),"")</f>
        <v/>
      </c>
      <c r="AG246" s="2" t="str">
        <f ca="1">IFERROR(__xludf.DUMMYFUNCTION("""COMPUTED_VALUE"""),"")</f>
        <v/>
      </c>
      <c r="AH246" s="2" t="str">
        <f ca="1">IFERROR(__xludf.DUMMYFUNCTION("""COMPUTED_VALUE"""),"")</f>
        <v/>
      </c>
      <c r="AI246" s="2" t="str">
        <f ca="1">IFERROR(__xludf.DUMMYFUNCTION("""COMPUTED_VALUE"""),"")</f>
        <v/>
      </c>
      <c r="AJ246" s="2" t="str">
        <f ca="1">IFERROR(__xludf.DUMMYFUNCTION("""COMPUTED_VALUE"""),"")</f>
        <v/>
      </c>
      <c r="AK246" s="2" t="str">
        <f ca="1">IFERROR(__xludf.DUMMYFUNCTION("""COMPUTED_VALUE"""),"")</f>
        <v/>
      </c>
      <c r="AL246" s="2" t="str">
        <f ca="1">IFERROR(__xludf.DUMMYFUNCTION("""COMPUTED_VALUE"""),"")</f>
        <v/>
      </c>
      <c r="AM246" s="2" t="str">
        <f ca="1">IFERROR(__xludf.DUMMYFUNCTION("""COMPUTED_VALUE"""),"")</f>
        <v/>
      </c>
      <c r="AN246" s="2" t="str">
        <f ca="1">IFERROR(__xludf.DUMMYFUNCTION("""COMPUTED_VALUE"""),"")</f>
        <v/>
      </c>
      <c r="AO246" s="2" t="str">
        <f ca="1">IFERROR(__xludf.DUMMYFUNCTION("""COMPUTED_VALUE"""),"")</f>
        <v/>
      </c>
      <c r="AP246" s="2" t="str">
        <f ca="1">IFERROR(__xludf.DUMMYFUNCTION("""COMPUTED_VALUE"""),"")</f>
        <v/>
      </c>
      <c r="AQ246" s="2" t="str">
        <f ca="1">IFERROR(__xludf.DUMMYFUNCTION("""COMPUTED_VALUE"""),"")</f>
        <v/>
      </c>
      <c r="AR246" s="2" t="str">
        <f ca="1">IFERROR(__xludf.DUMMYFUNCTION("""COMPUTED_VALUE"""),"")</f>
        <v/>
      </c>
      <c r="AS246" s="2" t="str">
        <f ca="1">IFERROR(__xludf.DUMMYFUNCTION("""COMPUTED_VALUE"""),"")</f>
        <v/>
      </c>
      <c r="AT246" s="2" t="str">
        <f ca="1">IFERROR(__xludf.DUMMYFUNCTION("""COMPUTED_VALUE"""),"")</f>
        <v/>
      </c>
      <c r="AU246" s="2" t="str">
        <f ca="1">IFERROR(__xludf.DUMMYFUNCTION("""COMPUTED_VALUE"""),"")</f>
        <v/>
      </c>
      <c r="AV246" s="2" t="str">
        <f ca="1">IFERROR(__xludf.DUMMYFUNCTION("""COMPUTED_VALUE"""),"")</f>
        <v/>
      </c>
      <c r="AW246" s="2" t="str">
        <f ca="1">IFERROR(__xludf.DUMMYFUNCTION("""COMPUTED_VALUE"""),"")</f>
        <v/>
      </c>
      <c r="AX246" s="2" t="str">
        <f ca="1">IFERROR(__xludf.DUMMYFUNCTION("""COMPUTED_VALUE"""),"")</f>
        <v/>
      </c>
      <c r="AY246" s="2" t="str">
        <f ca="1">IFERROR(__xludf.DUMMYFUNCTION("""COMPUTED_VALUE"""),"")</f>
        <v/>
      </c>
      <c r="AZ246" s="2" t="str">
        <f ca="1">IFERROR(__xludf.DUMMYFUNCTION("""COMPUTED_VALUE"""),"")</f>
        <v/>
      </c>
      <c r="BA246" s="2" t="str">
        <f ca="1">IFERROR(__xludf.DUMMYFUNCTION("""COMPUTED_VALUE"""),"")</f>
        <v/>
      </c>
      <c r="BB246" s="2" t="str">
        <f ca="1">IFERROR(__xludf.DUMMYFUNCTION("""COMPUTED_VALUE"""),"")</f>
        <v/>
      </c>
      <c r="BC246" s="2" t="str">
        <f ca="1">IFERROR(__xludf.DUMMYFUNCTION("""COMPUTED_VALUE"""),"")</f>
        <v/>
      </c>
      <c r="BD246" s="2" t="str">
        <f ca="1">IFERROR(__xludf.DUMMYFUNCTION("""COMPUTED_VALUE"""),"")</f>
        <v/>
      </c>
      <c r="BE246" s="2" t="str">
        <f ca="1">IFERROR(__xludf.DUMMYFUNCTION("""COMPUTED_VALUE"""),"")</f>
        <v/>
      </c>
      <c r="BF246" t="str">
        <f ca="1">IFERROR(__xludf.DUMMYFUNCTION("""COMPUTED_VALUE"""),"")</f>
        <v/>
      </c>
      <c r="BG246" t="str">
        <f ca="1">IFERROR(__xludf.DUMMYFUNCTION("""COMPUTED_VALUE"""),"")</f>
        <v/>
      </c>
      <c r="BH246" s="2">
        <f ca="1">IFERROR(__xludf.DUMMYFUNCTION("""COMPUTED_VALUE"""),-37.3223305)</f>
        <v>-37.3223305</v>
      </c>
      <c r="BI246" s="13">
        <f ca="1">IFERROR(__xludf.DUMMYFUNCTION("""COMPUTED_VALUE"""),175.4460297)</f>
        <v>175.4460297</v>
      </c>
      <c r="BJ246" s="9">
        <f ca="1">IFERROR(__xludf.DUMMYFUNCTION("""COMPUTED_VALUE"""),43440)</f>
        <v>43440</v>
      </c>
      <c r="BK246" s="4">
        <f ca="1">IFERROR(__xludf.DUMMYFUNCTION("""COMPUTED_VALUE"""),0.958518518516939)</f>
        <v>0.95851851851693903</v>
      </c>
    </row>
    <row r="247" spans="1:63" ht="12.5" x14ac:dyDescent="0.25">
      <c r="A247" s="7" t="str">
        <f ca="1">IFERROR(__xludf.DUMMYFUNCTION("""COMPUTED_VALUE"""),"")</f>
        <v/>
      </c>
      <c r="B247" s="8" t="str">
        <f ca="1">IFERROR(__xludf.DUMMYFUNCTION("""COMPUTED_VALUE"""),"Waikato")</f>
        <v>Waikato</v>
      </c>
      <c r="C247" s="2">
        <f ca="1">IFERROR(__xludf.DUMMYFUNCTION("""COMPUTED_VALUE"""),23)</f>
        <v>23</v>
      </c>
      <c r="D247" s="9" t="str">
        <f ca="1">IFERROR(__xludf.DUMMYFUNCTION("""COMPUTED_VALUE"""),"")</f>
        <v/>
      </c>
      <c r="E247" s="4" t="str">
        <f ca="1">IFERROR(__xludf.DUMMYFUNCTION("""COMPUTED_VALUE"""),"")</f>
        <v/>
      </c>
      <c r="F247" s="2" t="str">
        <f ca="1">IFERROR(__xludf.DUMMYFUNCTION("""COMPUTED_VALUE"""),"")</f>
        <v/>
      </c>
      <c r="G247" s="2" t="str">
        <f ca="1">IFERROR(__xludf.DUMMYFUNCTION("""COMPUTED_VALUE"""),"GPS: I converted data downloaded from ARGOS using Pinpoint software")</f>
        <v>GPS: I converted data downloaded from ARGOS using Pinpoint software</v>
      </c>
      <c r="H247" s="2" t="str">
        <f ca="1">IFERROR(__xludf.DUMMYFUNCTION("""COMPUTED_VALUE"""),"3D")</f>
        <v>3D</v>
      </c>
      <c r="I247" s="2" t="str">
        <f ca="1">IFERROR(__xludf.DUMMYFUNCTION("""COMPUTED_VALUE"""),"")</f>
        <v/>
      </c>
      <c r="J247" s="2" t="str">
        <f ca="1">IFERROR(__xludf.DUMMYFUNCTION("""COMPUTED_VALUE"""),"")</f>
        <v/>
      </c>
      <c r="K247" s="2" t="str">
        <f ca="1">IFERROR(__xludf.DUMMYFUNCTION("""COMPUTED_VALUE"""),"")</f>
        <v/>
      </c>
      <c r="L247" s="2" t="str">
        <f ca="1">IFERROR(__xludf.DUMMYFUNCTION("""COMPUTED_VALUE"""),"")</f>
        <v/>
      </c>
      <c r="M247" s="5" t="str">
        <f ca="1">IFERROR(__xludf.DUMMYFUNCTION("""COMPUTED_VALUE"""),"")</f>
        <v/>
      </c>
      <c r="N247" s="5" t="str">
        <f ca="1">IFERROR(__xludf.DUMMYFUNCTION("""COMPUTED_VALUE"""),"")</f>
        <v/>
      </c>
      <c r="O247" s="2" t="str">
        <f ca="1">IFERROR(__xludf.DUMMYFUNCTION("""COMPUTED_VALUE"""),"")</f>
        <v/>
      </c>
      <c r="P247" s="2" t="str">
        <f ca="1">IFERROR(__xludf.DUMMYFUNCTION("""COMPUTED_VALUE"""),"")</f>
        <v/>
      </c>
      <c r="Q247" s="2" t="str">
        <f ca="1">IFERROR(__xludf.DUMMYFUNCTION("""COMPUTED_VALUE"""),"")</f>
        <v/>
      </c>
      <c r="R247" s="2" t="str">
        <f ca="1">IFERROR(__xludf.DUMMYFUNCTION("""COMPUTED_VALUE"""),"")</f>
        <v/>
      </c>
      <c r="S247" s="2" t="str">
        <f ca="1">IFERROR(__xludf.DUMMYFUNCTION("""COMPUTED_VALUE"""),"")</f>
        <v/>
      </c>
      <c r="T247" s="2" t="str">
        <f ca="1">IFERROR(__xludf.DUMMYFUNCTION("""COMPUTED_VALUE"""),"")</f>
        <v/>
      </c>
      <c r="U247" s="2" t="str">
        <f ca="1">IFERROR(__xludf.DUMMYFUNCTION("""COMPUTED_VALUE"""),"")</f>
        <v/>
      </c>
      <c r="V247" s="2" t="str">
        <f ca="1">IFERROR(__xludf.DUMMYFUNCTION("""COMPUTED_VALUE"""),"")</f>
        <v/>
      </c>
      <c r="W247" s="2" t="str">
        <f ca="1">IFERROR(__xludf.DUMMYFUNCTION("""COMPUTED_VALUE"""),"")</f>
        <v/>
      </c>
      <c r="X247" s="2" t="str">
        <f ca="1">IFERROR(__xludf.DUMMYFUNCTION("""COMPUTED_VALUE"""),"")</f>
        <v/>
      </c>
      <c r="Y247" s="2" t="str">
        <f ca="1">IFERROR(__xludf.DUMMYFUNCTION("""COMPUTED_VALUE"""),"")</f>
        <v/>
      </c>
      <c r="Z247" s="2" t="str">
        <f ca="1">IFERROR(__xludf.DUMMYFUNCTION("""COMPUTED_VALUE"""),"")</f>
        <v/>
      </c>
      <c r="AA247" s="2" t="str">
        <f ca="1">IFERROR(__xludf.DUMMYFUNCTION("""COMPUTED_VALUE"""),"")</f>
        <v/>
      </c>
      <c r="AB247" s="2" t="str">
        <f ca="1">IFERROR(__xludf.DUMMYFUNCTION("""COMPUTED_VALUE"""),"")</f>
        <v/>
      </c>
      <c r="AC247" s="2" t="str">
        <f ca="1">IFERROR(__xludf.DUMMYFUNCTION("""COMPUTED_VALUE"""),"")</f>
        <v/>
      </c>
      <c r="AD247" s="2" t="str">
        <f ca="1">IFERROR(__xludf.DUMMYFUNCTION("""COMPUTED_VALUE"""),"")</f>
        <v/>
      </c>
      <c r="AE247" s="2" t="str">
        <f ca="1">IFERROR(__xludf.DUMMYFUNCTION("""COMPUTED_VALUE"""),"")</f>
        <v/>
      </c>
      <c r="AF247" s="2" t="str">
        <f ca="1">IFERROR(__xludf.DUMMYFUNCTION("""COMPUTED_VALUE"""),"")</f>
        <v/>
      </c>
      <c r="AG247" s="2" t="str">
        <f ca="1">IFERROR(__xludf.DUMMYFUNCTION("""COMPUTED_VALUE"""),"")</f>
        <v/>
      </c>
      <c r="AH247" s="2" t="str">
        <f ca="1">IFERROR(__xludf.DUMMYFUNCTION("""COMPUTED_VALUE"""),"")</f>
        <v/>
      </c>
      <c r="AI247" s="2" t="str">
        <f ca="1">IFERROR(__xludf.DUMMYFUNCTION("""COMPUTED_VALUE"""),"")</f>
        <v/>
      </c>
      <c r="AJ247" s="2" t="str">
        <f ca="1">IFERROR(__xludf.DUMMYFUNCTION("""COMPUTED_VALUE"""),"")</f>
        <v/>
      </c>
      <c r="AK247" s="2" t="str">
        <f ca="1">IFERROR(__xludf.DUMMYFUNCTION("""COMPUTED_VALUE"""),"")</f>
        <v/>
      </c>
      <c r="AL247" s="2" t="str">
        <f ca="1">IFERROR(__xludf.DUMMYFUNCTION("""COMPUTED_VALUE"""),"")</f>
        <v/>
      </c>
      <c r="AM247" s="2" t="str">
        <f ca="1">IFERROR(__xludf.DUMMYFUNCTION("""COMPUTED_VALUE"""),"")</f>
        <v/>
      </c>
      <c r="AN247" s="2" t="str">
        <f ca="1">IFERROR(__xludf.DUMMYFUNCTION("""COMPUTED_VALUE"""),"")</f>
        <v/>
      </c>
      <c r="AO247" s="2" t="str">
        <f ca="1">IFERROR(__xludf.DUMMYFUNCTION("""COMPUTED_VALUE"""),"")</f>
        <v/>
      </c>
      <c r="AP247" s="2" t="str">
        <f ca="1">IFERROR(__xludf.DUMMYFUNCTION("""COMPUTED_VALUE"""),"")</f>
        <v/>
      </c>
      <c r="AQ247" s="2" t="str">
        <f ca="1">IFERROR(__xludf.DUMMYFUNCTION("""COMPUTED_VALUE"""),"")</f>
        <v/>
      </c>
      <c r="AR247" s="2" t="str">
        <f ca="1">IFERROR(__xludf.DUMMYFUNCTION("""COMPUTED_VALUE"""),"")</f>
        <v/>
      </c>
      <c r="AS247" s="2" t="str">
        <f ca="1">IFERROR(__xludf.DUMMYFUNCTION("""COMPUTED_VALUE"""),"")</f>
        <v/>
      </c>
      <c r="AT247" s="2" t="str">
        <f ca="1">IFERROR(__xludf.DUMMYFUNCTION("""COMPUTED_VALUE"""),"")</f>
        <v/>
      </c>
      <c r="AU247" s="2" t="str">
        <f ca="1">IFERROR(__xludf.DUMMYFUNCTION("""COMPUTED_VALUE"""),"")</f>
        <v/>
      </c>
      <c r="AV247" s="2" t="str">
        <f ca="1">IFERROR(__xludf.DUMMYFUNCTION("""COMPUTED_VALUE"""),"")</f>
        <v/>
      </c>
      <c r="AW247" s="2" t="str">
        <f ca="1">IFERROR(__xludf.DUMMYFUNCTION("""COMPUTED_VALUE"""),"")</f>
        <v/>
      </c>
      <c r="AX247" s="2" t="str">
        <f ca="1">IFERROR(__xludf.DUMMYFUNCTION("""COMPUTED_VALUE"""),"")</f>
        <v/>
      </c>
      <c r="AY247" s="2" t="str">
        <f ca="1">IFERROR(__xludf.DUMMYFUNCTION("""COMPUTED_VALUE"""),"")</f>
        <v/>
      </c>
      <c r="AZ247" s="2" t="str">
        <f ca="1">IFERROR(__xludf.DUMMYFUNCTION("""COMPUTED_VALUE"""),"")</f>
        <v/>
      </c>
      <c r="BA247" s="2" t="str">
        <f ca="1">IFERROR(__xludf.DUMMYFUNCTION("""COMPUTED_VALUE"""),"")</f>
        <v/>
      </c>
      <c r="BB247" s="2" t="str">
        <f ca="1">IFERROR(__xludf.DUMMYFUNCTION("""COMPUTED_VALUE"""),"")</f>
        <v/>
      </c>
      <c r="BC247" s="2" t="str">
        <f ca="1">IFERROR(__xludf.DUMMYFUNCTION("""COMPUTED_VALUE"""),"")</f>
        <v/>
      </c>
      <c r="BD247" s="2" t="str">
        <f ca="1">IFERROR(__xludf.DUMMYFUNCTION("""COMPUTED_VALUE"""),"")</f>
        <v/>
      </c>
      <c r="BE247" s="2" t="str">
        <f ca="1">IFERROR(__xludf.DUMMYFUNCTION("""COMPUTED_VALUE"""),"")</f>
        <v/>
      </c>
      <c r="BF247" t="str">
        <f ca="1">IFERROR(__xludf.DUMMYFUNCTION("""COMPUTED_VALUE"""),"")</f>
        <v/>
      </c>
      <c r="BG247" t="str">
        <f ca="1">IFERROR(__xludf.DUMMYFUNCTION("""COMPUTED_VALUE"""),"")</f>
        <v/>
      </c>
      <c r="BH247" s="2">
        <f ca="1">IFERROR(__xludf.DUMMYFUNCTION("""COMPUTED_VALUE"""),-37.3190765)</f>
        <v>-37.319076500000001</v>
      </c>
      <c r="BI247" s="12">
        <f ca="1">IFERROR(__xludf.DUMMYFUNCTION("""COMPUTED_VALUE"""),175.443924)</f>
        <v>175.44392400000001</v>
      </c>
      <c r="BJ247" s="9">
        <f ca="1">IFERROR(__xludf.DUMMYFUNCTION("""COMPUTED_VALUE"""),43441)</f>
        <v>43441</v>
      </c>
      <c r="BK247" s="4">
        <f ca="1">IFERROR(__xludf.DUMMYFUNCTION("""COMPUTED_VALUE"""),0.874074074072268)</f>
        <v>0.874074074072268</v>
      </c>
    </row>
    <row r="248" spans="1:63" ht="12.5" x14ac:dyDescent="0.25">
      <c r="A248" s="7" t="str">
        <f ca="1">IFERROR(__xludf.DUMMYFUNCTION("""COMPUTED_VALUE"""),"")</f>
        <v/>
      </c>
      <c r="B248" s="8" t="str">
        <f ca="1">IFERROR(__xludf.DUMMYFUNCTION("""COMPUTED_VALUE"""),"Waikato")</f>
        <v>Waikato</v>
      </c>
      <c r="C248" s="2">
        <f ca="1">IFERROR(__xludf.DUMMYFUNCTION("""COMPUTED_VALUE"""),23)</f>
        <v>23</v>
      </c>
      <c r="D248" s="9" t="str">
        <f ca="1">IFERROR(__xludf.DUMMYFUNCTION("""COMPUTED_VALUE"""),"")</f>
        <v/>
      </c>
      <c r="E248" s="4" t="str">
        <f ca="1">IFERROR(__xludf.DUMMYFUNCTION("""COMPUTED_VALUE"""),"")</f>
        <v/>
      </c>
      <c r="F248" s="2" t="str">
        <f ca="1">IFERROR(__xludf.DUMMYFUNCTION("""COMPUTED_VALUE"""),"")</f>
        <v/>
      </c>
      <c r="G248" s="2" t="str">
        <f ca="1">IFERROR(__xludf.DUMMYFUNCTION("""COMPUTED_VALUE"""),"GPS: I converted data downloaded from ARGOS using Pinpoint software")</f>
        <v>GPS: I converted data downloaded from ARGOS using Pinpoint software</v>
      </c>
      <c r="H248" s="2" t="str">
        <f ca="1">IFERROR(__xludf.DUMMYFUNCTION("""COMPUTED_VALUE"""),"3D")</f>
        <v>3D</v>
      </c>
      <c r="I248" s="2" t="str">
        <f ca="1">IFERROR(__xludf.DUMMYFUNCTION("""COMPUTED_VALUE"""),"")</f>
        <v/>
      </c>
      <c r="J248" s="2" t="str">
        <f ca="1">IFERROR(__xludf.DUMMYFUNCTION("""COMPUTED_VALUE"""),"")</f>
        <v/>
      </c>
      <c r="K248" s="2" t="str">
        <f ca="1">IFERROR(__xludf.DUMMYFUNCTION("""COMPUTED_VALUE"""),"")</f>
        <v/>
      </c>
      <c r="L248" s="2" t="str">
        <f ca="1">IFERROR(__xludf.DUMMYFUNCTION("""COMPUTED_VALUE"""),"")</f>
        <v/>
      </c>
      <c r="M248" s="5" t="str">
        <f ca="1">IFERROR(__xludf.DUMMYFUNCTION("""COMPUTED_VALUE"""),"")</f>
        <v/>
      </c>
      <c r="N248" s="5" t="str">
        <f ca="1">IFERROR(__xludf.DUMMYFUNCTION("""COMPUTED_VALUE"""),"")</f>
        <v/>
      </c>
      <c r="O248" s="2" t="str">
        <f ca="1">IFERROR(__xludf.DUMMYFUNCTION("""COMPUTED_VALUE"""),"")</f>
        <v/>
      </c>
      <c r="P248" s="2" t="str">
        <f ca="1">IFERROR(__xludf.DUMMYFUNCTION("""COMPUTED_VALUE"""),"")</f>
        <v/>
      </c>
      <c r="Q248" s="2" t="str">
        <f ca="1">IFERROR(__xludf.DUMMYFUNCTION("""COMPUTED_VALUE"""),"")</f>
        <v/>
      </c>
      <c r="R248" s="2" t="str">
        <f ca="1">IFERROR(__xludf.DUMMYFUNCTION("""COMPUTED_VALUE"""),"")</f>
        <v/>
      </c>
      <c r="S248" s="2" t="str">
        <f ca="1">IFERROR(__xludf.DUMMYFUNCTION("""COMPUTED_VALUE"""),"")</f>
        <v/>
      </c>
      <c r="T248" s="2" t="str">
        <f ca="1">IFERROR(__xludf.DUMMYFUNCTION("""COMPUTED_VALUE"""),"")</f>
        <v/>
      </c>
      <c r="U248" s="2" t="str">
        <f ca="1">IFERROR(__xludf.DUMMYFUNCTION("""COMPUTED_VALUE"""),"")</f>
        <v/>
      </c>
      <c r="V248" s="2" t="str">
        <f ca="1">IFERROR(__xludf.DUMMYFUNCTION("""COMPUTED_VALUE"""),"")</f>
        <v/>
      </c>
      <c r="W248" s="2" t="str">
        <f ca="1">IFERROR(__xludf.DUMMYFUNCTION("""COMPUTED_VALUE"""),"")</f>
        <v/>
      </c>
      <c r="X248" s="2" t="str">
        <f ca="1">IFERROR(__xludf.DUMMYFUNCTION("""COMPUTED_VALUE"""),"")</f>
        <v/>
      </c>
      <c r="Y248" s="2" t="str">
        <f ca="1">IFERROR(__xludf.DUMMYFUNCTION("""COMPUTED_VALUE"""),"")</f>
        <v/>
      </c>
      <c r="Z248" s="2" t="str">
        <f ca="1">IFERROR(__xludf.DUMMYFUNCTION("""COMPUTED_VALUE"""),"")</f>
        <v/>
      </c>
      <c r="AA248" s="2" t="str">
        <f ca="1">IFERROR(__xludf.DUMMYFUNCTION("""COMPUTED_VALUE"""),"")</f>
        <v/>
      </c>
      <c r="AB248" s="2" t="str">
        <f ca="1">IFERROR(__xludf.DUMMYFUNCTION("""COMPUTED_VALUE"""),"")</f>
        <v/>
      </c>
      <c r="AC248" s="2" t="str">
        <f ca="1">IFERROR(__xludf.DUMMYFUNCTION("""COMPUTED_VALUE"""),"")</f>
        <v/>
      </c>
      <c r="AD248" s="2" t="str">
        <f ca="1">IFERROR(__xludf.DUMMYFUNCTION("""COMPUTED_VALUE"""),"")</f>
        <v/>
      </c>
      <c r="AE248" s="2" t="str">
        <f ca="1">IFERROR(__xludf.DUMMYFUNCTION("""COMPUTED_VALUE"""),"")</f>
        <v/>
      </c>
      <c r="AF248" s="2" t="str">
        <f ca="1">IFERROR(__xludf.DUMMYFUNCTION("""COMPUTED_VALUE"""),"")</f>
        <v/>
      </c>
      <c r="AG248" s="2" t="str">
        <f ca="1">IFERROR(__xludf.DUMMYFUNCTION("""COMPUTED_VALUE"""),"")</f>
        <v/>
      </c>
      <c r="AH248" s="2" t="str">
        <f ca="1">IFERROR(__xludf.DUMMYFUNCTION("""COMPUTED_VALUE"""),"")</f>
        <v/>
      </c>
      <c r="AI248" s="2" t="str">
        <f ca="1">IFERROR(__xludf.DUMMYFUNCTION("""COMPUTED_VALUE"""),"")</f>
        <v/>
      </c>
      <c r="AJ248" s="2" t="str">
        <f ca="1">IFERROR(__xludf.DUMMYFUNCTION("""COMPUTED_VALUE"""),"")</f>
        <v/>
      </c>
      <c r="AK248" s="2" t="str">
        <f ca="1">IFERROR(__xludf.DUMMYFUNCTION("""COMPUTED_VALUE"""),"")</f>
        <v/>
      </c>
      <c r="AL248" s="2" t="str">
        <f ca="1">IFERROR(__xludf.DUMMYFUNCTION("""COMPUTED_VALUE"""),"")</f>
        <v/>
      </c>
      <c r="AM248" s="2" t="str">
        <f ca="1">IFERROR(__xludf.DUMMYFUNCTION("""COMPUTED_VALUE"""),"")</f>
        <v/>
      </c>
      <c r="AN248" s="2" t="str">
        <f ca="1">IFERROR(__xludf.DUMMYFUNCTION("""COMPUTED_VALUE"""),"")</f>
        <v/>
      </c>
      <c r="AO248" s="2" t="str">
        <f ca="1">IFERROR(__xludf.DUMMYFUNCTION("""COMPUTED_VALUE"""),"")</f>
        <v/>
      </c>
      <c r="AP248" s="2" t="str">
        <f ca="1">IFERROR(__xludf.DUMMYFUNCTION("""COMPUTED_VALUE"""),"")</f>
        <v/>
      </c>
      <c r="AQ248" s="2" t="str">
        <f ca="1">IFERROR(__xludf.DUMMYFUNCTION("""COMPUTED_VALUE"""),"")</f>
        <v/>
      </c>
      <c r="AR248" s="2" t="str">
        <f ca="1">IFERROR(__xludf.DUMMYFUNCTION("""COMPUTED_VALUE"""),"")</f>
        <v/>
      </c>
      <c r="AS248" s="2" t="str">
        <f ca="1">IFERROR(__xludf.DUMMYFUNCTION("""COMPUTED_VALUE"""),"")</f>
        <v/>
      </c>
      <c r="AT248" s="2" t="str">
        <f ca="1">IFERROR(__xludf.DUMMYFUNCTION("""COMPUTED_VALUE"""),"")</f>
        <v/>
      </c>
      <c r="AU248" s="2" t="str">
        <f ca="1">IFERROR(__xludf.DUMMYFUNCTION("""COMPUTED_VALUE"""),"")</f>
        <v/>
      </c>
      <c r="AV248" s="2" t="str">
        <f ca="1">IFERROR(__xludf.DUMMYFUNCTION("""COMPUTED_VALUE"""),"")</f>
        <v/>
      </c>
      <c r="AW248" s="2" t="str">
        <f ca="1">IFERROR(__xludf.DUMMYFUNCTION("""COMPUTED_VALUE"""),"")</f>
        <v/>
      </c>
      <c r="AX248" s="2" t="str">
        <f ca="1">IFERROR(__xludf.DUMMYFUNCTION("""COMPUTED_VALUE"""),"")</f>
        <v/>
      </c>
      <c r="AY248" s="2" t="str">
        <f ca="1">IFERROR(__xludf.DUMMYFUNCTION("""COMPUTED_VALUE"""),"")</f>
        <v/>
      </c>
      <c r="AZ248" s="2" t="str">
        <f ca="1">IFERROR(__xludf.DUMMYFUNCTION("""COMPUTED_VALUE"""),"")</f>
        <v/>
      </c>
      <c r="BA248" s="2" t="str">
        <f ca="1">IFERROR(__xludf.DUMMYFUNCTION("""COMPUTED_VALUE"""),"")</f>
        <v/>
      </c>
      <c r="BB248" s="2" t="str">
        <f ca="1">IFERROR(__xludf.DUMMYFUNCTION("""COMPUTED_VALUE"""),"")</f>
        <v/>
      </c>
      <c r="BC248" s="2" t="str">
        <f ca="1">IFERROR(__xludf.DUMMYFUNCTION("""COMPUTED_VALUE"""),"")</f>
        <v/>
      </c>
      <c r="BD248" s="2" t="str">
        <f ca="1">IFERROR(__xludf.DUMMYFUNCTION("""COMPUTED_VALUE"""),"")</f>
        <v/>
      </c>
      <c r="BE248" s="2" t="str">
        <f ca="1">IFERROR(__xludf.DUMMYFUNCTION("""COMPUTED_VALUE"""),"")</f>
        <v/>
      </c>
      <c r="BF248" t="str">
        <f ca="1">IFERROR(__xludf.DUMMYFUNCTION("""COMPUTED_VALUE"""),"")</f>
        <v/>
      </c>
      <c r="BG248" t="str">
        <f ca="1">IFERROR(__xludf.DUMMYFUNCTION("""COMPUTED_VALUE"""),"")</f>
        <v/>
      </c>
      <c r="BH248" s="2">
        <f ca="1">IFERROR(__xludf.DUMMYFUNCTION("""COMPUTED_VALUE"""),-37.323864)</f>
        <v>-37.323864</v>
      </c>
      <c r="BI248" s="13">
        <f ca="1">IFERROR(__xludf.DUMMYFUNCTION("""COMPUTED_VALUE"""),175.4514008)</f>
        <v>175.45140079999999</v>
      </c>
      <c r="BJ248" s="9">
        <f ca="1">IFERROR(__xludf.DUMMYFUNCTION("""COMPUTED_VALUE"""),43442)</f>
        <v>43442</v>
      </c>
      <c r="BK248" s="4">
        <f ca="1">IFERROR(__xludf.DUMMYFUNCTION("""COMPUTED_VALUE"""),0.457777777777664)</f>
        <v>0.45777777777766399</v>
      </c>
    </row>
    <row r="249" spans="1:63" ht="12.5" x14ac:dyDescent="0.25">
      <c r="A249" s="7" t="str">
        <f ca="1">IFERROR(__xludf.DUMMYFUNCTION("""COMPUTED_VALUE"""),"")</f>
        <v/>
      </c>
      <c r="B249" s="8" t="str">
        <f ca="1">IFERROR(__xludf.DUMMYFUNCTION("""COMPUTED_VALUE"""),"Waikato")</f>
        <v>Waikato</v>
      </c>
      <c r="C249" s="2">
        <f ca="1">IFERROR(__xludf.DUMMYFUNCTION("""COMPUTED_VALUE"""),23)</f>
        <v>23</v>
      </c>
      <c r="D249" s="9" t="str">
        <f ca="1">IFERROR(__xludf.DUMMYFUNCTION("""COMPUTED_VALUE"""),"")</f>
        <v/>
      </c>
      <c r="E249" s="4" t="str">
        <f ca="1">IFERROR(__xludf.DUMMYFUNCTION("""COMPUTED_VALUE"""),"")</f>
        <v/>
      </c>
      <c r="F249" s="2" t="str">
        <f ca="1">IFERROR(__xludf.DUMMYFUNCTION("""COMPUTED_VALUE"""),"")</f>
        <v/>
      </c>
      <c r="G249" s="2" t="str">
        <f ca="1">IFERROR(__xludf.DUMMYFUNCTION("""COMPUTED_VALUE"""),"GPS: I converted data downloaded from ARGOS using Pinpoint software")</f>
        <v>GPS: I converted data downloaded from ARGOS using Pinpoint software</v>
      </c>
      <c r="H249" s="2" t="str">
        <f ca="1">IFERROR(__xludf.DUMMYFUNCTION("""COMPUTED_VALUE"""),"3D")</f>
        <v>3D</v>
      </c>
      <c r="I249" s="2" t="str">
        <f ca="1">IFERROR(__xludf.DUMMYFUNCTION("""COMPUTED_VALUE"""),"")</f>
        <v/>
      </c>
      <c r="J249" s="2" t="str">
        <f ca="1">IFERROR(__xludf.DUMMYFUNCTION("""COMPUTED_VALUE"""),"")</f>
        <v/>
      </c>
      <c r="K249" s="2" t="str">
        <f ca="1">IFERROR(__xludf.DUMMYFUNCTION("""COMPUTED_VALUE"""),"")</f>
        <v/>
      </c>
      <c r="L249" s="2" t="str">
        <f ca="1">IFERROR(__xludf.DUMMYFUNCTION("""COMPUTED_VALUE"""),"")</f>
        <v/>
      </c>
      <c r="M249" s="5" t="str">
        <f ca="1">IFERROR(__xludf.DUMMYFUNCTION("""COMPUTED_VALUE"""),"")</f>
        <v/>
      </c>
      <c r="N249" s="5" t="str">
        <f ca="1">IFERROR(__xludf.DUMMYFUNCTION("""COMPUTED_VALUE"""),"")</f>
        <v/>
      </c>
      <c r="O249" s="2" t="str">
        <f ca="1">IFERROR(__xludf.DUMMYFUNCTION("""COMPUTED_VALUE"""),"")</f>
        <v/>
      </c>
      <c r="P249" s="2" t="str">
        <f ca="1">IFERROR(__xludf.DUMMYFUNCTION("""COMPUTED_VALUE"""),"")</f>
        <v/>
      </c>
      <c r="Q249" s="2" t="str">
        <f ca="1">IFERROR(__xludf.DUMMYFUNCTION("""COMPUTED_VALUE"""),"")</f>
        <v/>
      </c>
      <c r="R249" s="2" t="str">
        <f ca="1">IFERROR(__xludf.DUMMYFUNCTION("""COMPUTED_VALUE"""),"")</f>
        <v/>
      </c>
      <c r="S249" s="2" t="str">
        <f ca="1">IFERROR(__xludf.DUMMYFUNCTION("""COMPUTED_VALUE"""),"")</f>
        <v/>
      </c>
      <c r="T249" s="2" t="str">
        <f ca="1">IFERROR(__xludf.DUMMYFUNCTION("""COMPUTED_VALUE"""),"")</f>
        <v/>
      </c>
      <c r="U249" s="2" t="str">
        <f ca="1">IFERROR(__xludf.DUMMYFUNCTION("""COMPUTED_VALUE"""),"")</f>
        <v/>
      </c>
      <c r="V249" s="2" t="str">
        <f ca="1">IFERROR(__xludf.DUMMYFUNCTION("""COMPUTED_VALUE"""),"")</f>
        <v/>
      </c>
      <c r="W249" s="2" t="str">
        <f ca="1">IFERROR(__xludf.DUMMYFUNCTION("""COMPUTED_VALUE"""),"")</f>
        <v/>
      </c>
      <c r="X249" s="2" t="str">
        <f ca="1">IFERROR(__xludf.DUMMYFUNCTION("""COMPUTED_VALUE"""),"")</f>
        <v/>
      </c>
      <c r="Y249" s="2" t="str">
        <f ca="1">IFERROR(__xludf.DUMMYFUNCTION("""COMPUTED_VALUE"""),"")</f>
        <v/>
      </c>
      <c r="Z249" s="2" t="str">
        <f ca="1">IFERROR(__xludf.DUMMYFUNCTION("""COMPUTED_VALUE"""),"")</f>
        <v/>
      </c>
      <c r="AA249" s="2" t="str">
        <f ca="1">IFERROR(__xludf.DUMMYFUNCTION("""COMPUTED_VALUE"""),"")</f>
        <v/>
      </c>
      <c r="AB249" s="2" t="str">
        <f ca="1">IFERROR(__xludf.DUMMYFUNCTION("""COMPUTED_VALUE"""),"")</f>
        <v/>
      </c>
      <c r="AC249" s="2" t="str">
        <f ca="1">IFERROR(__xludf.DUMMYFUNCTION("""COMPUTED_VALUE"""),"")</f>
        <v/>
      </c>
      <c r="AD249" s="2" t="str">
        <f ca="1">IFERROR(__xludf.DUMMYFUNCTION("""COMPUTED_VALUE"""),"")</f>
        <v/>
      </c>
      <c r="AE249" s="2" t="str">
        <f ca="1">IFERROR(__xludf.DUMMYFUNCTION("""COMPUTED_VALUE"""),"")</f>
        <v/>
      </c>
      <c r="AF249" s="2" t="str">
        <f ca="1">IFERROR(__xludf.DUMMYFUNCTION("""COMPUTED_VALUE"""),"")</f>
        <v/>
      </c>
      <c r="AG249" s="2" t="str">
        <f ca="1">IFERROR(__xludf.DUMMYFUNCTION("""COMPUTED_VALUE"""),"")</f>
        <v/>
      </c>
      <c r="AH249" s="2" t="str">
        <f ca="1">IFERROR(__xludf.DUMMYFUNCTION("""COMPUTED_VALUE"""),"")</f>
        <v/>
      </c>
      <c r="AI249" s="2" t="str">
        <f ca="1">IFERROR(__xludf.DUMMYFUNCTION("""COMPUTED_VALUE"""),"")</f>
        <v/>
      </c>
      <c r="AJ249" s="2" t="str">
        <f ca="1">IFERROR(__xludf.DUMMYFUNCTION("""COMPUTED_VALUE"""),"")</f>
        <v/>
      </c>
      <c r="AK249" s="2" t="str">
        <f ca="1">IFERROR(__xludf.DUMMYFUNCTION("""COMPUTED_VALUE"""),"")</f>
        <v/>
      </c>
      <c r="AL249" s="2" t="str">
        <f ca="1">IFERROR(__xludf.DUMMYFUNCTION("""COMPUTED_VALUE"""),"")</f>
        <v/>
      </c>
      <c r="AM249" s="2" t="str">
        <f ca="1">IFERROR(__xludf.DUMMYFUNCTION("""COMPUTED_VALUE"""),"")</f>
        <v/>
      </c>
      <c r="AN249" s="2" t="str">
        <f ca="1">IFERROR(__xludf.DUMMYFUNCTION("""COMPUTED_VALUE"""),"")</f>
        <v/>
      </c>
      <c r="AO249" s="2" t="str">
        <f ca="1">IFERROR(__xludf.DUMMYFUNCTION("""COMPUTED_VALUE"""),"")</f>
        <v/>
      </c>
      <c r="AP249" s="2" t="str">
        <f ca="1">IFERROR(__xludf.DUMMYFUNCTION("""COMPUTED_VALUE"""),"")</f>
        <v/>
      </c>
      <c r="AQ249" s="2" t="str">
        <f ca="1">IFERROR(__xludf.DUMMYFUNCTION("""COMPUTED_VALUE"""),"")</f>
        <v/>
      </c>
      <c r="AR249" s="2" t="str">
        <f ca="1">IFERROR(__xludf.DUMMYFUNCTION("""COMPUTED_VALUE"""),"")</f>
        <v/>
      </c>
      <c r="AS249" s="2" t="str">
        <f ca="1">IFERROR(__xludf.DUMMYFUNCTION("""COMPUTED_VALUE"""),"")</f>
        <v/>
      </c>
      <c r="AT249" s="2" t="str">
        <f ca="1">IFERROR(__xludf.DUMMYFUNCTION("""COMPUTED_VALUE"""),"")</f>
        <v/>
      </c>
      <c r="AU249" s="2" t="str">
        <f ca="1">IFERROR(__xludf.DUMMYFUNCTION("""COMPUTED_VALUE"""),"")</f>
        <v/>
      </c>
      <c r="AV249" s="2" t="str">
        <f ca="1">IFERROR(__xludf.DUMMYFUNCTION("""COMPUTED_VALUE"""),"")</f>
        <v/>
      </c>
      <c r="AW249" s="2" t="str">
        <f ca="1">IFERROR(__xludf.DUMMYFUNCTION("""COMPUTED_VALUE"""),"")</f>
        <v/>
      </c>
      <c r="AX249" s="2" t="str">
        <f ca="1">IFERROR(__xludf.DUMMYFUNCTION("""COMPUTED_VALUE"""),"")</f>
        <v/>
      </c>
      <c r="AY249" s="2" t="str">
        <f ca="1">IFERROR(__xludf.DUMMYFUNCTION("""COMPUTED_VALUE"""),"")</f>
        <v/>
      </c>
      <c r="AZ249" s="2" t="str">
        <f ca="1">IFERROR(__xludf.DUMMYFUNCTION("""COMPUTED_VALUE"""),"")</f>
        <v/>
      </c>
      <c r="BA249" s="2" t="str">
        <f ca="1">IFERROR(__xludf.DUMMYFUNCTION("""COMPUTED_VALUE"""),"")</f>
        <v/>
      </c>
      <c r="BB249" s="2" t="str">
        <f ca="1">IFERROR(__xludf.DUMMYFUNCTION("""COMPUTED_VALUE"""),"")</f>
        <v/>
      </c>
      <c r="BC249" s="2" t="str">
        <f ca="1">IFERROR(__xludf.DUMMYFUNCTION("""COMPUTED_VALUE"""),"")</f>
        <v/>
      </c>
      <c r="BD249" s="2" t="str">
        <f ca="1">IFERROR(__xludf.DUMMYFUNCTION("""COMPUTED_VALUE"""),"")</f>
        <v/>
      </c>
      <c r="BE249" s="2" t="str">
        <f ca="1">IFERROR(__xludf.DUMMYFUNCTION("""COMPUTED_VALUE"""),"")</f>
        <v/>
      </c>
      <c r="BF249" t="str">
        <f ca="1">IFERROR(__xludf.DUMMYFUNCTION("""COMPUTED_VALUE"""),"")</f>
        <v/>
      </c>
      <c r="BG249" t="str">
        <f ca="1">IFERROR(__xludf.DUMMYFUNCTION("""COMPUTED_VALUE"""),"")</f>
        <v/>
      </c>
      <c r="BH249" s="2">
        <f ca="1">IFERROR(__xludf.DUMMYFUNCTION("""COMPUTED_VALUE"""),-37.3180809)</f>
        <v>-37.318080899999998</v>
      </c>
      <c r="BI249" s="12">
        <f ca="1">IFERROR(__xludf.DUMMYFUNCTION("""COMPUTED_VALUE"""),175.4432831)</f>
        <v>175.4432831</v>
      </c>
      <c r="BJ249" s="9">
        <f ca="1">IFERROR(__xludf.DUMMYFUNCTION("""COMPUTED_VALUE"""),43442)</f>
        <v>43442</v>
      </c>
      <c r="BK249" s="4">
        <f ca="1">IFERROR(__xludf.DUMMYFUNCTION("""COMPUTED_VALUE"""),0.958518518516939)</f>
        <v>0.95851851851693903</v>
      </c>
    </row>
    <row r="250" spans="1:63" ht="12.5" x14ac:dyDescent="0.25">
      <c r="A250" s="7" t="str">
        <f ca="1">IFERROR(__xludf.DUMMYFUNCTION("""COMPUTED_VALUE"""),"")</f>
        <v/>
      </c>
      <c r="B250" s="8" t="str">
        <f ca="1">IFERROR(__xludf.DUMMYFUNCTION("""COMPUTED_VALUE"""),"Waikato")</f>
        <v>Waikato</v>
      </c>
      <c r="C250" s="2">
        <f ca="1">IFERROR(__xludf.DUMMYFUNCTION("""COMPUTED_VALUE"""),23)</f>
        <v>23</v>
      </c>
      <c r="D250" s="9" t="str">
        <f ca="1">IFERROR(__xludf.DUMMYFUNCTION("""COMPUTED_VALUE"""),"")</f>
        <v/>
      </c>
      <c r="E250" s="4" t="str">
        <f ca="1">IFERROR(__xludf.DUMMYFUNCTION("""COMPUTED_VALUE"""),"")</f>
        <v/>
      </c>
      <c r="F250" s="2" t="str">
        <f ca="1">IFERROR(__xludf.DUMMYFUNCTION("""COMPUTED_VALUE"""),"")</f>
        <v/>
      </c>
      <c r="G250" s="2" t="str">
        <f ca="1">IFERROR(__xludf.DUMMYFUNCTION("""COMPUTED_VALUE"""),"GPS: I converted data downloaded from ARGOS using Pinpoint software")</f>
        <v>GPS: I converted data downloaded from ARGOS using Pinpoint software</v>
      </c>
      <c r="H250" s="2" t="str">
        <f ca="1">IFERROR(__xludf.DUMMYFUNCTION("""COMPUTED_VALUE"""),"3D")</f>
        <v>3D</v>
      </c>
      <c r="I250" s="2" t="str">
        <f ca="1">IFERROR(__xludf.DUMMYFUNCTION("""COMPUTED_VALUE"""),"")</f>
        <v/>
      </c>
      <c r="J250" s="2" t="str">
        <f ca="1">IFERROR(__xludf.DUMMYFUNCTION("""COMPUTED_VALUE"""),"")</f>
        <v/>
      </c>
      <c r="K250" s="2" t="str">
        <f ca="1">IFERROR(__xludf.DUMMYFUNCTION("""COMPUTED_VALUE"""),"")</f>
        <v/>
      </c>
      <c r="L250" s="2" t="str">
        <f ca="1">IFERROR(__xludf.DUMMYFUNCTION("""COMPUTED_VALUE"""),"")</f>
        <v/>
      </c>
      <c r="M250" s="5" t="str">
        <f ca="1">IFERROR(__xludf.DUMMYFUNCTION("""COMPUTED_VALUE"""),"")</f>
        <v/>
      </c>
      <c r="N250" s="5" t="str">
        <f ca="1">IFERROR(__xludf.DUMMYFUNCTION("""COMPUTED_VALUE"""),"")</f>
        <v/>
      </c>
      <c r="O250" s="2" t="str">
        <f ca="1">IFERROR(__xludf.DUMMYFUNCTION("""COMPUTED_VALUE"""),"")</f>
        <v/>
      </c>
      <c r="P250" s="2" t="str">
        <f ca="1">IFERROR(__xludf.DUMMYFUNCTION("""COMPUTED_VALUE"""),"")</f>
        <v/>
      </c>
      <c r="Q250" s="2" t="str">
        <f ca="1">IFERROR(__xludf.DUMMYFUNCTION("""COMPUTED_VALUE"""),"")</f>
        <v/>
      </c>
      <c r="R250" s="2" t="str">
        <f ca="1">IFERROR(__xludf.DUMMYFUNCTION("""COMPUTED_VALUE"""),"")</f>
        <v/>
      </c>
      <c r="S250" s="2" t="str">
        <f ca="1">IFERROR(__xludf.DUMMYFUNCTION("""COMPUTED_VALUE"""),"")</f>
        <v/>
      </c>
      <c r="T250" s="2" t="str">
        <f ca="1">IFERROR(__xludf.DUMMYFUNCTION("""COMPUTED_VALUE"""),"")</f>
        <v/>
      </c>
      <c r="U250" s="2" t="str">
        <f ca="1">IFERROR(__xludf.DUMMYFUNCTION("""COMPUTED_VALUE"""),"")</f>
        <v/>
      </c>
      <c r="V250" s="2" t="str">
        <f ca="1">IFERROR(__xludf.DUMMYFUNCTION("""COMPUTED_VALUE"""),"")</f>
        <v/>
      </c>
      <c r="W250" s="2" t="str">
        <f ca="1">IFERROR(__xludf.DUMMYFUNCTION("""COMPUTED_VALUE"""),"")</f>
        <v/>
      </c>
      <c r="X250" s="2" t="str">
        <f ca="1">IFERROR(__xludf.DUMMYFUNCTION("""COMPUTED_VALUE"""),"")</f>
        <v/>
      </c>
      <c r="Y250" s="2" t="str">
        <f ca="1">IFERROR(__xludf.DUMMYFUNCTION("""COMPUTED_VALUE"""),"")</f>
        <v/>
      </c>
      <c r="Z250" s="2" t="str">
        <f ca="1">IFERROR(__xludf.DUMMYFUNCTION("""COMPUTED_VALUE"""),"")</f>
        <v/>
      </c>
      <c r="AA250" s="2" t="str">
        <f ca="1">IFERROR(__xludf.DUMMYFUNCTION("""COMPUTED_VALUE"""),"")</f>
        <v/>
      </c>
      <c r="AB250" s="2" t="str">
        <f ca="1">IFERROR(__xludf.DUMMYFUNCTION("""COMPUTED_VALUE"""),"")</f>
        <v/>
      </c>
      <c r="AC250" s="2" t="str">
        <f ca="1">IFERROR(__xludf.DUMMYFUNCTION("""COMPUTED_VALUE"""),"")</f>
        <v/>
      </c>
      <c r="AD250" s="2" t="str">
        <f ca="1">IFERROR(__xludf.DUMMYFUNCTION("""COMPUTED_VALUE"""),"")</f>
        <v/>
      </c>
      <c r="AE250" s="2" t="str">
        <f ca="1">IFERROR(__xludf.DUMMYFUNCTION("""COMPUTED_VALUE"""),"")</f>
        <v/>
      </c>
      <c r="AF250" s="2" t="str">
        <f ca="1">IFERROR(__xludf.DUMMYFUNCTION("""COMPUTED_VALUE"""),"")</f>
        <v/>
      </c>
      <c r="AG250" s="2" t="str">
        <f ca="1">IFERROR(__xludf.DUMMYFUNCTION("""COMPUTED_VALUE"""),"")</f>
        <v/>
      </c>
      <c r="AH250" s="2" t="str">
        <f ca="1">IFERROR(__xludf.DUMMYFUNCTION("""COMPUTED_VALUE"""),"")</f>
        <v/>
      </c>
      <c r="AI250" s="2" t="str">
        <f ca="1">IFERROR(__xludf.DUMMYFUNCTION("""COMPUTED_VALUE"""),"")</f>
        <v/>
      </c>
      <c r="AJ250" s="2" t="str">
        <f ca="1">IFERROR(__xludf.DUMMYFUNCTION("""COMPUTED_VALUE"""),"")</f>
        <v/>
      </c>
      <c r="AK250" s="2" t="str">
        <f ca="1">IFERROR(__xludf.DUMMYFUNCTION("""COMPUTED_VALUE"""),"")</f>
        <v/>
      </c>
      <c r="AL250" s="2" t="str">
        <f ca="1">IFERROR(__xludf.DUMMYFUNCTION("""COMPUTED_VALUE"""),"")</f>
        <v/>
      </c>
      <c r="AM250" s="2" t="str">
        <f ca="1">IFERROR(__xludf.DUMMYFUNCTION("""COMPUTED_VALUE"""),"")</f>
        <v/>
      </c>
      <c r="AN250" s="2" t="str">
        <f ca="1">IFERROR(__xludf.DUMMYFUNCTION("""COMPUTED_VALUE"""),"")</f>
        <v/>
      </c>
      <c r="AO250" s="2" t="str">
        <f ca="1">IFERROR(__xludf.DUMMYFUNCTION("""COMPUTED_VALUE"""),"")</f>
        <v/>
      </c>
      <c r="AP250" s="2" t="str">
        <f ca="1">IFERROR(__xludf.DUMMYFUNCTION("""COMPUTED_VALUE"""),"")</f>
        <v/>
      </c>
      <c r="AQ250" s="2" t="str">
        <f ca="1">IFERROR(__xludf.DUMMYFUNCTION("""COMPUTED_VALUE"""),"")</f>
        <v/>
      </c>
      <c r="AR250" s="2" t="str">
        <f ca="1">IFERROR(__xludf.DUMMYFUNCTION("""COMPUTED_VALUE"""),"")</f>
        <v/>
      </c>
      <c r="AS250" s="2" t="str">
        <f ca="1">IFERROR(__xludf.DUMMYFUNCTION("""COMPUTED_VALUE"""),"")</f>
        <v/>
      </c>
      <c r="AT250" s="2" t="str">
        <f ca="1">IFERROR(__xludf.DUMMYFUNCTION("""COMPUTED_VALUE"""),"")</f>
        <v/>
      </c>
      <c r="AU250" s="2" t="str">
        <f ca="1">IFERROR(__xludf.DUMMYFUNCTION("""COMPUTED_VALUE"""),"")</f>
        <v/>
      </c>
      <c r="AV250" s="2" t="str">
        <f ca="1">IFERROR(__xludf.DUMMYFUNCTION("""COMPUTED_VALUE"""),"")</f>
        <v/>
      </c>
      <c r="AW250" s="2" t="str">
        <f ca="1">IFERROR(__xludf.DUMMYFUNCTION("""COMPUTED_VALUE"""),"")</f>
        <v/>
      </c>
      <c r="AX250" s="2" t="str">
        <f ca="1">IFERROR(__xludf.DUMMYFUNCTION("""COMPUTED_VALUE"""),"")</f>
        <v/>
      </c>
      <c r="AY250" s="2" t="str">
        <f ca="1">IFERROR(__xludf.DUMMYFUNCTION("""COMPUTED_VALUE"""),"")</f>
        <v/>
      </c>
      <c r="AZ250" s="2" t="str">
        <f ca="1">IFERROR(__xludf.DUMMYFUNCTION("""COMPUTED_VALUE"""),"")</f>
        <v/>
      </c>
      <c r="BA250" s="2" t="str">
        <f ca="1">IFERROR(__xludf.DUMMYFUNCTION("""COMPUTED_VALUE"""),"")</f>
        <v/>
      </c>
      <c r="BB250" s="2" t="str">
        <f ca="1">IFERROR(__xludf.DUMMYFUNCTION("""COMPUTED_VALUE"""),"")</f>
        <v/>
      </c>
      <c r="BC250" s="2" t="str">
        <f ca="1">IFERROR(__xludf.DUMMYFUNCTION("""COMPUTED_VALUE"""),"")</f>
        <v/>
      </c>
      <c r="BD250" s="2" t="str">
        <f ca="1">IFERROR(__xludf.DUMMYFUNCTION("""COMPUTED_VALUE"""),"")</f>
        <v/>
      </c>
      <c r="BE250" s="2" t="str">
        <f ca="1">IFERROR(__xludf.DUMMYFUNCTION("""COMPUTED_VALUE"""),"")</f>
        <v/>
      </c>
      <c r="BF250" t="str">
        <f ca="1">IFERROR(__xludf.DUMMYFUNCTION("""COMPUTED_VALUE"""),"")</f>
        <v/>
      </c>
      <c r="BG250" t="str">
        <f ca="1">IFERROR(__xludf.DUMMYFUNCTION("""COMPUTED_VALUE"""),"")</f>
        <v/>
      </c>
      <c r="BH250" s="2">
        <f ca="1">IFERROR(__xludf.DUMMYFUNCTION("""COMPUTED_VALUE"""),-37.3233261)</f>
        <v>-37.323326100000003</v>
      </c>
      <c r="BI250" s="13">
        <f ca="1">IFERROR(__xludf.DUMMYFUNCTION("""COMPUTED_VALUE"""),175.4529419)</f>
        <v>175.45294190000001</v>
      </c>
      <c r="BJ250" s="9">
        <f ca="1">IFERROR(__xludf.DUMMYFUNCTION("""COMPUTED_VALUE"""),43444)</f>
        <v>43444</v>
      </c>
      <c r="BK250" s="4">
        <f ca="1">IFERROR(__xludf.DUMMYFUNCTION("""COMPUTED_VALUE"""),0.457777777777664)</f>
        <v>0.45777777777766399</v>
      </c>
    </row>
    <row r="251" spans="1:63" ht="12.5" x14ac:dyDescent="0.25">
      <c r="A251" s="7" t="str">
        <f ca="1">IFERROR(__xludf.DUMMYFUNCTION("""COMPUTED_VALUE"""),"")</f>
        <v/>
      </c>
      <c r="B251" s="8" t="str">
        <f ca="1">IFERROR(__xludf.DUMMYFUNCTION("""COMPUTED_VALUE"""),"Waikato")</f>
        <v>Waikato</v>
      </c>
      <c r="C251" s="2">
        <f ca="1">IFERROR(__xludf.DUMMYFUNCTION("""COMPUTED_VALUE"""),23)</f>
        <v>23</v>
      </c>
      <c r="D251" s="9" t="str">
        <f ca="1">IFERROR(__xludf.DUMMYFUNCTION("""COMPUTED_VALUE"""),"")</f>
        <v/>
      </c>
      <c r="E251" s="4" t="str">
        <f ca="1">IFERROR(__xludf.DUMMYFUNCTION("""COMPUTED_VALUE"""),"")</f>
        <v/>
      </c>
      <c r="F251" s="2" t="str">
        <f ca="1">IFERROR(__xludf.DUMMYFUNCTION("""COMPUTED_VALUE"""),"")</f>
        <v/>
      </c>
      <c r="G251" s="2" t="str">
        <f ca="1">IFERROR(__xludf.DUMMYFUNCTION("""COMPUTED_VALUE"""),"GPS: I converted data downloaded from ARGOS using Pinpoint software")</f>
        <v>GPS: I converted data downloaded from ARGOS using Pinpoint software</v>
      </c>
      <c r="H251" s="2" t="str">
        <f ca="1">IFERROR(__xludf.DUMMYFUNCTION("""COMPUTED_VALUE"""),"3D")</f>
        <v>3D</v>
      </c>
      <c r="I251" s="2" t="str">
        <f ca="1">IFERROR(__xludf.DUMMYFUNCTION("""COMPUTED_VALUE"""),"")</f>
        <v/>
      </c>
      <c r="J251" s="2" t="str">
        <f ca="1">IFERROR(__xludf.DUMMYFUNCTION("""COMPUTED_VALUE"""),"")</f>
        <v/>
      </c>
      <c r="K251" s="2" t="str">
        <f ca="1">IFERROR(__xludf.DUMMYFUNCTION("""COMPUTED_VALUE"""),"")</f>
        <v/>
      </c>
      <c r="L251" s="2" t="str">
        <f ca="1">IFERROR(__xludf.DUMMYFUNCTION("""COMPUTED_VALUE"""),"")</f>
        <v/>
      </c>
      <c r="M251" s="5" t="str">
        <f ca="1">IFERROR(__xludf.DUMMYFUNCTION("""COMPUTED_VALUE"""),"")</f>
        <v/>
      </c>
      <c r="N251" s="5" t="str">
        <f ca="1">IFERROR(__xludf.DUMMYFUNCTION("""COMPUTED_VALUE"""),"")</f>
        <v/>
      </c>
      <c r="O251" s="2" t="str">
        <f ca="1">IFERROR(__xludf.DUMMYFUNCTION("""COMPUTED_VALUE"""),"")</f>
        <v/>
      </c>
      <c r="P251" s="2" t="str">
        <f ca="1">IFERROR(__xludf.DUMMYFUNCTION("""COMPUTED_VALUE"""),"")</f>
        <v/>
      </c>
      <c r="Q251" s="2" t="str">
        <f ca="1">IFERROR(__xludf.DUMMYFUNCTION("""COMPUTED_VALUE"""),"")</f>
        <v/>
      </c>
      <c r="R251" s="2" t="str">
        <f ca="1">IFERROR(__xludf.DUMMYFUNCTION("""COMPUTED_VALUE"""),"")</f>
        <v/>
      </c>
      <c r="S251" s="2" t="str">
        <f ca="1">IFERROR(__xludf.DUMMYFUNCTION("""COMPUTED_VALUE"""),"")</f>
        <v/>
      </c>
      <c r="T251" s="2" t="str">
        <f ca="1">IFERROR(__xludf.DUMMYFUNCTION("""COMPUTED_VALUE"""),"")</f>
        <v/>
      </c>
      <c r="U251" s="2" t="str">
        <f ca="1">IFERROR(__xludf.DUMMYFUNCTION("""COMPUTED_VALUE"""),"")</f>
        <v/>
      </c>
      <c r="V251" s="2" t="str">
        <f ca="1">IFERROR(__xludf.DUMMYFUNCTION("""COMPUTED_VALUE"""),"")</f>
        <v/>
      </c>
      <c r="W251" s="2" t="str">
        <f ca="1">IFERROR(__xludf.DUMMYFUNCTION("""COMPUTED_VALUE"""),"")</f>
        <v/>
      </c>
      <c r="X251" s="2" t="str">
        <f ca="1">IFERROR(__xludf.DUMMYFUNCTION("""COMPUTED_VALUE"""),"")</f>
        <v/>
      </c>
      <c r="Y251" s="2" t="str">
        <f ca="1">IFERROR(__xludf.DUMMYFUNCTION("""COMPUTED_VALUE"""),"")</f>
        <v/>
      </c>
      <c r="Z251" s="2" t="str">
        <f ca="1">IFERROR(__xludf.DUMMYFUNCTION("""COMPUTED_VALUE"""),"")</f>
        <v/>
      </c>
      <c r="AA251" s="2" t="str">
        <f ca="1">IFERROR(__xludf.DUMMYFUNCTION("""COMPUTED_VALUE"""),"")</f>
        <v/>
      </c>
      <c r="AB251" s="2" t="str">
        <f ca="1">IFERROR(__xludf.DUMMYFUNCTION("""COMPUTED_VALUE"""),"")</f>
        <v/>
      </c>
      <c r="AC251" s="2" t="str">
        <f ca="1">IFERROR(__xludf.DUMMYFUNCTION("""COMPUTED_VALUE"""),"")</f>
        <v/>
      </c>
      <c r="AD251" s="2" t="str">
        <f ca="1">IFERROR(__xludf.DUMMYFUNCTION("""COMPUTED_VALUE"""),"")</f>
        <v/>
      </c>
      <c r="AE251" s="2" t="str">
        <f ca="1">IFERROR(__xludf.DUMMYFUNCTION("""COMPUTED_VALUE"""),"")</f>
        <v/>
      </c>
      <c r="AF251" s="2" t="str">
        <f ca="1">IFERROR(__xludf.DUMMYFUNCTION("""COMPUTED_VALUE"""),"")</f>
        <v/>
      </c>
      <c r="AG251" s="2" t="str">
        <f ca="1">IFERROR(__xludf.DUMMYFUNCTION("""COMPUTED_VALUE"""),"")</f>
        <v/>
      </c>
      <c r="AH251" s="2" t="str">
        <f ca="1">IFERROR(__xludf.DUMMYFUNCTION("""COMPUTED_VALUE"""),"")</f>
        <v/>
      </c>
      <c r="AI251" s="2" t="str">
        <f ca="1">IFERROR(__xludf.DUMMYFUNCTION("""COMPUTED_VALUE"""),"")</f>
        <v/>
      </c>
      <c r="AJ251" s="2" t="str">
        <f ca="1">IFERROR(__xludf.DUMMYFUNCTION("""COMPUTED_VALUE"""),"")</f>
        <v/>
      </c>
      <c r="AK251" s="2" t="str">
        <f ca="1">IFERROR(__xludf.DUMMYFUNCTION("""COMPUTED_VALUE"""),"")</f>
        <v/>
      </c>
      <c r="AL251" s="2" t="str">
        <f ca="1">IFERROR(__xludf.DUMMYFUNCTION("""COMPUTED_VALUE"""),"")</f>
        <v/>
      </c>
      <c r="AM251" s="2" t="str">
        <f ca="1">IFERROR(__xludf.DUMMYFUNCTION("""COMPUTED_VALUE"""),"")</f>
        <v/>
      </c>
      <c r="AN251" s="2" t="str">
        <f ca="1">IFERROR(__xludf.DUMMYFUNCTION("""COMPUTED_VALUE"""),"")</f>
        <v/>
      </c>
      <c r="AO251" s="2" t="str">
        <f ca="1">IFERROR(__xludf.DUMMYFUNCTION("""COMPUTED_VALUE"""),"")</f>
        <v/>
      </c>
      <c r="AP251" s="2" t="str">
        <f ca="1">IFERROR(__xludf.DUMMYFUNCTION("""COMPUTED_VALUE"""),"")</f>
        <v/>
      </c>
      <c r="AQ251" s="2" t="str">
        <f ca="1">IFERROR(__xludf.DUMMYFUNCTION("""COMPUTED_VALUE"""),"")</f>
        <v/>
      </c>
      <c r="AR251" s="2" t="str">
        <f ca="1">IFERROR(__xludf.DUMMYFUNCTION("""COMPUTED_VALUE"""),"")</f>
        <v/>
      </c>
      <c r="AS251" s="2" t="str">
        <f ca="1">IFERROR(__xludf.DUMMYFUNCTION("""COMPUTED_VALUE"""),"")</f>
        <v/>
      </c>
      <c r="AT251" s="2" t="str">
        <f ca="1">IFERROR(__xludf.DUMMYFUNCTION("""COMPUTED_VALUE"""),"")</f>
        <v/>
      </c>
      <c r="AU251" s="2" t="str">
        <f ca="1">IFERROR(__xludf.DUMMYFUNCTION("""COMPUTED_VALUE"""),"")</f>
        <v/>
      </c>
      <c r="AV251" s="2" t="str">
        <f ca="1">IFERROR(__xludf.DUMMYFUNCTION("""COMPUTED_VALUE"""),"")</f>
        <v/>
      </c>
      <c r="AW251" s="2" t="str">
        <f ca="1">IFERROR(__xludf.DUMMYFUNCTION("""COMPUTED_VALUE"""),"")</f>
        <v/>
      </c>
      <c r="AX251" s="2" t="str">
        <f ca="1">IFERROR(__xludf.DUMMYFUNCTION("""COMPUTED_VALUE"""),"")</f>
        <v/>
      </c>
      <c r="AY251" s="2" t="str">
        <f ca="1">IFERROR(__xludf.DUMMYFUNCTION("""COMPUTED_VALUE"""),"")</f>
        <v/>
      </c>
      <c r="AZ251" s="2" t="str">
        <f ca="1">IFERROR(__xludf.DUMMYFUNCTION("""COMPUTED_VALUE"""),"")</f>
        <v/>
      </c>
      <c r="BA251" s="2" t="str">
        <f ca="1">IFERROR(__xludf.DUMMYFUNCTION("""COMPUTED_VALUE"""),"")</f>
        <v/>
      </c>
      <c r="BB251" s="2" t="str">
        <f ca="1">IFERROR(__xludf.DUMMYFUNCTION("""COMPUTED_VALUE"""),"")</f>
        <v/>
      </c>
      <c r="BC251" s="2" t="str">
        <f ca="1">IFERROR(__xludf.DUMMYFUNCTION("""COMPUTED_VALUE"""),"")</f>
        <v/>
      </c>
      <c r="BD251" s="2" t="str">
        <f ca="1">IFERROR(__xludf.DUMMYFUNCTION("""COMPUTED_VALUE"""),"")</f>
        <v/>
      </c>
      <c r="BE251" s="2" t="str">
        <f ca="1">IFERROR(__xludf.DUMMYFUNCTION("""COMPUTED_VALUE"""),"")</f>
        <v/>
      </c>
      <c r="BF251" t="str">
        <f ca="1">IFERROR(__xludf.DUMMYFUNCTION("""COMPUTED_VALUE"""),"")</f>
        <v/>
      </c>
      <c r="BG251" t="str">
        <f ca="1">IFERROR(__xludf.DUMMYFUNCTION("""COMPUTED_VALUE"""),"")</f>
        <v/>
      </c>
      <c r="BH251" s="2">
        <f ca="1">IFERROR(__xludf.DUMMYFUNCTION("""COMPUTED_VALUE"""),-37.3138046)</f>
        <v>-37.313804599999997</v>
      </c>
      <c r="BI251" s="12">
        <f ca="1">IFERROR(__xludf.DUMMYFUNCTION("""COMPUTED_VALUE"""),175.4407501)</f>
        <v>175.4407501</v>
      </c>
      <c r="BJ251" s="9">
        <f ca="1">IFERROR(__xludf.DUMMYFUNCTION("""COMPUTED_VALUE"""),43444)</f>
        <v>43444</v>
      </c>
      <c r="BK251" s="4">
        <f ca="1">IFERROR(__xludf.DUMMYFUNCTION("""COMPUTED_VALUE"""),0.958518518516939)</f>
        <v>0.95851851851693903</v>
      </c>
    </row>
    <row r="252" spans="1:63" ht="12.5" x14ac:dyDescent="0.25">
      <c r="A252" s="7" t="str">
        <f ca="1">IFERROR(__xludf.DUMMYFUNCTION("""COMPUTED_VALUE"""),"")</f>
        <v/>
      </c>
      <c r="B252" s="8" t="str">
        <f ca="1">IFERROR(__xludf.DUMMYFUNCTION("""COMPUTED_VALUE"""),"Waikato")</f>
        <v>Waikato</v>
      </c>
      <c r="C252" s="2">
        <f ca="1">IFERROR(__xludf.DUMMYFUNCTION("""COMPUTED_VALUE"""),23)</f>
        <v>23</v>
      </c>
      <c r="D252" s="9" t="str">
        <f ca="1">IFERROR(__xludf.DUMMYFUNCTION("""COMPUTED_VALUE"""),"")</f>
        <v/>
      </c>
      <c r="E252" s="4" t="str">
        <f ca="1">IFERROR(__xludf.DUMMYFUNCTION("""COMPUTED_VALUE"""),"")</f>
        <v/>
      </c>
      <c r="F252" s="2" t="str">
        <f ca="1">IFERROR(__xludf.DUMMYFUNCTION("""COMPUTED_VALUE"""),"")</f>
        <v/>
      </c>
      <c r="G252" s="2" t="str">
        <f ca="1">IFERROR(__xludf.DUMMYFUNCTION("""COMPUTED_VALUE"""),"GPS: I converted data downloaded from ARGOS using Pinpoint software")</f>
        <v>GPS: I converted data downloaded from ARGOS using Pinpoint software</v>
      </c>
      <c r="H252" s="2" t="str">
        <f ca="1">IFERROR(__xludf.DUMMYFUNCTION("""COMPUTED_VALUE"""),"3D")</f>
        <v>3D</v>
      </c>
      <c r="I252" s="2" t="str">
        <f ca="1">IFERROR(__xludf.DUMMYFUNCTION("""COMPUTED_VALUE"""),"")</f>
        <v/>
      </c>
      <c r="J252" s="2" t="str">
        <f ca="1">IFERROR(__xludf.DUMMYFUNCTION("""COMPUTED_VALUE"""),"")</f>
        <v/>
      </c>
      <c r="K252" s="2" t="str">
        <f ca="1">IFERROR(__xludf.DUMMYFUNCTION("""COMPUTED_VALUE"""),"")</f>
        <v/>
      </c>
      <c r="L252" s="2" t="str">
        <f ca="1">IFERROR(__xludf.DUMMYFUNCTION("""COMPUTED_VALUE"""),"")</f>
        <v/>
      </c>
      <c r="M252" s="5" t="str">
        <f ca="1">IFERROR(__xludf.DUMMYFUNCTION("""COMPUTED_VALUE"""),"")</f>
        <v/>
      </c>
      <c r="N252" s="5" t="str">
        <f ca="1">IFERROR(__xludf.DUMMYFUNCTION("""COMPUTED_VALUE"""),"")</f>
        <v/>
      </c>
      <c r="O252" s="2" t="str">
        <f ca="1">IFERROR(__xludf.DUMMYFUNCTION("""COMPUTED_VALUE"""),"")</f>
        <v/>
      </c>
      <c r="P252" s="2" t="str">
        <f ca="1">IFERROR(__xludf.DUMMYFUNCTION("""COMPUTED_VALUE"""),"")</f>
        <v/>
      </c>
      <c r="Q252" s="2" t="str">
        <f ca="1">IFERROR(__xludf.DUMMYFUNCTION("""COMPUTED_VALUE"""),"")</f>
        <v/>
      </c>
      <c r="R252" s="2" t="str">
        <f ca="1">IFERROR(__xludf.DUMMYFUNCTION("""COMPUTED_VALUE"""),"")</f>
        <v/>
      </c>
      <c r="S252" s="2" t="str">
        <f ca="1">IFERROR(__xludf.DUMMYFUNCTION("""COMPUTED_VALUE"""),"")</f>
        <v/>
      </c>
      <c r="T252" s="2" t="str">
        <f ca="1">IFERROR(__xludf.DUMMYFUNCTION("""COMPUTED_VALUE"""),"")</f>
        <v/>
      </c>
      <c r="U252" s="2" t="str">
        <f ca="1">IFERROR(__xludf.DUMMYFUNCTION("""COMPUTED_VALUE"""),"")</f>
        <v/>
      </c>
      <c r="V252" s="2" t="str">
        <f ca="1">IFERROR(__xludf.DUMMYFUNCTION("""COMPUTED_VALUE"""),"")</f>
        <v/>
      </c>
      <c r="W252" s="2" t="str">
        <f ca="1">IFERROR(__xludf.DUMMYFUNCTION("""COMPUTED_VALUE"""),"")</f>
        <v/>
      </c>
      <c r="X252" s="2" t="str">
        <f ca="1">IFERROR(__xludf.DUMMYFUNCTION("""COMPUTED_VALUE"""),"")</f>
        <v/>
      </c>
      <c r="Y252" s="2" t="str">
        <f ca="1">IFERROR(__xludf.DUMMYFUNCTION("""COMPUTED_VALUE"""),"")</f>
        <v/>
      </c>
      <c r="Z252" s="2" t="str">
        <f ca="1">IFERROR(__xludf.DUMMYFUNCTION("""COMPUTED_VALUE"""),"")</f>
        <v/>
      </c>
      <c r="AA252" s="2" t="str">
        <f ca="1">IFERROR(__xludf.DUMMYFUNCTION("""COMPUTED_VALUE"""),"")</f>
        <v/>
      </c>
      <c r="AB252" s="2" t="str">
        <f ca="1">IFERROR(__xludf.DUMMYFUNCTION("""COMPUTED_VALUE"""),"")</f>
        <v/>
      </c>
      <c r="AC252" s="2" t="str">
        <f ca="1">IFERROR(__xludf.DUMMYFUNCTION("""COMPUTED_VALUE"""),"")</f>
        <v/>
      </c>
      <c r="AD252" s="2" t="str">
        <f ca="1">IFERROR(__xludf.DUMMYFUNCTION("""COMPUTED_VALUE"""),"")</f>
        <v/>
      </c>
      <c r="AE252" s="2" t="str">
        <f ca="1">IFERROR(__xludf.DUMMYFUNCTION("""COMPUTED_VALUE"""),"")</f>
        <v/>
      </c>
      <c r="AF252" s="2" t="str">
        <f ca="1">IFERROR(__xludf.DUMMYFUNCTION("""COMPUTED_VALUE"""),"")</f>
        <v/>
      </c>
      <c r="AG252" s="2" t="str">
        <f ca="1">IFERROR(__xludf.DUMMYFUNCTION("""COMPUTED_VALUE"""),"")</f>
        <v/>
      </c>
      <c r="AH252" s="2" t="str">
        <f ca="1">IFERROR(__xludf.DUMMYFUNCTION("""COMPUTED_VALUE"""),"")</f>
        <v/>
      </c>
      <c r="AI252" s="2" t="str">
        <f ca="1">IFERROR(__xludf.DUMMYFUNCTION("""COMPUTED_VALUE"""),"")</f>
        <v/>
      </c>
      <c r="AJ252" s="2" t="str">
        <f ca="1">IFERROR(__xludf.DUMMYFUNCTION("""COMPUTED_VALUE"""),"")</f>
        <v/>
      </c>
      <c r="AK252" s="2" t="str">
        <f ca="1">IFERROR(__xludf.DUMMYFUNCTION("""COMPUTED_VALUE"""),"")</f>
        <v/>
      </c>
      <c r="AL252" s="2" t="str">
        <f ca="1">IFERROR(__xludf.DUMMYFUNCTION("""COMPUTED_VALUE"""),"")</f>
        <v/>
      </c>
      <c r="AM252" s="2" t="str">
        <f ca="1">IFERROR(__xludf.DUMMYFUNCTION("""COMPUTED_VALUE"""),"")</f>
        <v/>
      </c>
      <c r="AN252" s="2" t="str">
        <f ca="1">IFERROR(__xludf.DUMMYFUNCTION("""COMPUTED_VALUE"""),"")</f>
        <v/>
      </c>
      <c r="AO252" s="2" t="str">
        <f ca="1">IFERROR(__xludf.DUMMYFUNCTION("""COMPUTED_VALUE"""),"")</f>
        <v/>
      </c>
      <c r="AP252" s="2" t="str">
        <f ca="1">IFERROR(__xludf.DUMMYFUNCTION("""COMPUTED_VALUE"""),"")</f>
        <v/>
      </c>
      <c r="AQ252" s="2" t="str">
        <f ca="1">IFERROR(__xludf.DUMMYFUNCTION("""COMPUTED_VALUE"""),"")</f>
        <v/>
      </c>
      <c r="AR252" s="2" t="str">
        <f ca="1">IFERROR(__xludf.DUMMYFUNCTION("""COMPUTED_VALUE"""),"")</f>
        <v/>
      </c>
      <c r="AS252" s="2" t="str">
        <f ca="1">IFERROR(__xludf.DUMMYFUNCTION("""COMPUTED_VALUE"""),"")</f>
        <v/>
      </c>
      <c r="AT252" s="2" t="str">
        <f ca="1">IFERROR(__xludf.DUMMYFUNCTION("""COMPUTED_VALUE"""),"")</f>
        <v/>
      </c>
      <c r="AU252" s="2" t="str">
        <f ca="1">IFERROR(__xludf.DUMMYFUNCTION("""COMPUTED_VALUE"""),"")</f>
        <v/>
      </c>
      <c r="AV252" s="2" t="str">
        <f ca="1">IFERROR(__xludf.DUMMYFUNCTION("""COMPUTED_VALUE"""),"")</f>
        <v/>
      </c>
      <c r="AW252" s="2" t="str">
        <f ca="1">IFERROR(__xludf.DUMMYFUNCTION("""COMPUTED_VALUE"""),"")</f>
        <v/>
      </c>
      <c r="AX252" s="2" t="str">
        <f ca="1">IFERROR(__xludf.DUMMYFUNCTION("""COMPUTED_VALUE"""),"")</f>
        <v/>
      </c>
      <c r="AY252" s="2" t="str">
        <f ca="1">IFERROR(__xludf.DUMMYFUNCTION("""COMPUTED_VALUE"""),"")</f>
        <v/>
      </c>
      <c r="AZ252" s="2" t="str">
        <f ca="1">IFERROR(__xludf.DUMMYFUNCTION("""COMPUTED_VALUE"""),"")</f>
        <v/>
      </c>
      <c r="BA252" s="2" t="str">
        <f ca="1">IFERROR(__xludf.DUMMYFUNCTION("""COMPUTED_VALUE"""),"")</f>
        <v/>
      </c>
      <c r="BB252" s="2" t="str">
        <f ca="1">IFERROR(__xludf.DUMMYFUNCTION("""COMPUTED_VALUE"""),"")</f>
        <v/>
      </c>
      <c r="BC252" s="2" t="str">
        <f ca="1">IFERROR(__xludf.DUMMYFUNCTION("""COMPUTED_VALUE"""),"")</f>
        <v/>
      </c>
      <c r="BD252" s="2" t="str">
        <f ca="1">IFERROR(__xludf.DUMMYFUNCTION("""COMPUTED_VALUE"""),"")</f>
        <v/>
      </c>
      <c r="BE252" s="2" t="str">
        <f ca="1">IFERROR(__xludf.DUMMYFUNCTION("""COMPUTED_VALUE"""),"")</f>
        <v/>
      </c>
      <c r="BF252" t="str">
        <f ca="1">IFERROR(__xludf.DUMMYFUNCTION("""COMPUTED_VALUE"""),"")</f>
        <v/>
      </c>
      <c r="BG252" t="str">
        <f ca="1">IFERROR(__xludf.DUMMYFUNCTION("""COMPUTED_VALUE"""),"")</f>
        <v/>
      </c>
      <c r="BH252" s="2">
        <f ca="1">IFERROR(__xludf.DUMMYFUNCTION("""COMPUTED_VALUE"""),-37.3245583)</f>
        <v>-37.3245583</v>
      </c>
      <c r="BI252" s="13">
        <f ca="1">IFERROR(__xludf.DUMMYFUNCTION("""COMPUTED_VALUE"""),175.4515839)</f>
        <v>175.4515839</v>
      </c>
      <c r="BJ252" s="9">
        <f ca="1">IFERROR(__xludf.DUMMYFUNCTION("""COMPUTED_VALUE"""),43446)</f>
        <v>43446</v>
      </c>
      <c r="BK252" s="4">
        <f ca="1">IFERROR(__xludf.DUMMYFUNCTION("""COMPUTED_VALUE"""),0.457777777777664)</f>
        <v>0.45777777777766399</v>
      </c>
    </row>
    <row r="253" spans="1:63" ht="12.5" x14ac:dyDescent="0.25">
      <c r="A253" s="7" t="str">
        <f ca="1">IFERROR(__xludf.DUMMYFUNCTION("""COMPUTED_VALUE"""),"")</f>
        <v/>
      </c>
      <c r="B253" s="8" t="str">
        <f ca="1">IFERROR(__xludf.DUMMYFUNCTION("""COMPUTED_VALUE"""),"Waikato")</f>
        <v>Waikato</v>
      </c>
      <c r="C253" s="2">
        <f ca="1">IFERROR(__xludf.DUMMYFUNCTION("""COMPUTED_VALUE"""),23)</f>
        <v>23</v>
      </c>
      <c r="D253" s="9" t="str">
        <f ca="1">IFERROR(__xludf.DUMMYFUNCTION("""COMPUTED_VALUE"""),"")</f>
        <v/>
      </c>
      <c r="E253" s="4" t="str">
        <f ca="1">IFERROR(__xludf.DUMMYFUNCTION("""COMPUTED_VALUE"""),"")</f>
        <v/>
      </c>
      <c r="F253" s="2" t="str">
        <f ca="1">IFERROR(__xludf.DUMMYFUNCTION("""COMPUTED_VALUE"""),"")</f>
        <v/>
      </c>
      <c r="G253" s="2" t="str">
        <f ca="1">IFERROR(__xludf.DUMMYFUNCTION("""COMPUTED_VALUE"""),"GPS: I converted data downloaded from ARGOS using Pinpoint software")</f>
        <v>GPS: I converted data downloaded from ARGOS using Pinpoint software</v>
      </c>
      <c r="H253" s="2" t="str">
        <f ca="1">IFERROR(__xludf.DUMMYFUNCTION("""COMPUTED_VALUE"""),"3D")</f>
        <v>3D</v>
      </c>
      <c r="I253" s="2" t="str">
        <f ca="1">IFERROR(__xludf.DUMMYFUNCTION("""COMPUTED_VALUE"""),"")</f>
        <v/>
      </c>
      <c r="J253" s="2" t="str">
        <f ca="1">IFERROR(__xludf.DUMMYFUNCTION("""COMPUTED_VALUE"""),"")</f>
        <v/>
      </c>
      <c r="K253" s="2" t="str">
        <f ca="1">IFERROR(__xludf.DUMMYFUNCTION("""COMPUTED_VALUE"""),"")</f>
        <v/>
      </c>
      <c r="L253" s="2" t="str">
        <f ca="1">IFERROR(__xludf.DUMMYFUNCTION("""COMPUTED_VALUE"""),"")</f>
        <v/>
      </c>
      <c r="M253" s="5" t="str">
        <f ca="1">IFERROR(__xludf.DUMMYFUNCTION("""COMPUTED_VALUE"""),"")</f>
        <v/>
      </c>
      <c r="N253" s="5" t="str">
        <f ca="1">IFERROR(__xludf.DUMMYFUNCTION("""COMPUTED_VALUE"""),"")</f>
        <v/>
      </c>
      <c r="O253" s="2" t="str">
        <f ca="1">IFERROR(__xludf.DUMMYFUNCTION("""COMPUTED_VALUE"""),"")</f>
        <v/>
      </c>
      <c r="P253" s="2" t="str">
        <f ca="1">IFERROR(__xludf.DUMMYFUNCTION("""COMPUTED_VALUE"""),"")</f>
        <v/>
      </c>
      <c r="Q253" s="2" t="str">
        <f ca="1">IFERROR(__xludf.DUMMYFUNCTION("""COMPUTED_VALUE"""),"")</f>
        <v/>
      </c>
      <c r="R253" s="2" t="str">
        <f ca="1">IFERROR(__xludf.DUMMYFUNCTION("""COMPUTED_VALUE"""),"")</f>
        <v/>
      </c>
      <c r="S253" s="2" t="str">
        <f ca="1">IFERROR(__xludf.DUMMYFUNCTION("""COMPUTED_VALUE"""),"")</f>
        <v/>
      </c>
      <c r="T253" s="2" t="str">
        <f ca="1">IFERROR(__xludf.DUMMYFUNCTION("""COMPUTED_VALUE"""),"")</f>
        <v/>
      </c>
      <c r="U253" s="2" t="str">
        <f ca="1">IFERROR(__xludf.DUMMYFUNCTION("""COMPUTED_VALUE"""),"")</f>
        <v/>
      </c>
      <c r="V253" s="2" t="str">
        <f ca="1">IFERROR(__xludf.DUMMYFUNCTION("""COMPUTED_VALUE"""),"")</f>
        <v/>
      </c>
      <c r="W253" s="2" t="str">
        <f ca="1">IFERROR(__xludf.DUMMYFUNCTION("""COMPUTED_VALUE"""),"")</f>
        <v/>
      </c>
      <c r="X253" s="2" t="str">
        <f ca="1">IFERROR(__xludf.DUMMYFUNCTION("""COMPUTED_VALUE"""),"")</f>
        <v/>
      </c>
      <c r="Y253" s="2" t="str">
        <f ca="1">IFERROR(__xludf.DUMMYFUNCTION("""COMPUTED_VALUE"""),"")</f>
        <v/>
      </c>
      <c r="Z253" s="2" t="str">
        <f ca="1">IFERROR(__xludf.DUMMYFUNCTION("""COMPUTED_VALUE"""),"")</f>
        <v/>
      </c>
      <c r="AA253" s="2" t="str">
        <f ca="1">IFERROR(__xludf.DUMMYFUNCTION("""COMPUTED_VALUE"""),"")</f>
        <v/>
      </c>
      <c r="AB253" s="2" t="str">
        <f ca="1">IFERROR(__xludf.DUMMYFUNCTION("""COMPUTED_VALUE"""),"")</f>
        <v/>
      </c>
      <c r="AC253" s="2" t="str">
        <f ca="1">IFERROR(__xludf.DUMMYFUNCTION("""COMPUTED_VALUE"""),"")</f>
        <v/>
      </c>
      <c r="AD253" s="2" t="str">
        <f ca="1">IFERROR(__xludf.DUMMYFUNCTION("""COMPUTED_VALUE"""),"")</f>
        <v/>
      </c>
      <c r="AE253" s="2" t="str">
        <f ca="1">IFERROR(__xludf.DUMMYFUNCTION("""COMPUTED_VALUE"""),"")</f>
        <v/>
      </c>
      <c r="AF253" s="2" t="str">
        <f ca="1">IFERROR(__xludf.DUMMYFUNCTION("""COMPUTED_VALUE"""),"")</f>
        <v/>
      </c>
      <c r="AG253" s="2" t="str">
        <f ca="1">IFERROR(__xludf.DUMMYFUNCTION("""COMPUTED_VALUE"""),"")</f>
        <v/>
      </c>
      <c r="AH253" s="2" t="str">
        <f ca="1">IFERROR(__xludf.DUMMYFUNCTION("""COMPUTED_VALUE"""),"")</f>
        <v/>
      </c>
      <c r="AI253" s="2" t="str">
        <f ca="1">IFERROR(__xludf.DUMMYFUNCTION("""COMPUTED_VALUE"""),"")</f>
        <v/>
      </c>
      <c r="AJ253" s="2" t="str">
        <f ca="1">IFERROR(__xludf.DUMMYFUNCTION("""COMPUTED_VALUE"""),"")</f>
        <v/>
      </c>
      <c r="AK253" s="2" t="str">
        <f ca="1">IFERROR(__xludf.DUMMYFUNCTION("""COMPUTED_VALUE"""),"")</f>
        <v/>
      </c>
      <c r="AL253" s="2" t="str">
        <f ca="1">IFERROR(__xludf.DUMMYFUNCTION("""COMPUTED_VALUE"""),"")</f>
        <v/>
      </c>
      <c r="AM253" s="2" t="str">
        <f ca="1">IFERROR(__xludf.DUMMYFUNCTION("""COMPUTED_VALUE"""),"")</f>
        <v/>
      </c>
      <c r="AN253" s="2" t="str">
        <f ca="1">IFERROR(__xludf.DUMMYFUNCTION("""COMPUTED_VALUE"""),"")</f>
        <v/>
      </c>
      <c r="AO253" s="2" t="str">
        <f ca="1">IFERROR(__xludf.DUMMYFUNCTION("""COMPUTED_VALUE"""),"")</f>
        <v/>
      </c>
      <c r="AP253" s="2" t="str">
        <f ca="1">IFERROR(__xludf.DUMMYFUNCTION("""COMPUTED_VALUE"""),"")</f>
        <v/>
      </c>
      <c r="AQ253" s="2" t="str">
        <f ca="1">IFERROR(__xludf.DUMMYFUNCTION("""COMPUTED_VALUE"""),"")</f>
        <v/>
      </c>
      <c r="AR253" s="2" t="str">
        <f ca="1">IFERROR(__xludf.DUMMYFUNCTION("""COMPUTED_VALUE"""),"")</f>
        <v/>
      </c>
      <c r="AS253" s="2" t="str">
        <f ca="1">IFERROR(__xludf.DUMMYFUNCTION("""COMPUTED_VALUE"""),"")</f>
        <v/>
      </c>
      <c r="AT253" s="2" t="str">
        <f ca="1">IFERROR(__xludf.DUMMYFUNCTION("""COMPUTED_VALUE"""),"")</f>
        <v/>
      </c>
      <c r="AU253" s="2" t="str">
        <f ca="1">IFERROR(__xludf.DUMMYFUNCTION("""COMPUTED_VALUE"""),"")</f>
        <v/>
      </c>
      <c r="AV253" s="2" t="str">
        <f ca="1">IFERROR(__xludf.DUMMYFUNCTION("""COMPUTED_VALUE"""),"")</f>
        <v/>
      </c>
      <c r="AW253" s="2" t="str">
        <f ca="1">IFERROR(__xludf.DUMMYFUNCTION("""COMPUTED_VALUE"""),"")</f>
        <v/>
      </c>
      <c r="AX253" s="2" t="str">
        <f ca="1">IFERROR(__xludf.DUMMYFUNCTION("""COMPUTED_VALUE"""),"")</f>
        <v/>
      </c>
      <c r="AY253" s="2" t="str">
        <f ca="1">IFERROR(__xludf.DUMMYFUNCTION("""COMPUTED_VALUE"""),"")</f>
        <v/>
      </c>
      <c r="AZ253" s="2" t="str">
        <f ca="1">IFERROR(__xludf.DUMMYFUNCTION("""COMPUTED_VALUE"""),"")</f>
        <v/>
      </c>
      <c r="BA253" s="2" t="str">
        <f ca="1">IFERROR(__xludf.DUMMYFUNCTION("""COMPUTED_VALUE"""),"")</f>
        <v/>
      </c>
      <c r="BB253" s="2" t="str">
        <f ca="1">IFERROR(__xludf.DUMMYFUNCTION("""COMPUTED_VALUE"""),"")</f>
        <v/>
      </c>
      <c r="BC253" s="2" t="str">
        <f ca="1">IFERROR(__xludf.DUMMYFUNCTION("""COMPUTED_VALUE"""),"")</f>
        <v/>
      </c>
      <c r="BD253" s="2" t="str">
        <f ca="1">IFERROR(__xludf.DUMMYFUNCTION("""COMPUTED_VALUE"""),"")</f>
        <v/>
      </c>
      <c r="BE253" s="2" t="str">
        <f ca="1">IFERROR(__xludf.DUMMYFUNCTION("""COMPUTED_VALUE"""),"")</f>
        <v/>
      </c>
      <c r="BF253" t="str">
        <f ca="1">IFERROR(__xludf.DUMMYFUNCTION("""COMPUTED_VALUE"""),"")</f>
        <v/>
      </c>
      <c r="BG253" t="str">
        <f ca="1">IFERROR(__xludf.DUMMYFUNCTION("""COMPUTED_VALUE"""),"")</f>
        <v/>
      </c>
      <c r="BH253" s="2">
        <f ca="1">IFERROR(__xludf.DUMMYFUNCTION("""COMPUTED_VALUE"""),-37.2197495)</f>
        <v>-37.219749499999999</v>
      </c>
      <c r="BI253" s="12">
        <f ca="1">IFERROR(__xludf.DUMMYFUNCTION("""COMPUTED_VALUE"""),175.4152832)</f>
        <v>175.4152832</v>
      </c>
      <c r="BJ253" s="9">
        <f ca="1">IFERROR(__xludf.DUMMYFUNCTION("""COMPUTED_VALUE"""),43446)</f>
        <v>43446</v>
      </c>
      <c r="BK253" s="4">
        <f ca="1">IFERROR(__xludf.DUMMYFUNCTION("""COMPUTED_VALUE"""),0.958518518516939)</f>
        <v>0.95851851851693903</v>
      </c>
    </row>
    <row r="254" spans="1:63" ht="12.5" x14ac:dyDescent="0.25">
      <c r="A254" s="7" t="str">
        <f ca="1">IFERROR(__xludf.DUMMYFUNCTION("""COMPUTED_VALUE"""),"")</f>
        <v/>
      </c>
      <c r="B254" s="8" t="str">
        <f ca="1">IFERROR(__xludf.DUMMYFUNCTION("""COMPUTED_VALUE"""),"Waikato")</f>
        <v>Waikato</v>
      </c>
      <c r="C254" s="2">
        <f ca="1">IFERROR(__xludf.DUMMYFUNCTION("""COMPUTED_VALUE"""),23)</f>
        <v>23</v>
      </c>
      <c r="D254" s="9" t="str">
        <f ca="1">IFERROR(__xludf.DUMMYFUNCTION("""COMPUTED_VALUE"""),"")</f>
        <v/>
      </c>
      <c r="E254" s="4" t="str">
        <f ca="1">IFERROR(__xludf.DUMMYFUNCTION("""COMPUTED_VALUE"""),"")</f>
        <v/>
      </c>
      <c r="F254" s="2" t="str">
        <f ca="1">IFERROR(__xludf.DUMMYFUNCTION("""COMPUTED_VALUE"""),"")</f>
        <v/>
      </c>
      <c r="G254" s="2" t="str">
        <f ca="1">IFERROR(__xludf.DUMMYFUNCTION("""COMPUTED_VALUE"""),"GPS: I converted data downloaded from ARGOS using Pinpoint software")</f>
        <v>GPS: I converted data downloaded from ARGOS using Pinpoint software</v>
      </c>
      <c r="H254" s="2" t="str">
        <f ca="1">IFERROR(__xludf.DUMMYFUNCTION("""COMPUTED_VALUE"""),"3D")</f>
        <v>3D</v>
      </c>
      <c r="I254" s="2" t="str">
        <f ca="1">IFERROR(__xludf.DUMMYFUNCTION("""COMPUTED_VALUE"""),"")</f>
        <v/>
      </c>
      <c r="J254" s="2" t="str">
        <f ca="1">IFERROR(__xludf.DUMMYFUNCTION("""COMPUTED_VALUE"""),"")</f>
        <v/>
      </c>
      <c r="K254" s="2" t="str">
        <f ca="1">IFERROR(__xludf.DUMMYFUNCTION("""COMPUTED_VALUE"""),"")</f>
        <v/>
      </c>
      <c r="L254" s="2" t="str">
        <f ca="1">IFERROR(__xludf.DUMMYFUNCTION("""COMPUTED_VALUE"""),"")</f>
        <v/>
      </c>
      <c r="M254" s="5" t="str">
        <f ca="1">IFERROR(__xludf.DUMMYFUNCTION("""COMPUTED_VALUE"""),"")</f>
        <v/>
      </c>
      <c r="N254" s="5" t="str">
        <f ca="1">IFERROR(__xludf.DUMMYFUNCTION("""COMPUTED_VALUE"""),"")</f>
        <v/>
      </c>
      <c r="O254" s="2" t="str">
        <f ca="1">IFERROR(__xludf.DUMMYFUNCTION("""COMPUTED_VALUE"""),"")</f>
        <v/>
      </c>
      <c r="P254" s="2" t="str">
        <f ca="1">IFERROR(__xludf.DUMMYFUNCTION("""COMPUTED_VALUE"""),"")</f>
        <v/>
      </c>
      <c r="Q254" s="2" t="str">
        <f ca="1">IFERROR(__xludf.DUMMYFUNCTION("""COMPUTED_VALUE"""),"")</f>
        <v/>
      </c>
      <c r="R254" s="2" t="str">
        <f ca="1">IFERROR(__xludf.DUMMYFUNCTION("""COMPUTED_VALUE"""),"")</f>
        <v/>
      </c>
      <c r="S254" s="2" t="str">
        <f ca="1">IFERROR(__xludf.DUMMYFUNCTION("""COMPUTED_VALUE"""),"")</f>
        <v/>
      </c>
      <c r="T254" s="2" t="str">
        <f ca="1">IFERROR(__xludf.DUMMYFUNCTION("""COMPUTED_VALUE"""),"")</f>
        <v/>
      </c>
      <c r="U254" s="2" t="str">
        <f ca="1">IFERROR(__xludf.DUMMYFUNCTION("""COMPUTED_VALUE"""),"")</f>
        <v/>
      </c>
      <c r="V254" s="2" t="str">
        <f ca="1">IFERROR(__xludf.DUMMYFUNCTION("""COMPUTED_VALUE"""),"")</f>
        <v/>
      </c>
      <c r="W254" s="2" t="str">
        <f ca="1">IFERROR(__xludf.DUMMYFUNCTION("""COMPUTED_VALUE"""),"")</f>
        <v/>
      </c>
      <c r="X254" s="2" t="str">
        <f ca="1">IFERROR(__xludf.DUMMYFUNCTION("""COMPUTED_VALUE"""),"")</f>
        <v/>
      </c>
      <c r="Y254" s="2" t="str">
        <f ca="1">IFERROR(__xludf.DUMMYFUNCTION("""COMPUTED_VALUE"""),"")</f>
        <v/>
      </c>
      <c r="Z254" s="2" t="str">
        <f ca="1">IFERROR(__xludf.DUMMYFUNCTION("""COMPUTED_VALUE"""),"")</f>
        <v/>
      </c>
      <c r="AA254" s="2" t="str">
        <f ca="1">IFERROR(__xludf.DUMMYFUNCTION("""COMPUTED_VALUE"""),"")</f>
        <v/>
      </c>
      <c r="AB254" s="2" t="str">
        <f ca="1">IFERROR(__xludf.DUMMYFUNCTION("""COMPUTED_VALUE"""),"")</f>
        <v/>
      </c>
      <c r="AC254" s="2" t="str">
        <f ca="1">IFERROR(__xludf.DUMMYFUNCTION("""COMPUTED_VALUE"""),"")</f>
        <v/>
      </c>
      <c r="AD254" s="2" t="str">
        <f ca="1">IFERROR(__xludf.DUMMYFUNCTION("""COMPUTED_VALUE"""),"")</f>
        <v/>
      </c>
      <c r="AE254" s="2" t="str">
        <f ca="1">IFERROR(__xludf.DUMMYFUNCTION("""COMPUTED_VALUE"""),"")</f>
        <v/>
      </c>
      <c r="AF254" s="2" t="str">
        <f ca="1">IFERROR(__xludf.DUMMYFUNCTION("""COMPUTED_VALUE"""),"")</f>
        <v/>
      </c>
      <c r="AG254" s="2" t="str">
        <f ca="1">IFERROR(__xludf.DUMMYFUNCTION("""COMPUTED_VALUE"""),"")</f>
        <v/>
      </c>
      <c r="AH254" s="2" t="str">
        <f ca="1">IFERROR(__xludf.DUMMYFUNCTION("""COMPUTED_VALUE"""),"")</f>
        <v/>
      </c>
      <c r="AI254" s="2" t="str">
        <f ca="1">IFERROR(__xludf.DUMMYFUNCTION("""COMPUTED_VALUE"""),"")</f>
        <v/>
      </c>
      <c r="AJ254" s="2" t="str">
        <f ca="1">IFERROR(__xludf.DUMMYFUNCTION("""COMPUTED_VALUE"""),"")</f>
        <v/>
      </c>
      <c r="AK254" s="2" t="str">
        <f ca="1">IFERROR(__xludf.DUMMYFUNCTION("""COMPUTED_VALUE"""),"")</f>
        <v/>
      </c>
      <c r="AL254" s="2" t="str">
        <f ca="1">IFERROR(__xludf.DUMMYFUNCTION("""COMPUTED_VALUE"""),"")</f>
        <v/>
      </c>
      <c r="AM254" s="2" t="str">
        <f ca="1">IFERROR(__xludf.DUMMYFUNCTION("""COMPUTED_VALUE"""),"")</f>
        <v/>
      </c>
      <c r="AN254" s="2" t="str">
        <f ca="1">IFERROR(__xludf.DUMMYFUNCTION("""COMPUTED_VALUE"""),"")</f>
        <v/>
      </c>
      <c r="AO254" s="2" t="str">
        <f ca="1">IFERROR(__xludf.DUMMYFUNCTION("""COMPUTED_VALUE"""),"")</f>
        <v/>
      </c>
      <c r="AP254" s="2" t="str">
        <f ca="1">IFERROR(__xludf.DUMMYFUNCTION("""COMPUTED_VALUE"""),"")</f>
        <v/>
      </c>
      <c r="AQ254" s="2" t="str">
        <f ca="1">IFERROR(__xludf.DUMMYFUNCTION("""COMPUTED_VALUE"""),"")</f>
        <v/>
      </c>
      <c r="AR254" s="2" t="str">
        <f ca="1">IFERROR(__xludf.DUMMYFUNCTION("""COMPUTED_VALUE"""),"")</f>
        <v/>
      </c>
      <c r="AS254" s="2" t="str">
        <f ca="1">IFERROR(__xludf.DUMMYFUNCTION("""COMPUTED_VALUE"""),"")</f>
        <v/>
      </c>
      <c r="AT254" s="2" t="str">
        <f ca="1">IFERROR(__xludf.DUMMYFUNCTION("""COMPUTED_VALUE"""),"")</f>
        <v/>
      </c>
      <c r="AU254" s="2" t="str">
        <f ca="1">IFERROR(__xludf.DUMMYFUNCTION("""COMPUTED_VALUE"""),"")</f>
        <v/>
      </c>
      <c r="AV254" s="2" t="str">
        <f ca="1">IFERROR(__xludf.DUMMYFUNCTION("""COMPUTED_VALUE"""),"")</f>
        <v/>
      </c>
      <c r="AW254" s="2" t="str">
        <f ca="1">IFERROR(__xludf.DUMMYFUNCTION("""COMPUTED_VALUE"""),"")</f>
        <v/>
      </c>
      <c r="AX254" s="2" t="str">
        <f ca="1">IFERROR(__xludf.DUMMYFUNCTION("""COMPUTED_VALUE"""),"")</f>
        <v/>
      </c>
      <c r="AY254" s="2" t="str">
        <f ca="1">IFERROR(__xludf.DUMMYFUNCTION("""COMPUTED_VALUE"""),"")</f>
        <v/>
      </c>
      <c r="AZ254" s="2" t="str">
        <f ca="1">IFERROR(__xludf.DUMMYFUNCTION("""COMPUTED_VALUE"""),"")</f>
        <v/>
      </c>
      <c r="BA254" s="2" t="str">
        <f ca="1">IFERROR(__xludf.DUMMYFUNCTION("""COMPUTED_VALUE"""),"")</f>
        <v/>
      </c>
      <c r="BB254" s="2" t="str">
        <f ca="1">IFERROR(__xludf.DUMMYFUNCTION("""COMPUTED_VALUE"""),"")</f>
        <v/>
      </c>
      <c r="BC254" s="2" t="str">
        <f ca="1">IFERROR(__xludf.DUMMYFUNCTION("""COMPUTED_VALUE"""),"")</f>
        <v/>
      </c>
      <c r="BD254" s="2" t="str">
        <f ca="1">IFERROR(__xludf.DUMMYFUNCTION("""COMPUTED_VALUE"""),"")</f>
        <v/>
      </c>
      <c r="BE254" s="2" t="str">
        <f ca="1">IFERROR(__xludf.DUMMYFUNCTION("""COMPUTED_VALUE"""),"")</f>
        <v/>
      </c>
      <c r="BF254" t="str">
        <f ca="1">IFERROR(__xludf.DUMMYFUNCTION("""COMPUTED_VALUE"""),"")</f>
        <v/>
      </c>
      <c r="BG254" t="str">
        <f ca="1">IFERROR(__xludf.DUMMYFUNCTION("""COMPUTED_VALUE"""),"")</f>
        <v/>
      </c>
      <c r="BH254" s="2">
        <f ca="1">IFERROR(__xludf.DUMMYFUNCTION("""COMPUTED_VALUE"""),-37.2203407)</f>
        <v>-37.220340700000001</v>
      </c>
      <c r="BI254" s="13">
        <f ca="1">IFERROR(__xludf.DUMMYFUNCTION("""COMPUTED_VALUE"""),175.414566)</f>
        <v>175.41456600000001</v>
      </c>
      <c r="BJ254" s="9">
        <f ca="1">IFERROR(__xludf.DUMMYFUNCTION("""COMPUTED_VALUE"""),43448)</f>
        <v>43448</v>
      </c>
      <c r="BK254" s="4">
        <f ca="1">IFERROR(__xludf.DUMMYFUNCTION("""COMPUTED_VALUE"""),0.457777777777664)</f>
        <v>0.45777777777766399</v>
      </c>
    </row>
    <row r="255" spans="1:63" ht="12.5" x14ac:dyDescent="0.25">
      <c r="A255" s="7" t="str">
        <f ca="1">IFERROR(__xludf.DUMMYFUNCTION("""COMPUTED_VALUE"""),"")</f>
        <v/>
      </c>
      <c r="B255" s="8" t="str">
        <f ca="1">IFERROR(__xludf.DUMMYFUNCTION("""COMPUTED_VALUE"""),"Waikato")</f>
        <v>Waikato</v>
      </c>
      <c r="C255" s="2">
        <f ca="1">IFERROR(__xludf.DUMMYFUNCTION("""COMPUTED_VALUE"""),23)</f>
        <v>23</v>
      </c>
      <c r="D255" s="9" t="str">
        <f ca="1">IFERROR(__xludf.DUMMYFUNCTION("""COMPUTED_VALUE"""),"")</f>
        <v/>
      </c>
      <c r="E255" s="4" t="str">
        <f ca="1">IFERROR(__xludf.DUMMYFUNCTION("""COMPUTED_VALUE"""),"")</f>
        <v/>
      </c>
      <c r="F255" s="2" t="str">
        <f ca="1">IFERROR(__xludf.DUMMYFUNCTION("""COMPUTED_VALUE"""),"")</f>
        <v/>
      </c>
      <c r="G255" s="2" t="str">
        <f ca="1">IFERROR(__xludf.DUMMYFUNCTION("""COMPUTED_VALUE"""),"GPS: I converted data downloaded from ARGOS using Pinpoint software")</f>
        <v>GPS: I converted data downloaded from ARGOS using Pinpoint software</v>
      </c>
      <c r="H255" s="2" t="str">
        <f ca="1">IFERROR(__xludf.DUMMYFUNCTION("""COMPUTED_VALUE"""),"3D")</f>
        <v>3D</v>
      </c>
      <c r="I255" s="2" t="str">
        <f ca="1">IFERROR(__xludf.DUMMYFUNCTION("""COMPUTED_VALUE"""),"")</f>
        <v/>
      </c>
      <c r="J255" s="2" t="str">
        <f ca="1">IFERROR(__xludf.DUMMYFUNCTION("""COMPUTED_VALUE"""),"")</f>
        <v/>
      </c>
      <c r="K255" s="2" t="str">
        <f ca="1">IFERROR(__xludf.DUMMYFUNCTION("""COMPUTED_VALUE"""),"")</f>
        <v/>
      </c>
      <c r="L255" s="2" t="str">
        <f ca="1">IFERROR(__xludf.DUMMYFUNCTION("""COMPUTED_VALUE"""),"")</f>
        <v/>
      </c>
      <c r="M255" s="5" t="str">
        <f ca="1">IFERROR(__xludf.DUMMYFUNCTION("""COMPUTED_VALUE"""),"")</f>
        <v/>
      </c>
      <c r="N255" s="5" t="str">
        <f ca="1">IFERROR(__xludf.DUMMYFUNCTION("""COMPUTED_VALUE"""),"")</f>
        <v/>
      </c>
      <c r="O255" s="2" t="str">
        <f ca="1">IFERROR(__xludf.DUMMYFUNCTION("""COMPUTED_VALUE"""),"")</f>
        <v/>
      </c>
      <c r="P255" s="2" t="str">
        <f ca="1">IFERROR(__xludf.DUMMYFUNCTION("""COMPUTED_VALUE"""),"")</f>
        <v/>
      </c>
      <c r="Q255" s="2" t="str">
        <f ca="1">IFERROR(__xludf.DUMMYFUNCTION("""COMPUTED_VALUE"""),"")</f>
        <v/>
      </c>
      <c r="R255" s="2" t="str">
        <f ca="1">IFERROR(__xludf.DUMMYFUNCTION("""COMPUTED_VALUE"""),"")</f>
        <v/>
      </c>
      <c r="S255" s="2" t="str">
        <f ca="1">IFERROR(__xludf.DUMMYFUNCTION("""COMPUTED_VALUE"""),"")</f>
        <v/>
      </c>
      <c r="T255" s="2" t="str">
        <f ca="1">IFERROR(__xludf.DUMMYFUNCTION("""COMPUTED_VALUE"""),"")</f>
        <v/>
      </c>
      <c r="U255" s="2" t="str">
        <f ca="1">IFERROR(__xludf.DUMMYFUNCTION("""COMPUTED_VALUE"""),"")</f>
        <v/>
      </c>
      <c r="V255" s="2" t="str">
        <f ca="1">IFERROR(__xludf.DUMMYFUNCTION("""COMPUTED_VALUE"""),"")</f>
        <v/>
      </c>
      <c r="W255" s="2" t="str">
        <f ca="1">IFERROR(__xludf.DUMMYFUNCTION("""COMPUTED_VALUE"""),"")</f>
        <v/>
      </c>
      <c r="X255" s="2" t="str">
        <f ca="1">IFERROR(__xludf.DUMMYFUNCTION("""COMPUTED_VALUE"""),"")</f>
        <v/>
      </c>
      <c r="Y255" s="2" t="str">
        <f ca="1">IFERROR(__xludf.DUMMYFUNCTION("""COMPUTED_VALUE"""),"")</f>
        <v/>
      </c>
      <c r="Z255" s="2" t="str">
        <f ca="1">IFERROR(__xludf.DUMMYFUNCTION("""COMPUTED_VALUE"""),"")</f>
        <v/>
      </c>
      <c r="AA255" s="2" t="str">
        <f ca="1">IFERROR(__xludf.DUMMYFUNCTION("""COMPUTED_VALUE"""),"")</f>
        <v/>
      </c>
      <c r="AB255" s="2" t="str">
        <f ca="1">IFERROR(__xludf.DUMMYFUNCTION("""COMPUTED_VALUE"""),"")</f>
        <v/>
      </c>
      <c r="AC255" s="2" t="str">
        <f ca="1">IFERROR(__xludf.DUMMYFUNCTION("""COMPUTED_VALUE"""),"")</f>
        <v/>
      </c>
      <c r="AD255" s="2" t="str">
        <f ca="1">IFERROR(__xludf.DUMMYFUNCTION("""COMPUTED_VALUE"""),"")</f>
        <v/>
      </c>
      <c r="AE255" s="2" t="str">
        <f ca="1">IFERROR(__xludf.DUMMYFUNCTION("""COMPUTED_VALUE"""),"")</f>
        <v/>
      </c>
      <c r="AF255" s="2" t="str">
        <f ca="1">IFERROR(__xludf.DUMMYFUNCTION("""COMPUTED_VALUE"""),"")</f>
        <v/>
      </c>
      <c r="AG255" s="2" t="str">
        <f ca="1">IFERROR(__xludf.DUMMYFUNCTION("""COMPUTED_VALUE"""),"")</f>
        <v/>
      </c>
      <c r="AH255" s="2" t="str">
        <f ca="1">IFERROR(__xludf.DUMMYFUNCTION("""COMPUTED_VALUE"""),"")</f>
        <v/>
      </c>
      <c r="AI255" s="2" t="str">
        <f ca="1">IFERROR(__xludf.DUMMYFUNCTION("""COMPUTED_VALUE"""),"")</f>
        <v/>
      </c>
      <c r="AJ255" s="2" t="str">
        <f ca="1">IFERROR(__xludf.DUMMYFUNCTION("""COMPUTED_VALUE"""),"")</f>
        <v/>
      </c>
      <c r="AK255" s="2" t="str">
        <f ca="1">IFERROR(__xludf.DUMMYFUNCTION("""COMPUTED_VALUE"""),"")</f>
        <v/>
      </c>
      <c r="AL255" s="2" t="str">
        <f ca="1">IFERROR(__xludf.DUMMYFUNCTION("""COMPUTED_VALUE"""),"")</f>
        <v/>
      </c>
      <c r="AM255" s="2" t="str">
        <f ca="1">IFERROR(__xludf.DUMMYFUNCTION("""COMPUTED_VALUE"""),"")</f>
        <v/>
      </c>
      <c r="AN255" s="2" t="str">
        <f ca="1">IFERROR(__xludf.DUMMYFUNCTION("""COMPUTED_VALUE"""),"")</f>
        <v/>
      </c>
      <c r="AO255" s="2" t="str">
        <f ca="1">IFERROR(__xludf.DUMMYFUNCTION("""COMPUTED_VALUE"""),"")</f>
        <v/>
      </c>
      <c r="AP255" s="2" t="str">
        <f ca="1">IFERROR(__xludf.DUMMYFUNCTION("""COMPUTED_VALUE"""),"")</f>
        <v/>
      </c>
      <c r="AQ255" s="2" t="str">
        <f ca="1">IFERROR(__xludf.DUMMYFUNCTION("""COMPUTED_VALUE"""),"")</f>
        <v/>
      </c>
      <c r="AR255" s="2" t="str">
        <f ca="1">IFERROR(__xludf.DUMMYFUNCTION("""COMPUTED_VALUE"""),"")</f>
        <v/>
      </c>
      <c r="AS255" s="2" t="str">
        <f ca="1">IFERROR(__xludf.DUMMYFUNCTION("""COMPUTED_VALUE"""),"")</f>
        <v/>
      </c>
      <c r="AT255" s="2" t="str">
        <f ca="1">IFERROR(__xludf.DUMMYFUNCTION("""COMPUTED_VALUE"""),"")</f>
        <v/>
      </c>
      <c r="AU255" s="2" t="str">
        <f ca="1">IFERROR(__xludf.DUMMYFUNCTION("""COMPUTED_VALUE"""),"")</f>
        <v/>
      </c>
      <c r="AV255" s="2" t="str">
        <f ca="1">IFERROR(__xludf.DUMMYFUNCTION("""COMPUTED_VALUE"""),"")</f>
        <v/>
      </c>
      <c r="AW255" s="2" t="str">
        <f ca="1">IFERROR(__xludf.DUMMYFUNCTION("""COMPUTED_VALUE"""),"")</f>
        <v/>
      </c>
      <c r="AX255" s="2" t="str">
        <f ca="1">IFERROR(__xludf.DUMMYFUNCTION("""COMPUTED_VALUE"""),"")</f>
        <v/>
      </c>
      <c r="AY255" s="2" t="str">
        <f ca="1">IFERROR(__xludf.DUMMYFUNCTION("""COMPUTED_VALUE"""),"")</f>
        <v/>
      </c>
      <c r="AZ255" s="2" t="str">
        <f ca="1">IFERROR(__xludf.DUMMYFUNCTION("""COMPUTED_VALUE"""),"")</f>
        <v/>
      </c>
      <c r="BA255" s="2" t="str">
        <f ca="1">IFERROR(__xludf.DUMMYFUNCTION("""COMPUTED_VALUE"""),"")</f>
        <v/>
      </c>
      <c r="BB255" s="2" t="str">
        <f ca="1">IFERROR(__xludf.DUMMYFUNCTION("""COMPUTED_VALUE"""),"")</f>
        <v/>
      </c>
      <c r="BC255" s="2" t="str">
        <f ca="1">IFERROR(__xludf.DUMMYFUNCTION("""COMPUTED_VALUE"""),"")</f>
        <v/>
      </c>
      <c r="BD255" s="2" t="str">
        <f ca="1">IFERROR(__xludf.DUMMYFUNCTION("""COMPUTED_VALUE"""),"")</f>
        <v/>
      </c>
      <c r="BE255" s="2" t="str">
        <f ca="1">IFERROR(__xludf.DUMMYFUNCTION("""COMPUTED_VALUE"""),"")</f>
        <v/>
      </c>
      <c r="BF255" t="str">
        <f ca="1">IFERROR(__xludf.DUMMYFUNCTION("""COMPUTED_VALUE"""),"")</f>
        <v/>
      </c>
      <c r="BG255" t="str">
        <f ca="1">IFERROR(__xludf.DUMMYFUNCTION("""COMPUTED_VALUE"""),"")</f>
        <v/>
      </c>
      <c r="BH255" s="2">
        <f ca="1">IFERROR(__xludf.DUMMYFUNCTION("""COMPUTED_VALUE"""),-37.2203407)</f>
        <v>-37.220340700000001</v>
      </c>
      <c r="BI255" s="12">
        <f ca="1">IFERROR(__xludf.DUMMYFUNCTION("""COMPUTED_VALUE"""),175.4145355)</f>
        <v>175.4145355</v>
      </c>
      <c r="BJ255" s="9">
        <f ca="1">IFERROR(__xludf.DUMMYFUNCTION("""COMPUTED_VALUE"""),43448)</f>
        <v>43448</v>
      </c>
      <c r="BK255" s="4">
        <f ca="1">IFERROR(__xludf.DUMMYFUNCTION("""COMPUTED_VALUE"""),0.875555555554456)</f>
        <v>0.87555555555445597</v>
      </c>
    </row>
    <row r="256" spans="1:63" ht="12.5" x14ac:dyDescent="0.25">
      <c r="A256" s="7" t="str">
        <f ca="1">IFERROR(__xludf.DUMMYFUNCTION("""COMPUTED_VALUE"""),"")</f>
        <v/>
      </c>
      <c r="B256" s="8" t="str">
        <f ca="1">IFERROR(__xludf.DUMMYFUNCTION("""COMPUTED_VALUE"""),"Waikato")</f>
        <v>Waikato</v>
      </c>
      <c r="C256" s="2">
        <f ca="1">IFERROR(__xludf.DUMMYFUNCTION("""COMPUTED_VALUE"""),23)</f>
        <v>23</v>
      </c>
      <c r="D256" s="9" t="str">
        <f ca="1">IFERROR(__xludf.DUMMYFUNCTION("""COMPUTED_VALUE"""),"")</f>
        <v/>
      </c>
      <c r="E256" s="4" t="str">
        <f ca="1">IFERROR(__xludf.DUMMYFUNCTION("""COMPUTED_VALUE"""),"")</f>
        <v/>
      </c>
      <c r="F256" s="2" t="str">
        <f ca="1">IFERROR(__xludf.DUMMYFUNCTION("""COMPUTED_VALUE"""),"")</f>
        <v/>
      </c>
      <c r="G256" s="2" t="str">
        <f ca="1">IFERROR(__xludf.DUMMYFUNCTION("""COMPUTED_VALUE"""),"GPS: I converted data downloaded from ARGOS using Pinpoint software")</f>
        <v>GPS: I converted data downloaded from ARGOS using Pinpoint software</v>
      </c>
      <c r="H256" s="2" t="str">
        <f ca="1">IFERROR(__xludf.DUMMYFUNCTION("""COMPUTED_VALUE"""),"3D")</f>
        <v>3D</v>
      </c>
      <c r="I256" s="2" t="str">
        <f ca="1">IFERROR(__xludf.DUMMYFUNCTION("""COMPUTED_VALUE"""),"")</f>
        <v/>
      </c>
      <c r="J256" s="2" t="str">
        <f ca="1">IFERROR(__xludf.DUMMYFUNCTION("""COMPUTED_VALUE"""),"")</f>
        <v/>
      </c>
      <c r="K256" s="2" t="str">
        <f ca="1">IFERROR(__xludf.DUMMYFUNCTION("""COMPUTED_VALUE"""),"")</f>
        <v/>
      </c>
      <c r="L256" s="2" t="str">
        <f ca="1">IFERROR(__xludf.DUMMYFUNCTION("""COMPUTED_VALUE"""),"")</f>
        <v/>
      </c>
      <c r="M256" s="5" t="str">
        <f ca="1">IFERROR(__xludf.DUMMYFUNCTION("""COMPUTED_VALUE"""),"")</f>
        <v/>
      </c>
      <c r="N256" s="5" t="str">
        <f ca="1">IFERROR(__xludf.DUMMYFUNCTION("""COMPUTED_VALUE"""),"")</f>
        <v/>
      </c>
      <c r="O256" s="2" t="str">
        <f ca="1">IFERROR(__xludf.DUMMYFUNCTION("""COMPUTED_VALUE"""),"")</f>
        <v/>
      </c>
      <c r="P256" s="2" t="str">
        <f ca="1">IFERROR(__xludf.DUMMYFUNCTION("""COMPUTED_VALUE"""),"")</f>
        <v/>
      </c>
      <c r="Q256" s="2" t="str">
        <f ca="1">IFERROR(__xludf.DUMMYFUNCTION("""COMPUTED_VALUE"""),"")</f>
        <v/>
      </c>
      <c r="R256" s="2" t="str">
        <f ca="1">IFERROR(__xludf.DUMMYFUNCTION("""COMPUTED_VALUE"""),"")</f>
        <v/>
      </c>
      <c r="S256" s="2" t="str">
        <f ca="1">IFERROR(__xludf.DUMMYFUNCTION("""COMPUTED_VALUE"""),"")</f>
        <v/>
      </c>
      <c r="T256" s="2" t="str">
        <f ca="1">IFERROR(__xludf.DUMMYFUNCTION("""COMPUTED_VALUE"""),"")</f>
        <v/>
      </c>
      <c r="U256" s="2" t="str">
        <f ca="1">IFERROR(__xludf.DUMMYFUNCTION("""COMPUTED_VALUE"""),"")</f>
        <v/>
      </c>
      <c r="V256" s="2" t="str">
        <f ca="1">IFERROR(__xludf.DUMMYFUNCTION("""COMPUTED_VALUE"""),"")</f>
        <v/>
      </c>
      <c r="W256" s="2" t="str">
        <f ca="1">IFERROR(__xludf.DUMMYFUNCTION("""COMPUTED_VALUE"""),"")</f>
        <v/>
      </c>
      <c r="X256" s="2" t="str">
        <f ca="1">IFERROR(__xludf.DUMMYFUNCTION("""COMPUTED_VALUE"""),"")</f>
        <v/>
      </c>
      <c r="Y256" s="2" t="str">
        <f ca="1">IFERROR(__xludf.DUMMYFUNCTION("""COMPUTED_VALUE"""),"")</f>
        <v/>
      </c>
      <c r="Z256" s="2" t="str">
        <f ca="1">IFERROR(__xludf.DUMMYFUNCTION("""COMPUTED_VALUE"""),"")</f>
        <v/>
      </c>
      <c r="AA256" s="2" t="str">
        <f ca="1">IFERROR(__xludf.DUMMYFUNCTION("""COMPUTED_VALUE"""),"")</f>
        <v/>
      </c>
      <c r="AB256" s="2" t="str">
        <f ca="1">IFERROR(__xludf.DUMMYFUNCTION("""COMPUTED_VALUE"""),"")</f>
        <v/>
      </c>
      <c r="AC256" s="2" t="str">
        <f ca="1">IFERROR(__xludf.DUMMYFUNCTION("""COMPUTED_VALUE"""),"")</f>
        <v/>
      </c>
      <c r="AD256" s="2" t="str">
        <f ca="1">IFERROR(__xludf.DUMMYFUNCTION("""COMPUTED_VALUE"""),"")</f>
        <v/>
      </c>
      <c r="AE256" s="2" t="str">
        <f ca="1">IFERROR(__xludf.DUMMYFUNCTION("""COMPUTED_VALUE"""),"")</f>
        <v/>
      </c>
      <c r="AF256" s="2" t="str">
        <f ca="1">IFERROR(__xludf.DUMMYFUNCTION("""COMPUTED_VALUE"""),"")</f>
        <v/>
      </c>
      <c r="AG256" s="2" t="str">
        <f ca="1">IFERROR(__xludf.DUMMYFUNCTION("""COMPUTED_VALUE"""),"")</f>
        <v/>
      </c>
      <c r="AH256" s="2" t="str">
        <f ca="1">IFERROR(__xludf.DUMMYFUNCTION("""COMPUTED_VALUE"""),"")</f>
        <v/>
      </c>
      <c r="AI256" s="2" t="str">
        <f ca="1">IFERROR(__xludf.DUMMYFUNCTION("""COMPUTED_VALUE"""),"")</f>
        <v/>
      </c>
      <c r="AJ256" s="2" t="str">
        <f ca="1">IFERROR(__xludf.DUMMYFUNCTION("""COMPUTED_VALUE"""),"")</f>
        <v/>
      </c>
      <c r="AK256" s="2" t="str">
        <f ca="1">IFERROR(__xludf.DUMMYFUNCTION("""COMPUTED_VALUE"""),"")</f>
        <v/>
      </c>
      <c r="AL256" s="2" t="str">
        <f ca="1">IFERROR(__xludf.DUMMYFUNCTION("""COMPUTED_VALUE"""),"")</f>
        <v/>
      </c>
      <c r="AM256" s="2" t="str">
        <f ca="1">IFERROR(__xludf.DUMMYFUNCTION("""COMPUTED_VALUE"""),"")</f>
        <v/>
      </c>
      <c r="AN256" s="2" t="str">
        <f ca="1">IFERROR(__xludf.DUMMYFUNCTION("""COMPUTED_VALUE"""),"")</f>
        <v/>
      </c>
      <c r="AO256" s="2" t="str">
        <f ca="1">IFERROR(__xludf.DUMMYFUNCTION("""COMPUTED_VALUE"""),"")</f>
        <v/>
      </c>
      <c r="AP256" s="2" t="str">
        <f ca="1">IFERROR(__xludf.DUMMYFUNCTION("""COMPUTED_VALUE"""),"")</f>
        <v/>
      </c>
      <c r="AQ256" s="2" t="str">
        <f ca="1">IFERROR(__xludf.DUMMYFUNCTION("""COMPUTED_VALUE"""),"")</f>
        <v/>
      </c>
      <c r="AR256" s="2" t="str">
        <f ca="1">IFERROR(__xludf.DUMMYFUNCTION("""COMPUTED_VALUE"""),"")</f>
        <v/>
      </c>
      <c r="AS256" s="2" t="str">
        <f ca="1">IFERROR(__xludf.DUMMYFUNCTION("""COMPUTED_VALUE"""),"")</f>
        <v/>
      </c>
      <c r="AT256" s="2" t="str">
        <f ca="1">IFERROR(__xludf.DUMMYFUNCTION("""COMPUTED_VALUE"""),"")</f>
        <v/>
      </c>
      <c r="AU256" s="2" t="str">
        <f ca="1">IFERROR(__xludf.DUMMYFUNCTION("""COMPUTED_VALUE"""),"")</f>
        <v/>
      </c>
      <c r="AV256" s="2" t="str">
        <f ca="1">IFERROR(__xludf.DUMMYFUNCTION("""COMPUTED_VALUE"""),"")</f>
        <v/>
      </c>
      <c r="AW256" s="2" t="str">
        <f ca="1">IFERROR(__xludf.DUMMYFUNCTION("""COMPUTED_VALUE"""),"")</f>
        <v/>
      </c>
      <c r="AX256" s="2" t="str">
        <f ca="1">IFERROR(__xludf.DUMMYFUNCTION("""COMPUTED_VALUE"""),"")</f>
        <v/>
      </c>
      <c r="AY256" s="2" t="str">
        <f ca="1">IFERROR(__xludf.DUMMYFUNCTION("""COMPUTED_VALUE"""),"")</f>
        <v/>
      </c>
      <c r="AZ256" s="2" t="str">
        <f ca="1">IFERROR(__xludf.DUMMYFUNCTION("""COMPUTED_VALUE"""),"")</f>
        <v/>
      </c>
      <c r="BA256" s="2" t="str">
        <f ca="1">IFERROR(__xludf.DUMMYFUNCTION("""COMPUTED_VALUE"""),"")</f>
        <v/>
      </c>
      <c r="BB256" s="2" t="str">
        <f ca="1">IFERROR(__xludf.DUMMYFUNCTION("""COMPUTED_VALUE"""),"")</f>
        <v/>
      </c>
      <c r="BC256" s="2" t="str">
        <f ca="1">IFERROR(__xludf.DUMMYFUNCTION("""COMPUTED_VALUE"""),"")</f>
        <v/>
      </c>
      <c r="BD256" s="2" t="str">
        <f ca="1">IFERROR(__xludf.DUMMYFUNCTION("""COMPUTED_VALUE"""),"")</f>
        <v/>
      </c>
      <c r="BE256" s="2" t="str">
        <f ca="1">IFERROR(__xludf.DUMMYFUNCTION("""COMPUTED_VALUE"""),"")</f>
        <v/>
      </c>
      <c r="BF256" t="str">
        <f ca="1">IFERROR(__xludf.DUMMYFUNCTION("""COMPUTED_VALUE"""),"")</f>
        <v/>
      </c>
      <c r="BG256" t="str">
        <f ca="1">IFERROR(__xludf.DUMMYFUNCTION("""COMPUTED_VALUE"""),"")</f>
        <v/>
      </c>
      <c r="BH256" s="2">
        <f ca="1">IFERROR(__xludf.DUMMYFUNCTION("""COMPUTED_VALUE"""),-37.2203903)</f>
        <v>-37.220390299999998</v>
      </c>
      <c r="BI256" s="13">
        <f ca="1">IFERROR(__xludf.DUMMYFUNCTION("""COMPUTED_VALUE"""),175.4145355)</f>
        <v>175.4145355</v>
      </c>
      <c r="BJ256" s="9">
        <f ca="1">IFERROR(__xludf.DUMMYFUNCTION("""COMPUTED_VALUE"""),43462)</f>
        <v>43462</v>
      </c>
      <c r="BK256" s="4">
        <f ca="1">IFERROR(__xludf.DUMMYFUNCTION("""COMPUTED_VALUE"""),0.958518518516939)</f>
        <v>0.95851851851693903</v>
      </c>
    </row>
    <row r="257" spans="1:63" ht="12.5" x14ac:dyDescent="0.25">
      <c r="A257" s="7" t="str">
        <f ca="1">IFERROR(__xludf.DUMMYFUNCTION("""COMPUTED_VALUE"""),"")</f>
        <v/>
      </c>
      <c r="B257" s="8" t="str">
        <f ca="1">IFERROR(__xludf.DUMMYFUNCTION("""COMPUTED_VALUE"""),"Waikato")</f>
        <v>Waikato</v>
      </c>
      <c r="C257" s="2">
        <f ca="1">IFERROR(__xludf.DUMMYFUNCTION("""COMPUTED_VALUE"""),23)</f>
        <v>23</v>
      </c>
      <c r="D257" s="9" t="str">
        <f ca="1">IFERROR(__xludf.DUMMYFUNCTION("""COMPUTED_VALUE"""),"")</f>
        <v/>
      </c>
      <c r="E257" s="4" t="str">
        <f ca="1">IFERROR(__xludf.DUMMYFUNCTION("""COMPUTED_VALUE"""),"")</f>
        <v/>
      </c>
      <c r="F257" s="2" t="str">
        <f ca="1">IFERROR(__xludf.DUMMYFUNCTION("""COMPUTED_VALUE"""),"")</f>
        <v/>
      </c>
      <c r="G257" s="2" t="str">
        <f ca="1">IFERROR(__xludf.DUMMYFUNCTION("""COMPUTED_VALUE"""),"GPS: I converted data downloaded from ARGOS using Pinpoint software")</f>
        <v>GPS: I converted data downloaded from ARGOS using Pinpoint software</v>
      </c>
      <c r="H257" s="2" t="str">
        <f ca="1">IFERROR(__xludf.DUMMYFUNCTION("""COMPUTED_VALUE"""),"3D")</f>
        <v>3D</v>
      </c>
      <c r="I257" s="2" t="str">
        <f ca="1">IFERROR(__xludf.DUMMYFUNCTION("""COMPUTED_VALUE"""),"")</f>
        <v/>
      </c>
      <c r="J257" s="2" t="str">
        <f ca="1">IFERROR(__xludf.DUMMYFUNCTION("""COMPUTED_VALUE"""),"")</f>
        <v/>
      </c>
      <c r="K257" s="2" t="str">
        <f ca="1">IFERROR(__xludf.DUMMYFUNCTION("""COMPUTED_VALUE"""),"")</f>
        <v/>
      </c>
      <c r="L257" s="2" t="str">
        <f ca="1">IFERROR(__xludf.DUMMYFUNCTION("""COMPUTED_VALUE"""),"")</f>
        <v/>
      </c>
      <c r="M257" s="5" t="str">
        <f ca="1">IFERROR(__xludf.DUMMYFUNCTION("""COMPUTED_VALUE"""),"")</f>
        <v/>
      </c>
      <c r="N257" s="5" t="str">
        <f ca="1">IFERROR(__xludf.DUMMYFUNCTION("""COMPUTED_VALUE"""),"")</f>
        <v/>
      </c>
      <c r="O257" s="2" t="str">
        <f ca="1">IFERROR(__xludf.DUMMYFUNCTION("""COMPUTED_VALUE"""),"")</f>
        <v/>
      </c>
      <c r="P257" s="2" t="str">
        <f ca="1">IFERROR(__xludf.DUMMYFUNCTION("""COMPUTED_VALUE"""),"")</f>
        <v/>
      </c>
      <c r="Q257" s="2" t="str">
        <f ca="1">IFERROR(__xludf.DUMMYFUNCTION("""COMPUTED_VALUE"""),"")</f>
        <v/>
      </c>
      <c r="R257" s="2" t="str">
        <f ca="1">IFERROR(__xludf.DUMMYFUNCTION("""COMPUTED_VALUE"""),"")</f>
        <v/>
      </c>
      <c r="S257" s="2" t="str">
        <f ca="1">IFERROR(__xludf.DUMMYFUNCTION("""COMPUTED_VALUE"""),"")</f>
        <v/>
      </c>
      <c r="T257" s="2" t="str">
        <f ca="1">IFERROR(__xludf.DUMMYFUNCTION("""COMPUTED_VALUE"""),"")</f>
        <v/>
      </c>
      <c r="U257" s="2" t="str">
        <f ca="1">IFERROR(__xludf.DUMMYFUNCTION("""COMPUTED_VALUE"""),"")</f>
        <v/>
      </c>
      <c r="V257" s="2" t="str">
        <f ca="1">IFERROR(__xludf.DUMMYFUNCTION("""COMPUTED_VALUE"""),"")</f>
        <v/>
      </c>
      <c r="W257" s="2" t="str">
        <f ca="1">IFERROR(__xludf.DUMMYFUNCTION("""COMPUTED_VALUE"""),"")</f>
        <v/>
      </c>
      <c r="X257" s="2" t="str">
        <f ca="1">IFERROR(__xludf.DUMMYFUNCTION("""COMPUTED_VALUE"""),"")</f>
        <v/>
      </c>
      <c r="Y257" s="2" t="str">
        <f ca="1">IFERROR(__xludf.DUMMYFUNCTION("""COMPUTED_VALUE"""),"")</f>
        <v/>
      </c>
      <c r="Z257" s="2" t="str">
        <f ca="1">IFERROR(__xludf.DUMMYFUNCTION("""COMPUTED_VALUE"""),"")</f>
        <v/>
      </c>
      <c r="AA257" s="2" t="str">
        <f ca="1">IFERROR(__xludf.DUMMYFUNCTION("""COMPUTED_VALUE"""),"")</f>
        <v/>
      </c>
      <c r="AB257" s="2" t="str">
        <f ca="1">IFERROR(__xludf.DUMMYFUNCTION("""COMPUTED_VALUE"""),"")</f>
        <v/>
      </c>
      <c r="AC257" s="2" t="str">
        <f ca="1">IFERROR(__xludf.DUMMYFUNCTION("""COMPUTED_VALUE"""),"")</f>
        <v/>
      </c>
      <c r="AD257" s="2" t="str">
        <f ca="1">IFERROR(__xludf.DUMMYFUNCTION("""COMPUTED_VALUE"""),"")</f>
        <v/>
      </c>
      <c r="AE257" s="2" t="str">
        <f ca="1">IFERROR(__xludf.DUMMYFUNCTION("""COMPUTED_VALUE"""),"")</f>
        <v/>
      </c>
      <c r="AF257" s="2" t="str">
        <f ca="1">IFERROR(__xludf.DUMMYFUNCTION("""COMPUTED_VALUE"""),"")</f>
        <v/>
      </c>
      <c r="AG257" s="2" t="str">
        <f ca="1">IFERROR(__xludf.DUMMYFUNCTION("""COMPUTED_VALUE"""),"")</f>
        <v/>
      </c>
      <c r="AH257" s="2" t="str">
        <f ca="1">IFERROR(__xludf.DUMMYFUNCTION("""COMPUTED_VALUE"""),"")</f>
        <v/>
      </c>
      <c r="AI257" s="2" t="str">
        <f ca="1">IFERROR(__xludf.DUMMYFUNCTION("""COMPUTED_VALUE"""),"")</f>
        <v/>
      </c>
      <c r="AJ257" s="2" t="str">
        <f ca="1">IFERROR(__xludf.DUMMYFUNCTION("""COMPUTED_VALUE"""),"")</f>
        <v/>
      </c>
      <c r="AK257" s="2" t="str">
        <f ca="1">IFERROR(__xludf.DUMMYFUNCTION("""COMPUTED_VALUE"""),"")</f>
        <v/>
      </c>
      <c r="AL257" s="2" t="str">
        <f ca="1">IFERROR(__xludf.DUMMYFUNCTION("""COMPUTED_VALUE"""),"")</f>
        <v/>
      </c>
      <c r="AM257" s="2" t="str">
        <f ca="1">IFERROR(__xludf.DUMMYFUNCTION("""COMPUTED_VALUE"""),"")</f>
        <v/>
      </c>
      <c r="AN257" s="2" t="str">
        <f ca="1">IFERROR(__xludf.DUMMYFUNCTION("""COMPUTED_VALUE"""),"")</f>
        <v/>
      </c>
      <c r="AO257" s="2" t="str">
        <f ca="1">IFERROR(__xludf.DUMMYFUNCTION("""COMPUTED_VALUE"""),"")</f>
        <v/>
      </c>
      <c r="AP257" s="2" t="str">
        <f ca="1">IFERROR(__xludf.DUMMYFUNCTION("""COMPUTED_VALUE"""),"")</f>
        <v/>
      </c>
      <c r="AQ257" s="2" t="str">
        <f ca="1">IFERROR(__xludf.DUMMYFUNCTION("""COMPUTED_VALUE"""),"")</f>
        <v/>
      </c>
      <c r="AR257" s="2" t="str">
        <f ca="1">IFERROR(__xludf.DUMMYFUNCTION("""COMPUTED_VALUE"""),"")</f>
        <v/>
      </c>
      <c r="AS257" s="2" t="str">
        <f ca="1">IFERROR(__xludf.DUMMYFUNCTION("""COMPUTED_VALUE"""),"")</f>
        <v/>
      </c>
      <c r="AT257" s="2" t="str">
        <f ca="1">IFERROR(__xludf.DUMMYFUNCTION("""COMPUTED_VALUE"""),"")</f>
        <v/>
      </c>
      <c r="AU257" s="2" t="str">
        <f ca="1">IFERROR(__xludf.DUMMYFUNCTION("""COMPUTED_VALUE"""),"")</f>
        <v/>
      </c>
      <c r="AV257" s="2" t="str">
        <f ca="1">IFERROR(__xludf.DUMMYFUNCTION("""COMPUTED_VALUE"""),"")</f>
        <v/>
      </c>
      <c r="AW257" s="2" t="str">
        <f ca="1">IFERROR(__xludf.DUMMYFUNCTION("""COMPUTED_VALUE"""),"")</f>
        <v/>
      </c>
      <c r="AX257" s="2" t="str">
        <f ca="1">IFERROR(__xludf.DUMMYFUNCTION("""COMPUTED_VALUE"""),"")</f>
        <v/>
      </c>
      <c r="AY257" s="2" t="str">
        <f ca="1">IFERROR(__xludf.DUMMYFUNCTION("""COMPUTED_VALUE"""),"")</f>
        <v/>
      </c>
      <c r="AZ257" s="2" t="str">
        <f ca="1">IFERROR(__xludf.DUMMYFUNCTION("""COMPUTED_VALUE"""),"")</f>
        <v/>
      </c>
      <c r="BA257" s="2" t="str">
        <f ca="1">IFERROR(__xludf.DUMMYFUNCTION("""COMPUTED_VALUE"""),"")</f>
        <v/>
      </c>
      <c r="BB257" s="2" t="str">
        <f ca="1">IFERROR(__xludf.DUMMYFUNCTION("""COMPUTED_VALUE"""),"")</f>
        <v/>
      </c>
      <c r="BC257" s="2" t="str">
        <f ca="1">IFERROR(__xludf.DUMMYFUNCTION("""COMPUTED_VALUE"""),"")</f>
        <v/>
      </c>
      <c r="BD257" s="2" t="str">
        <f ca="1">IFERROR(__xludf.DUMMYFUNCTION("""COMPUTED_VALUE"""),"")</f>
        <v/>
      </c>
      <c r="BE257" s="2" t="str">
        <f ca="1">IFERROR(__xludf.DUMMYFUNCTION("""COMPUTED_VALUE"""),"")</f>
        <v/>
      </c>
      <c r="BF257" t="str">
        <f ca="1">IFERROR(__xludf.DUMMYFUNCTION("""COMPUTED_VALUE"""),"")</f>
        <v/>
      </c>
      <c r="BG257" t="str">
        <f ca="1">IFERROR(__xludf.DUMMYFUNCTION("""COMPUTED_VALUE"""),"")</f>
        <v/>
      </c>
      <c r="BH257" s="2">
        <f ca="1">IFERROR(__xludf.DUMMYFUNCTION("""COMPUTED_VALUE"""),-37.2203407)</f>
        <v>-37.220340700000001</v>
      </c>
      <c r="BI257" s="12">
        <f ca="1">IFERROR(__xludf.DUMMYFUNCTION("""COMPUTED_VALUE"""),175.414566)</f>
        <v>175.41456600000001</v>
      </c>
      <c r="BJ257" s="9">
        <f ca="1">IFERROR(__xludf.DUMMYFUNCTION("""COMPUTED_VALUE"""),43464)</f>
        <v>43464</v>
      </c>
      <c r="BK257" s="4">
        <f ca="1">IFERROR(__xludf.DUMMYFUNCTION("""COMPUTED_VALUE"""),0.457777777777664)</f>
        <v>0.45777777777766399</v>
      </c>
    </row>
    <row r="258" spans="1:63" ht="12.5" x14ac:dyDescent="0.25">
      <c r="A258" s="7" t="str">
        <f ca="1">IFERROR(__xludf.DUMMYFUNCTION("""COMPUTED_VALUE"""),"")</f>
        <v/>
      </c>
      <c r="B258" s="8" t="str">
        <f ca="1">IFERROR(__xludf.DUMMYFUNCTION("""COMPUTED_VALUE"""),"Waikato")</f>
        <v>Waikato</v>
      </c>
      <c r="C258" s="2">
        <f ca="1">IFERROR(__xludf.DUMMYFUNCTION("""COMPUTED_VALUE"""),23)</f>
        <v>23</v>
      </c>
      <c r="D258" s="9" t="str">
        <f ca="1">IFERROR(__xludf.DUMMYFUNCTION("""COMPUTED_VALUE"""),"")</f>
        <v/>
      </c>
      <c r="E258" s="4" t="str">
        <f ca="1">IFERROR(__xludf.DUMMYFUNCTION("""COMPUTED_VALUE"""),"")</f>
        <v/>
      </c>
      <c r="F258" s="2" t="str">
        <f ca="1">IFERROR(__xludf.DUMMYFUNCTION("""COMPUTED_VALUE"""),"")</f>
        <v/>
      </c>
      <c r="G258" s="2" t="str">
        <f ca="1">IFERROR(__xludf.DUMMYFUNCTION("""COMPUTED_VALUE"""),"GPS: I converted data downloaded from ARGOS using Pinpoint software")</f>
        <v>GPS: I converted data downloaded from ARGOS using Pinpoint software</v>
      </c>
      <c r="H258" s="2" t="str">
        <f ca="1">IFERROR(__xludf.DUMMYFUNCTION("""COMPUTED_VALUE"""),"3D")</f>
        <v>3D</v>
      </c>
      <c r="I258" s="2" t="str">
        <f ca="1">IFERROR(__xludf.DUMMYFUNCTION("""COMPUTED_VALUE"""),"")</f>
        <v/>
      </c>
      <c r="J258" s="2" t="str">
        <f ca="1">IFERROR(__xludf.DUMMYFUNCTION("""COMPUTED_VALUE"""),"")</f>
        <v/>
      </c>
      <c r="K258" s="2" t="str">
        <f ca="1">IFERROR(__xludf.DUMMYFUNCTION("""COMPUTED_VALUE"""),"")</f>
        <v/>
      </c>
      <c r="L258" s="2" t="str">
        <f ca="1">IFERROR(__xludf.DUMMYFUNCTION("""COMPUTED_VALUE"""),"")</f>
        <v/>
      </c>
      <c r="M258" s="5" t="str">
        <f ca="1">IFERROR(__xludf.DUMMYFUNCTION("""COMPUTED_VALUE"""),"")</f>
        <v/>
      </c>
      <c r="N258" s="5" t="str">
        <f ca="1">IFERROR(__xludf.DUMMYFUNCTION("""COMPUTED_VALUE"""),"")</f>
        <v/>
      </c>
      <c r="O258" s="2" t="str">
        <f ca="1">IFERROR(__xludf.DUMMYFUNCTION("""COMPUTED_VALUE"""),"")</f>
        <v/>
      </c>
      <c r="P258" s="2" t="str">
        <f ca="1">IFERROR(__xludf.DUMMYFUNCTION("""COMPUTED_VALUE"""),"")</f>
        <v/>
      </c>
      <c r="Q258" s="2" t="str">
        <f ca="1">IFERROR(__xludf.DUMMYFUNCTION("""COMPUTED_VALUE"""),"")</f>
        <v/>
      </c>
      <c r="R258" s="2" t="str">
        <f ca="1">IFERROR(__xludf.DUMMYFUNCTION("""COMPUTED_VALUE"""),"")</f>
        <v/>
      </c>
      <c r="S258" s="2" t="str">
        <f ca="1">IFERROR(__xludf.DUMMYFUNCTION("""COMPUTED_VALUE"""),"")</f>
        <v/>
      </c>
      <c r="T258" s="2" t="str">
        <f ca="1">IFERROR(__xludf.DUMMYFUNCTION("""COMPUTED_VALUE"""),"")</f>
        <v/>
      </c>
      <c r="U258" s="2" t="str">
        <f ca="1">IFERROR(__xludf.DUMMYFUNCTION("""COMPUTED_VALUE"""),"")</f>
        <v/>
      </c>
      <c r="V258" s="2" t="str">
        <f ca="1">IFERROR(__xludf.DUMMYFUNCTION("""COMPUTED_VALUE"""),"")</f>
        <v/>
      </c>
      <c r="W258" s="2" t="str">
        <f ca="1">IFERROR(__xludf.DUMMYFUNCTION("""COMPUTED_VALUE"""),"")</f>
        <v/>
      </c>
      <c r="X258" s="2" t="str">
        <f ca="1">IFERROR(__xludf.DUMMYFUNCTION("""COMPUTED_VALUE"""),"")</f>
        <v/>
      </c>
      <c r="Y258" s="2" t="str">
        <f ca="1">IFERROR(__xludf.DUMMYFUNCTION("""COMPUTED_VALUE"""),"")</f>
        <v/>
      </c>
      <c r="Z258" s="2" t="str">
        <f ca="1">IFERROR(__xludf.DUMMYFUNCTION("""COMPUTED_VALUE"""),"")</f>
        <v/>
      </c>
      <c r="AA258" s="2" t="str">
        <f ca="1">IFERROR(__xludf.DUMMYFUNCTION("""COMPUTED_VALUE"""),"")</f>
        <v/>
      </c>
      <c r="AB258" s="2" t="str">
        <f ca="1">IFERROR(__xludf.DUMMYFUNCTION("""COMPUTED_VALUE"""),"")</f>
        <v/>
      </c>
      <c r="AC258" s="2" t="str">
        <f ca="1">IFERROR(__xludf.DUMMYFUNCTION("""COMPUTED_VALUE"""),"")</f>
        <v/>
      </c>
      <c r="AD258" s="2" t="str">
        <f ca="1">IFERROR(__xludf.DUMMYFUNCTION("""COMPUTED_VALUE"""),"")</f>
        <v/>
      </c>
      <c r="AE258" s="2" t="str">
        <f ca="1">IFERROR(__xludf.DUMMYFUNCTION("""COMPUTED_VALUE"""),"")</f>
        <v/>
      </c>
      <c r="AF258" s="2" t="str">
        <f ca="1">IFERROR(__xludf.DUMMYFUNCTION("""COMPUTED_VALUE"""),"")</f>
        <v/>
      </c>
      <c r="AG258" s="2" t="str">
        <f ca="1">IFERROR(__xludf.DUMMYFUNCTION("""COMPUTED_VALUE"""),"")</f>
        <v/>
      </c>
      <c r="AH258" s="2" t="str">
        <f ca="1">IFERROR(__xludf.DUMMYFUNCTION("""COMPUTED_VALUE"""),"")</f>
        <v/>
      </c>
      <c r="AI258" s="2" t="str">
        <f ca="1">IFERROR(__xludf.DUMMYFUNCTION("""COMPUTED_VALUE"""),"")</f>
        <v/>
      </c>
      <c r="AJ258" s="2" t="str">
        <f ca="1">IFERROR(__xludf.DUMMYFUNCTION("""COMPUTED_VALUE"""),"")</f>
        <v/>
      </c>
      <c r="AK258" s="2" t="str">
        <f ca="1">IFERROR(__xludf.DUMMYFUNCTION("""COMPUTED_VALUE"""),"")</f>
        <v/>
      </c>
      <c r="AL258" s="2" t="str">
        <f ca="1">IFERROR(__xludf.DUMMYFUNCTION("""COMPUTED_VALUE"""),"")</f>
        <v/>
      </c>
      <c r="AM258" s="2" t="str">
        <f ca="1">IFERROR(__xludf.DUMMYFUNCTION("""COMPUTED_VALUE"""),"")</f>
        <v/>
      </c>
      <c r="AN258" s="2" t="str">
        <f ca="1">IFERROR(__xludf.DUMMYFUNCTION("""COMPUTED_VALUE"""),"")</f>
        <v/>
      </c>
      <c r="AO258" s="2" t="str">
        <f ca="1">IFERROR(__xludf.DUMMYFUNCTION("""COMPUTED_VALUE"""),"")</f>
        <v/>
      </c>
      <c r="AP258" s="2" t="str">
        <f ca="1">IFERROR(__xludf.DUMMYFUNCTION("""COMPUTED_VALUE"""),"")</f>
        <v/>
      </c>
      <c r="AQ258" s="2" t="str">
        <f ca="1">IFERROR(__xludf.DUMMYFUNCTION("""COMPUTED_VALUE"""),"")</f>
        <v/>
      </c>
      <c r="AR258" s="2" t="str">
        <f ca="1">IFERROR(__xludf.DUMMYFUNCTION("""COMPUTED_VALUE"""),"")</f>
        <v/>
      </c>
      <c r="AS258" s="2" t="str">
        <f ca="1">IFERROR(__xludf.DUMMYFUNCTION("""COMPUTED_VALUE"""),"")</f>
        <v/>
      </c>
      <c r="AT258" s="2" t="str">
        <f ca="1">IFERROR(__xludf.DUMMYFUNCTION("""COMPUTED_VALUE"""),"")</f>
        <v/>
      </c>
      <c r="AU258" s="2" t="str">
        <f ca="1">IFERROR(__xludf.DUMMYFUNCTION("""COMPUTED_VALUE"""),"")</f>
        <v/>
      </c>
      <c r="AV258" s="2" t="str">
        <f ca="1">IFERROR(__xludf.DUMMYFUNCTION("""COMPUTED_VALUE"""),"")</f>
        <v/>
      </c>
      <c r="AW258" s="2" t="str">
        <f ca="1">IFERROR(__xludf.DUMMYFUNCTION("""COMPUTED_VALUE"""),"")</f>
        <v/>
      </c>
      <c r="AX258" s="2" t="str">
        <f ca="1">IFERROR(__xludf.DUMMYFUNCTION("""COMPUTED_VALUE"""),"")</f>
        <v/>
      </c>
      <c r="AY258" s="2" t="str">
        <f ca="1">IFERROR(__xludf.DUMMYFUNCTION("""COMPUTED_VALUE"""),"")</f>
        <v/>
      </c>
      <c r="AZ258" s="2" t="str">
        <f ca="1">IFERROR(__xludf.DUMMYFUNCTION("""COMPUTED_VALUE"""),"")</f>
        <v/>
      </c>
      <c r="BA258" s="2" t="str">
        <f ca="1">IFERROR(__xludf.DUMMYFUNCTION("""COMPUTED_VALUE"""),"")</f>
        <v/>
      </c>
      <c r="BB258" s="2" t="str">
        <f ca="1">IFERROR(__xludf.DUMMYFUNCTION("""COMPUTED_VALUE"""),"")</f>
        <v/>
      </c>
      <c r="BC258" s="2" t="str">
        <f ca="1">IFERROR(__xludf.DUMMYFUNCTION("""COMPUTED_VALUE"""),"")</f>
        <v/>
      </c>
      <c r="BD258" s="2" t="str">
        <f ca="1">IFERROR(__xludf.DUMMYFUNCTION("""COMPUTED_VALUE"""),"")</f>
        <v/>
      </c>
      <c r="BE258" s="2" t="str">
        <f ca="1">IFERROR(__xludf.DUMMYFUNCTION("""COMPUTED_VALUE"""),"")</f>
        <v/>
      </c>
      <c r="BF258" t="str">
        <f ca="1">IFERROR(__xludf.DUMMYFUNCTION("""COMPUTED_VALUE"""),"")</f>
        <v/>
      </c>
      <c r="BG258" t="str">
        <f ca="1">IFERROR(__xludf.DUMMYFUNCTION("""COMPUTED_VALUE"""),"")</f>
        <v/>
      </c>
      <c r="BH258" s="2">
        <f ca="1">IFERROR(__xludf.DUMMYFUNCTION("""COMPUTED_VALUE"""),-37.2203903)</f>
        <v>-37.220390299999998</v>
      </c>
      <c r="BI258" s="13">
        <f ca="1">IFERROR(__xludf.DUMMYFUNCTION("""COMPUTED_VALUE"""),175.414566)</f>
        <v>175.41456600000001</v>
      </c>
      <c r="BJ258" s="9">
        <f ca="1">IFERROR(__xludf.DUMMYFUNCTION("""COMPUTED_VALUE"""),43464)</f>
        <v>43464</v>
      </c>
      <c r="BK258" s="4">
        <f ca="1">IFERROR(__xludf.DUMMYFUNCTION("""COMPUTED_VALUE"""),0.958518518516939)</f>
        <v>0.95851851851693903</v>
      </c>
    </row>
    <row r="259" spans="1:63" ht="12.5" x14ac:dyDescent="0.25">
      <c r="A259" s="7" t="str">
        <f ca="1">IFERROR(__xludf.DUMMYFUNCTION("""COMPUTED_VALUE"""),"")</f>
        <v/>
      </c>
      <c r="B259" s="8" t="str">
        <f ca="1">IFERROR(__xludf.DUMMYFUNCTION("""COMPUTED_VALUE"""),"Waikato")</f>
        <v>Waikato</v>
      </c>
      <c r="C259" s="2">
        <f ca="1">IFERROR(__xludf.DUMMYFUNCTION("""COMPUTED_VALUE"""),23)</f>
        <v>23</v>
      </c>
      <c r="D259" s="9" t="str">
        <f ca="1">IFERROR(__xludf.DUMMYFUNCTION("""COMPUTED_VALUE"""),"")</f>
        <v/>
      </c>
      <c r="E259" s="4" t="str">
        <f ca="1">IFERROR(__xludf.DUMMYFUNCTION("""COMPUTED_VALUE"""),"")</f>
        <v/>
      </c>
      <c r="F259" s="2" t="str">
        <f ca="1">IFERROR(__xludf.DUMMYFUNCTION("""COMPUTED_VALUE"""),"")</f>
        <v/>
      </c>
      <c r="G259" s="2" t="str">
        <f ca="1">IFERROR(__xludf.DUMMYFUNCTION("""COMPUTED_VALUE"""),"GPS: I converted data downloaded from ARGOS using Pinpoint software")</f>
        <v>GPS: I converted data downloaded from ARGOS using Pinpoint software</v>
      </c>
      <c r="H259" s="2" t="str">
        <f ca="1">IFERROR(__xludf.DUMMYFUNCTION("""COMPUTED_VALUE"""),"3D")</f>
        <v>3D</v>
      </c>
      <c r="I259" s="2" t="str">
        <f ca="1">IFERROR(__xludf.DUMMYFUNCTION("""COMPUTED_VALUE"""),"")</f>
        <v/>
      </c>
      <c r="J259" s="2" t="str">
        <f ca="1">IFERROR(__xludf.DUMMYFUNCTION("""COMPUTED_VALUE"""),"")</f>
        <v/>
      </c>
      <c r="K259" s="2" t="str">
        <f ca="1">IFERROR(__xludf.DUMMYFUNCTION("""COMPUTED_VALUE"""),"")</f>
        <v/>
      </c>
      <c r="L259" s="2" t="str">
        <f ca="1">IFERROR(__xludf.DUMMYFUNCTION("""COMPUTED_VALUE"""),"")</f>
        <v/>
      </c>
      <c r="M259" s="5" t="str">
        <f ca="1">IFERROR(__xludf.DUMMYFUNCTION("""COMPUTED_VALUE"""),"")</f>
        <v/>
      </c>
      <c r="N259" s="5" t="str">
        <f ca="1">IFERROR(__xludf.DUMMYFUNCTION("""COMPUTED_VALUE"""),"")</f>
        <v/>
      </c>
      <c r="O259" s="2" t="str">
        <f ca="1">IFERROR(__xludf.DUMMYFUNCTION("""COMPUTED_VALUE"""),"")</f>
        <v/>
      </c>
      <c r="P259" s="2" t="str">
        <f ca="1">IFERROR(__xludf.DUMMYFUNCTION("""COMPUTED_VALUE"""),"")</f>
        <v/>
      </c>
      <c r="Q259" s="2" t="str">
        <f ca="1">IFERROR(__xludf.DUMMYFUNCTION("""COMPUTED_VALUE"""),"")</f>
        <v/>
      </c>
      <c r="R259" s="2" t="str">
        <f ca="1">IFERROR(__xludf.DUMMYFUNCTION("""COMPUTED_VALUE"""),"")</f>
        <v/>
      </c>
      <c r="S259" s="2" t="str">
        <f ca="1">IFERROR(__xludf.DUMMYFUNCTION("""COMPUTED_VALUE"""),"")</f>
        <v/>
      </c>
      <c r="T259" s="2" t="str">
        <f ca="1">IFERROR(__xludf.DUMMYFUNCTION("""COMPUTED_VALUE"""),"")</f>
        <v/>
      </c>
      <c r="U259" s="2" t="str">
        <f ca="1">IFERROR(__xludf.DUMMYFUNCTION("""COMPUTED_VALUE"""),"")</f>
        <v/>
      </c>
      <c r="V259" s="2" t="str">
        <f ca="1">IFERROR(__xludf.DUMMYFUNCTION("""COMPUTED_VALUE"""),"")</f>
        <v/>
      </c>
      <c r="W259" s="2" t="str">
        <f ca="1">IFERROR(__xludf.DUMMYFUNCTION("""COMPUTED_VALUE"""),"")</f>
        <v/>
      </c>
      <c r="X259" s="2" t="str">
        <f ca="1">IFERROR(__xludf.DUMMYFUNCTION("""COMPUTED_VALUE"""),"")</f>
        <v/>
      </c>
      <c r="Y259" s="2" t="str">
        <f ca="1">IFERROR(__xludf.DUMMYFUNCTION("""COMPUTED_VALUE"""),"")</f>
        <v/>
      </c>
      <c r="Z259" s="2" t="str">
        <f ca="1">IFERROR(__xludf.DUMMYFUNCTION("""COMPUTED_VALUE"""),"")</f>
        <v/>
      </c>
      <c r="AA259" s="2" t="str">
        <f ca="1">IFERROR(__xludf.DUMMYFUNCTION("""COMPUTED_VALUE"""),"")</f>
        <v/>
      </c>
      <c r="AB259" s="2" t="str">
        <f ca="1">IFERROR(__xludf.DUMMYFUNCTION("""COMPUTED_VALUE"""),"")</f>
        <v/>
      </c>
      <c r="AC259" s="2" t="str">
        <f ca="1">IFERROR(__xludf.DUMMYFUNCTION("""COMPUTED_VALUE"""),"")</f>
        <v/>
      </c>
      <c r="AD259" s="2" t="str">
        <f ca="1">IFERROR(__xludf.DUMMYFUNCTION("""COMPUTED_VALUE"""),"")</f>
        <v/>
      </c>
      <c r="AE259" s="2" t="str">
        <f ca="1">IFERROR(__xludf.DUMMYFUNCTION("""COMPUTED_VALUE"""),"")</f>
        <v/>
      </c>
      <c r="AF259" s="2" t="str">
        <f ca="1">IFERROR(__xludf.DUMMYFUNCTION("""COMPUTED_VALUE"""),"")</f>
        <v/>
      </c>
      <c r="AG259" s="2" t="str">
        <f ca="1">IFERROR(__xludf.DUMMYFUNCTION("""COMPUTED_VALUE"""),"")</f>
        <v/>
      </c>
      <c r="AH259" s="2" t="str">
        <f ca="1">IFERROR(__xludf.DUMMYFUNCTION("""COMPUTED_VALUE"""),"")</f>
        <v/>
      </c>
      <c r="AI259" s="2" t="str">
        <f ca="1">IFERROR(__xludf.DUMMYFUNCTION("""COMPUTED_VALUE"""),"")</f>
        <v/>
      </c>
      <c r="AJ259" s="2" t="str">
        <f ca="1">IFERROR(__xludf.DUMMYFUNCTION("""COMPUTED_VALUE"""),"")</f>
        <v/>
      </c>
      <c r="AK259" s="2" t="str">
        <f ca="1">IFERROR(__xludf.DUMMYFUNCTION("""COMPUTED_VALUE"""),"")</f>
        <v/>
      </c>
      <c r="AL259" s="2" t="str">
        <f ca="1">IFERROR(__xludf.DUMMYFUNCTION("""COMPUTED_VALUE"""),"")</f>
        <v/>
      </c>
      <c r="AM259" s="2" t="str">
        <f ca="1">IFERROR(__xludf.DUMMYFUNCTION("""COMPUTED_VALUE"""),"")</f>
        <v/>
      </c>
      <c r="AN259" s="2" t="str">
        <f ca="1">IFERROR(__xludf.DUMMYFUNCTION("""COMPUTED_VALUE"""),"")</f>
        <v/>
      </c>
      <c r="AO259" s="2" t="str">
        <f ca="1">IFERROR(__xludf.DUMMYFUNCTION("""COMPUTED_VALUE"""),"")</f>
        <v/>
      </c>
      <c r="AP259" s="2" t="str">
        <f ca="1">IFERROR(__xludf.DUMMYFUNCTION("""COMPUTED_VALUE"""),"")</f>
        <v/>
      </c>
      <c r="AQ259" s="2" t="str">
        <f ca="1">IFERROR(__xludf.DUMMYFUNCTION("""COMPUTED_VALUE"""),"")</f>
        <v/>
      </c>
      <c r="AR259" s="2" t="str">
        <f ca="1">IFERROR(__xludf.DUMMYFUNCTION("""COMPUTED_VALUE"""),"")</f>
        <v/>
      </c>
      <c r="AS259" s="2" t="str">
        <f ca="1">IFERROR(__xludf.DUMMYFUNCTION("""COMPUTED_VALUE"""),"")</f>
        <v/>
      </c>
      <c r="AT259" s="2" t="str">
        <f ca="1">IFERROR(__xludf.DUMMYFUNCTION("""COMPUTED_VALUE"""),"")</f>
        <v/>
      </c>
      <c r="AU259" s="2" t="str">
        <f ca="1">IFERROR(__xludf.DUMMYFUNCTION("""COMPUTED_VALUE"""),"")</f>
        <v/>
      </c>
      <c r="AV259" s="2" t="str">
        <f ca="1">IFERROR(__xludf.DUMMYFUNCTION("""COMPUTED_VALUE"""),"")</f>
        <v/>
      </c>
      <c r="AW259" s="2" t="str">
        <f ca="1">IFERROR(__xludf.DUMMYFUNCTION("""COMPUTED_VALUE"""),"")</f>
        <v/>
      </c>
      <c r="AX259" s="2" t="str">
        <f ca="1">IFERROR(__xludf.DUMMYFUNCTION("""COMPUTED_VALUE"""),"")</f>
        <v/>
      </c>
      <c r="AY259" s="2" t="str">
        <f ca="1">IFERROR(__xludf.DUMMYFUNCTION("""COMPUTED_VALUE"""),"")</f>
        <v/>
      </c>
      <c r="AZ259" s="2" t="str">
        <f ca="1">IFERROR(__xludf.DUMMYFUNCTION("""COMPUTED_VALUE"""),"")</f>
        <v/>
      </c>
      <c r="BA259" s="2" t="str">
        <f ca="1">IFERROR(__xludf.DUMMYFUNCTION("""COMPUTED_VALUE"""),"")</f>
        <v/>
      </c>
      <c r="BB259" s="2" t="str">
        <f ca="1">IFERROR(__xludf.DUMMYFUNCTION("""COMPUTED_VALUE"""),"")</f>
        <v/>
      </c>
      <c r="BC259" s="2" t="str">
        <f ca="1">IFERROR(__xludf.DUMMYFUNCTION("""COMPUTED_VALUE"""),"")</f>
        <v/>
      </c>
      <c r="BD259" s="2" t="str">
        <f ca="1">IFERROR(__xludf.DUMMYFUNCTION("""COMPUTED_VALUE"""),"")</f>
        <v/>
      </c>
      <c r="BE259" s="2" t="str">
        <f ca="1">IFERROR(__xludf.DUMMYFUNCTION("""COMPUTED_VALUE"""),"")</f>
        <v/>
      </c>
      <c r="BF259" t="str">
        <f ca="1">IFERROR(__xludf.DUMMYFUNCTION("""COMPUTED_VALUE"""),"")</f>
        <v/>
      </c>
      <c r="BG259" t="str">
        <f ca="1">IFERROR(__xludf.DUMMYFUNCTION("""COMPUTED_VALUE"""),"")</f>
        <v/>
      </c>
      <c r="BH259" s="2">
        <f ca="1">IFERROR(__xludf.DUMMYFUNCTION("""COMPUTED_VALUE"""),-37.220314)</f>
        <v>-37.220314000000002</v>
      </c>
      <c r="BI259" s="12">
        <f ca="1">IFERROR(__xludf.DUMMYFUNCTION("""COMPUTED_VALUE"""),175.414566)</f>
        <v>175.41456600000001</v>
      </c>
      <c r="BJ259" s="9">
        <f ca="1">IFERROR(__xludf.DUMMYFUNCTION("""COMPUTED_VALUE"""),43466)</f>
        <v>43466</v>
      </c>
      <c r="BK259" s="4">
        <f ca="1">IFERROR(__xludf.DUMMYFUNCTION("""COMPUTED_VALUE"""),0.457777777777664)</f>
        <v>0.45777777777766399</v>
      </c>
    </row>
    <row r="260" spans="1:63" ht="12.5" x14ac:dyDescent="0.25">
      <c r="A260" s="7" t="str">
        <f ca="1">IFERROR(__xludf.DUMMYFUNCTION("""COMPUTED_VALUE"""),"")</f>
        <v/>
      </c>
      <c r="B260" s="8" t="str">
        <f ca="1">IFERROR(__xludf.DUMMYFUNCTION("""COMPUTED_VALUE"""),"Waikato")</f>
        <v>Waikato</v>
      </c>
      <c r="C260" s="2">
        <f ca="1">IFERROR(__xludf.DUMMYFUNCTION("""COMPUTED_VALUE"""),23)</f>
        <v>23</v>
      </c>
      <c r="D260" s="9" t="str">
        <f ca="1">IFERROR(__xludf.DUMMYFUNCTION("""COMPUTED_VALUE"""),"")</f>
        <v/>
      </c>
      <c r="E260" s="4" t="str">
        <f ca="1">IFERROR(__xludf.DUMMYFUNCTION("""COMPUTED_VALUE"""),"")</f>
        <v/>
      </c>
      <c r="F260" s="2" t="str">
        <f ca="1">IFERROR(__xludf.DUMMYFUNCTION("""COMPUTED_VALUE"""),"")</f>
        <v/>
      </c>
      <c r="G260" s="2" t="str">
        <f ca="1">IFERROR(__xludf.DUMMYFUNCTION("""COMPUTED_VALUE"""),"GPS: I converted data downloaded from ARGOS using Pinpoint software")</f>
        <v>GPS: I converted data downloaded from ARGOS using Pinpoint software</v>
      </c>
      <c r="H260" s="2" t="str">
        <f ca="1">IFERROR(__xludf.DUMMYFUNCTION("""COMPUTED_VALUE"""),"3D")</f>
        <v>3D</v>
      </c>
      <c r="I260" s="2" t="str">
        <f ca="1">IFERROR(__xludf.DUMMYFUNCTION("""COMPUTED_VALUE"""),"")</f>
        <v/>
      </c>
      <c r="J260" s="2" t="str">
        <f ca="1">IFERROR(__xludf.DUMMYFUNCTION("""COMPUTED_VALUE"""),"")</f>
        <v/>
      </c>
      <c r="K260" s="2" t="str">
        <f ca="1">IFERROR(__xludf.DUMMYFUNCTION("""COMPUTED_VALUE"""),"")</f>
        <v/>
      </c>
      <c r="L260" s="2" t="str">
        <f ca="1">IFERROR(__xludf.DUMMYFUNCTION("""COMPUTED_VALUE"""),"")</f>
        <v/>
      </c>
      <c r="M260" s="5" t="str">
        <f ca="1">IFERROR(__xludf.DUMMYFUNCTION("""COMPUTED_VALUE"""),"")</f>
        <v/>
      </c>
      <c r="N260" s="5" t="str">
        <f ca="1">IFERROR(__xludf.DUMMYFUNCTION("""COMPUTED_VALUE"""),"")</f>
        <v/>
      </c>
      <c r="O260" s="2" t="str">
        <f ca="1">IFERROR(__xludf.DUMMYFUNCTION("""COMPUTED_VALUE"""),"")</f>
        <v/>
      </c>
      <c r="P260" s="2" t="str">
        <f ca="1">IFERROR(__xludf.DUMMYFUNCTION("""COMPUTED_VALUE"""),"")</f>
        <v/>
      </c>
      <c r="Q260" s="2" t="str">
        <f ca="1">IFERROR(__xludf.DUMMYFUNCTION("""COMPUTED_VALUE"""),"")</f>
        <v/>
      </c>
      <c r="R260" s="2" t="str">
        <f ca="1">IFERROR(__xludf.DUMMYFUNCTION("""COMPUTED_VALUE"""),"")</f>
        <v/>
      </c>
      <c r="S260" s="2" t="str">
        <f ca="1">IFERROR(__xludf.DUMMYFUNCTION("""COMPUTED_VALUE"""),"")</f>
        <v/>
      </c>
      <c r="T260" s="2" t="str">
        <f ca="1">IFERROR(__xludf.DUMMYFUNCTION("""COMPUTED_VALUE"""),"")</f>
        <v/>
      </c>
      <c r="U260" s="2" t="str">
        <f ca="1">IFERROR(__xludf.DUMMYFUNCTION("""COMPUTED_VALUE"""),"")</f>
        <v/>
      </c>
      <c r="V260" s="2" t="str">
        <f ca="1">IFERROR(__xludf.DUMMYFUNCTION("""COMPUTED_VALUE"""),"")</f>
        <v/>
      </c>
      <c r="W260" s="2" t="str">
        <f ca="1">IFERROR(__xludf.DUMMYFUNCTION("""COMPUTED_VALUE"""),"")</f>
        <v/>
      </c>
      <c r="X260" s="2" t="str">
        <f ca="1">IFERROR(__xludf.DUMMYFUNCTION("""COMPUTED_VALUE"""),"")</f>
        <v/>
      </c>
      <c r="Y260" s="2" t="str">
        <f ca="1">IFERROR(__xludf.DUMMYFUNCTION("""COMPUTED_VALUE"""),"")</f>
        <v/>
      </c>
      <c r="Z260" s="2" t="str">
        <f ca="1">IFERROR(__xludf.DUMMYFUNCTION("""COMPUTED_VALUE"""),"")</f>
        <v/>
      </c>
      <c r="AA260" s="2" t="str">
        <f ca="1">IFERROR(__xludf.DUMMYFUNCTION("""COMPUTED_VALUE"""),"")</f>
        <v/>
      </c>
      <c r="AB260" s="2" t="str">
        <f ca="1">IFERROR(__xludf.DUMMYFUNCTION("""COMPUTED_VALUE"""),"")</f>
        <v/>
      </c>
      <c r="AC260" s="2" t="str">
        <f ca="1">IFERROR(__xludf.DUMMYFUNCTION("""COMPUTED_VALUE"""),"")</f>
        <v/>
      </c>
      <c r="AD260" s="2" t="str">
        <f ca="1">IFERROR(__xludf.DUMMYFUNCTION("""COMPUTED_VALUE"""),"")</f>
        <v/>
      </c>
      <c r="AE260" s="2" t="str">
        <f ca="1">IFERROR(__xludf.DUMMYFUNCTION("""COMPUTED_VALUE"""),"")</f>
        <v/>
      </c>
      <c r="AF260" s="2" t="str">
        <f ca="1">IFERROR(__xludf.DUMMYFUNCTION("""COMPUTED_VALUE"""),"")</f>
        <v/>
      </c>
      <c r="AG260" s="2" t="str">
        <f ca="1">IFERROR(__xludf.DUMMYFUNCTION("""COMPUTED_VALUE"""),"")</f>
        <v/>
      </c>
      <c r="AH260" s="2" t="str">
        <f ca="1">IFERROR(__xludf.DUMMYFUNCTION("""COMPUTED_VALUE"""),"")</f>
        <v/>
      </c>
      <c r="AI260" s="2" t="str">
        <f ca="1">IFERROR(__xludf.DUMMYFUNCTION("""COMPUTED_VALUE"""),"")</f>
        <v/>
      </c>
      <c r="AJ260" s="2" t="str">
        <f ca="1">IFERROR(__xludf.DUMMYFUNCTION("""COMPUTED_VALUE"""),"")</f>
        <v/>
      </c>
      <c r="AK260" s="2" t="str">
        <f ca="1">IFERROR(__xludf.DUMMYFUNCTION("""COMPUTED_VALUE"""),"")</f>
        <v/>
      </c>
      <c r="AL260" s="2" t="str">
        <f ca="1">IFERROR(__xludf.DUMMYFUNCTION("""COMPUTED_VALUE"""),"")</f>
        <v/>
      </c>
      <c r="AM260" s="2" t="str">
        <f ca="1">IFERROR(__xludf.DUMMYFUNCTION("""COMPUTED_VALUE"""),"")</f>
        <v/>
      </c>
      <c r="AN260" s="2" t="str">
        <f ca="1">IFERROR(__xludf.DUMMYFUNCTION("""COMPUTED_VALUE"""),"")</f>
        <v/>
      </c>
      <c r="AO260" s="2" t="str">
        <f ca="1">IFERROR(__xludf.DUMMYFUNCTION("""COMPUTED_VALUE"""),"")</f>
        <v/>
      </c>
      <c r="AP260" s="2" t="str">
        <f ca="1">IFERROR(__xludf.DUMMYFUNCTION("""COMPUTED_VALUE"""),"")</f>
        <v/>
      </c>
      <c r="AQ260" s="2" t="str">
        <f ca="1">IFERROR(__xludf.DUMMYFUNCTION("""COMPUTED_VALUE"""),"")</f>
        <v/>
      </c>
      <c r="AR260" s="2" t="str">
        <f ca="1">IFERROR(__xludf.DUMMYFUNCTION("""COMPUTED_VALUE"""),"")</f>
        <v/>
      </c>
      <c r="AS260" s="2" t="str">
        <f ca="1">IFERROR(__xludf.DUMMYFUNCTION("""COMPUTED_VALUE"""),"")</f>
        <v/>
      </c>
      <c r="AT260" s="2" t="str">
        <f ca="1">IFERROR(__xludf.DUMMYFUNCTION("""COMPUTED_VALUE"""),"")</f>
        <v/>
      </c>
      <c r="AU260" s="2" t="str">
        <f ca="1">IFERROR(__xludf.DUMMYFUNCTION("""COMPUTED_VALUE"""),"")</f>
        <v/>
      </c>
      <c r="AV260" s="2" t="str">
        <f ca="1">IFERROR(__xludf.DUMMYFUNCTION("""COMPUTED_VALUE"""),"")</f>
        <v/>
      </c>
      <c r="AW260" s="2" t="str">
        <f ca="1">IFERROR(__xludf.DUMMYFUNCTION("""COMPUTED_VALUE"""),"")</f>
        <v/>
      </c>
      <c r="AX260" s="2" t="str">
        <f ca="1">IFERROR(__xludf.DUMMYFUNCTION("""COMPUTED_VALUE"""),"")</f>
        <v/>
      </c>
      <c r="AY260" s="2" t="str">
        <f ca="1">IFERROR(__xludf.DUMMYFUNCTION("""COMPUTED_VALUE"""),"")</f>
        <v/>
      </c>
      <c r="AZ260" s="2" t="str">
        <f ca="1">IFERROR(__xludf.DUMMYFUNCTION("""COMPUTED_VALUE"""),"")</f>
        <v/>
      </c>
      <c r="BA260" s="2" t="str">
        <f ca="1">IFERROR(__xludf.DUMMYFUNCTION("""COMPUTED_VALUE"""),"")</f>
        <v/>
      </c>
      <c r="BB260" s="2" t="str">
        <f ca="1">IFERROR(__xludf.DUMMYFUNCTION("""COMPUTED_VALUE"""),"")</f>
        <v/>
      </c>
      <c r="BC260" s="2" t="str">
        <f ca="1">IFERROR(__xludf.DUMMYFUNCTION("""COMPUTED_VALUE"""),"")</f>
        <v/>
      </c>
      <c r="BD260" s="2" t="str">
        <f ca="1">IFERROR(__xludf.DUMMYFUNCTION("""COMPUTED_VALUE"""),"")</f>
        <v/>
      </c>
      <c r="BE260" s="2" t="str">
        <f ca="1">IFERROR(__xludf.DUMMYFUNCTION("""COMPUTED_VALUE"""),"")</f>
        <v/>
      </c>
      <c r="BF260" t="str">
        <f ca="1">IFERROR(__xludf.DUMMYFUNCTION("""COMPUTED_VALUE"""),"")</f>
        <v/>
      </c>
      <c r="BG260" t="str">
        <f ca="1">IFERROR(__xludf.DUMMYFUNCTION("""COMPUTED_VALUE"""),"")</f>
        <v/>
      </c>
      <c r="BH260" s="2">
        <f ca="1">IFERROR(__xludf.DUMMYFUNCTION("""COMPUTED_VALUE"""),-37.220314)</f>
        <v>-37.220314000000002</v>
      </c>
      <c r="BI260" s="13">
        <f ca="1">IFERROR(__xludf.DUMMYFUNCTION("""COMPUTED_VALUE"""),175.414566)</f>
        <v>175.41456600000001</v>
      </c>
      <c r="BJ260" s="9">
        <f ca="1">IFERROR(__xludf.DUMMYFUNCTION("""COMPUTED_VALUE"""),43469)</f>
        <v>43469</v>
      </c>
      <c r="BK260" s="4">
        <f ca="1">IFERROR(__xludf.DUMMYFUNCTION("""COMPUTED_VALUE"""),0.874074074072268)</f>
        <v>0.874074074072268</v>
      </c>
    </row>
    <row r="261" spans="1:63" ht="12.5" x14ac:dyDescent="0.25">
      <c r="A261" s="7" t="str">
        <f ca="1">IFERROR(__xludf.DUMMYFUNCTION("""COMPUTED_VALUE"""),"")</f>
        <v/>
      </c>
      <c r="B261" s="8" t="str">
        <f ca="1">IFERROR(__xludf.DUMMYFUNCTION("""COMPUTED_VALUE"""),"Waikato")</f>
        <v>Waikato</v>
      </c>
      <c r="C261" s="2">
        <f ca="1">IFERROR(__xludf.DUMMYFUNCTION("""COMPUTED_VALUE"""),23)</f>
        <v>23</v>
      </c>
      <c r="D261" s="9" t="str">
        <f ca="1">IFERROR(__xludf.DUMMYFUNCTION("""COMPUTED_VALUE"""),"")</f>
        <v/>
      </c>
      <c r="E261" s="4" t="str">
        <f ca="1">IFERROR(__xludf.DUMMYFUNCTION("""COMPUTED_VALUE"""),"")</f>
        <v/>
      </c>
      <c r="F261" s="2" t="str">
        <f ca="1">IFERROR(__xludf.DUMMYFUNCTION("""COMPUTED_VALUE"""),"")</f>
        <v/>
      </c>
      <c r="G261" s="2" t="str">
        <f ca="1">IFERROR(__xludf.DUMMYFUNCTION("""COMPUTED_VALUE"""),"GPS: I converted data downloaded from ARGOS using Pinpoint software")</f>
        <v>GPS: I converted data downloaded from ARGOS using Pinpoint software</v>
      </c>
      <c r="H261" s="2" t="str">
        <f ca="1">IFERROR(__xludf.DUMMYFUNCTION("""COMPUTED_VALUE"""),"3D")</f>
        <v>3D</v>
      </c>
      <c r="I261" s="2" t="str">
        <f ca="1">IFERROR(__xludf.DUMMYFUNCTION("""COMPUTED_VALUE"""),"")</f>
        <v/>
      </c>
      <c r="J261" s="2" t="str">
        <f ca="1">IFERROR(__xludf.DUMMYFUNCTION("""COMPUTED_VALUE"""),"")</f>
        <v/>
      </c>
      <c r="K261" s="2" t="str">
        <f ca="1">IFERROR(__xludf.DUMMYFUNCTION("""COMPUTED_VALUE"""),"")</f>
        <v/>
      </c>
      <c r="L261" s="2" t="str">
        <f ca="1">IFERROR(__xludf.DUMMYFUNCTION("""COMPUTED_VALUE"""),"")</f>
        <v/>
      </c>
      <c r="M261" s="5" t="str">
        <f ca="1">IFERROR(__xludf.DUMMYFUNCTION("""COMPUTED_VALUE"""),"")</f>
        <v/>
      </c>
      <c r="N261" s="5" t="str">
        <f ca="1">IFERROR(__xludf.DUMMYFUNCTION("""COMPUTED_VALUE"""),"")</f>
        <v/>
      </c>
      <c r="O261" s="2" t="str">
        <f ca="1">IFERROR(__xludf.DUMMYFUNCTION("""COMPUTED_VALUE"""),"")</f>
        <v/>
      </c>
      <c r="P261" s="2" t="str">
        <f ca="1">IFERROR(__xludf.DUMMYFUNCTION("""COMPUTED_VALUE"""),"")</f>
        <v/>
      </c>
      <c r="Q261" s="2" t="str">
        <f ca="1">IFERROR(__xludf.DUMMYFUNCTION("""COMPUTED_VALUE"""),"")</f>
        <v/>
      </c>
      <c r="R261" s="2" t="str">
        <f ca="1">IFERROR(__xludf.DUMMYFUNCTION("""COMPUTED_VALUE"""),"")</f>
        <v/>
      </c>
      <c r="S261" s="2" t="str">
        <f ca="1">IFERROR(__xludf.DUMMYFUNCTION("""COMPUTED_VALUE"""),"")</f>
        <v/>
      </c>
      <c r="T261" s="2" t="str">
        <f ca="1">IFERROR(__xludf.DUMMYFUNCTION("""COMPUTED_VALUE"""),"")</f>
        <v/>
      </c>
      <c r="U261" s="2" t="str">
        <f ca="1">IFERROR(__xludf.DUMMYFUNCTION("""COMPUTED_VALUE"""),"")</f>
        <v/>
      </c>
      <c r="V261" s="2" t="str">
        <f ca="1">IFERROR(__xludf.DUMMYFUNCTION("""COMPUTED_VALUE"""),"")</f>
        <v/>
      </c>
      <c r="W261" s="2" t="str">
        <f ca="1">IFERROR(__xludf.DUMMYFUNCTION("""COMPUTED_VALUE"""),"")</f>
        <v/>
      </c>
      <c r="X261" s="2" t="str">
        <f ca="1">IFERROR(__xludf.DUMMYFUNCTION("""COMPUTED_VALUE"""),"")</f>
        <v/>
      </c>
      <c r="Y261" s="2" t="str">
        <f ca="1">IFERROR(__xludf.DUMMYFUNCTION("""COMPUTED_VALUE"""),"")</f>
        <v/>
      </c>
      <c r="Z261" s="2" t="str">
        <f ca="1">IFERROR(__xludf.DUMMYFUNCTION("""COMPUTED_VALUE"""),"")</f>
        <v/>
      </c>
      <c r="AA261" s="2" t="str">
        <f ca="1">IFERROR(__xludf.DUMMYFUNCTION("""COMPUTED_VALUE"""),"")</f>
        <v/>
      </c>
      <c r="AB261" s="2" t="str">
        <f ca="1">IFERROR(__xludf.DUMMYFUNCTION("""COMPUTED_VALUE"""),"")</f>
        <v/>
      </c>
      <c r="AC261" s="2" t="str">
        <f ca="1">IFERROR(__xludf.DUMMYFUNCTION("""COMPUTED_VALUE"""),"")</f>
        <v/>
      </c>
      <c r="AD261" s="2" t="str">
        <f ca="1">IFERROR(__xludf.DUMMYFUNCTION("""COMPUTED_VALUE"""),"")</f>
        <v/>
      </c>
      <c r="AE261" s="2" t="str">
        <f ca="1">IFERROR(__xludf.DUMMYFUNCTION("""COMPUTED_VALUE"""),"")</f>
        <v/>
      </c>
      <c r="AF261" s="2" t="str">
        <f ca="1">IFERROR(__xludf.DUMMYFUNCTION("""COMPUTED_VALUE"""),"")</f>
        <v/>
      </c>
      <c r="AG261" s="2" t="str">
        <f ca="1">IFERROR(__xludf.DUMMYFUNCTION("""COMPUTED_VALUE"""),"")</f>
        <v/>
      </c>
      <c r="AH261" s="2" t="str">
        <f ca="1">IFERROR(__xludf.DUMMYFUNCTION("""COMPUTED_VALUE"""),"")</f>
        <v/>
      </c>
      <c r="AI261" s="2" t="str">
        <f ca="1">IFERROR(__xludf.DUMMYFUNCTION("""COMPUTED_VALUE"""),"")</f>
        <v/>
      </c>
      <c r="AJ261" s="2" t="str">
        <f ca="1">IFERROR(__xludf.DUMMYFUNCTION("""COMPUTED_VALUE"""),"")</f>
        <v/>
      </c>
      <c r="AK261" s="2" t="str">
        <f ca="1">IFERROR(__xludf.DUMMYFUNCTION("""COMPUTED_VALUE"""),"")</f>
        <v/>
      </c>
      <c r="AL261" s="2" t="str">
        <f ca="1">IFERROR(__xludf.DUMMYFUNCTION("""COMPUTED_VALUE"""),"")</f>
        <v/>
      </c>
      <c r="AM261" s="2" t="str">
        <f ca="1">IFERROR(__xludf.DUMMYFUNCTION("""COMPUTED_VALUE"""),"")</f>
        <v/>
      </c>
      <c r="AN261" s="2" t="str">
        <f ca="1">IFERROR(__xludf.DUMMYFUNCTION("""COMPUTED_VALUE"""),"")</f>
        <v/>
      </c>
      <c r="AO261" s="2" t="str">
        <f ca="1">IFERROR(__xludf.DUMMYFUNCTION("""COMPUTED_VALUE"""),"")</f>
        <v/>
      </c>
      <c r="AP261" s="2" t="str">
        <f ca="1">IFERROR(__xludf.DUMMYFUNCTION("""COMPUTED_VALUE"""),"")</f>
        <v/>
      </c>
      <c r="AQ261" s="2" t="str">
        <f ca="1">IFERROR(__xludf.DUMMYFUNCTION("""COMPUTED_VALUE"""),"")</f>
        <v/>
      </c>
      <c r="AR261" s="2" t="str">
        <f ca="1">IFERROR(__xludf.DUMMYFUNCTION("""COMPUTED_VALUE"""),"")</f>
        <v/>
      </c>
      <c r="AS261" s="2" t="str">
        <f ca="1">IFERROR(__xludf.DUMMYFUNCTION("""COMPUTED_VALUE"""),"")</f>
        <v/>
      </c>
      <c r="AT261" s="2" t="str">
        <f ca="1">IFERROR(__xludf.DUMMYFUNCTION("""COMPUTED_VALUE"""),"")</f>
        <v/>
      </c>
      <c r="AU261" s="2" t="str">
        <f ca="1">IFERROR(__xludf.DUMMYFUNCTION("""COMPUTED_VALUE"""),"")</f>
        <v/>
      </c>
      <c r="AV261" s="2" t="str">
        <f ca="1">IFERROR(__xludf.DUMMYFUNCTION("""COMPUTED_VALUE"""),"")</f>
        <v/>
      </c>
      <c r="AW261" s="2" t="str">
        <f ca="1">IFERROR(__xludf.DUMMYFUNCTION("""COMPUTED_VALUE"""),"")</f>
        <v/>
      </c>
      <c r="AX261" s="2" t="str">
        <f ca="1">IFERROR(__xludf.DUMMYFUNCTION("""COMPUTED_VALUE"""),"")</f>
        <v/>
      </c>
      <c r="AY261" s="2" t="str">
        <f ca="1">IFERROR(__xludf.DUMMYFUNCTION("""COMPUTED_VALUE"""),"")</f>
        <v/>
      </c>
      <c r="AZ261" s="2" t="str">
        <f ca="1">IFERROR(__xludf.DUMMYFUNCTION("""COMPUTED_VALUE"""),"")</f>
        <v/>
      </c>
      <c r="BA261" s="2" t="str">
        <f ca="1">IFERROR(__xludf.DUMMYFUNCTION("""COMPUTED_VALUE"""),"")</f>
        <v/>
      </c>
      <c r="BB261" s="2" t="str">
        <f ca="1">IFERROR(__xludf.DUMMYFUNCTION("""COMPUTED_VALUE"""),"")</f>
        <v/>
      </c>
      <c r="BC261" s="2" t="str">
        <f ca="1">IFERROR(__xludf.DUMMYFUNCTION("""COMPUTED_VALUE"""),"")</f>
        <v/>
      </c>
      <c r="BD261" s="2" t="str">
        <f ca="1">IFERROR(__xludf.DUMMYFUNCTION("""COMPUTED_VALUE"""),"")</f>
        <v/>
      </c>
      <c r="BE261" s="2" t="str">
        <f ca="1">IFERROR(__xludf.DUMMYFUNCTION("""COMPUTED_VALUE"""),"")</f>
        <v/>
      </c>
      <c r="BF261" t="str">
        <f ca="1">IFERROR(__xludf.DUMMYFUNCTION("""COMPUTED_VALUE"""),"")</f>
        <v/>
      </c>
      <c r="BG261" t="str">
        <f ca="1">IFERROR(__xludf.DUMMYFUNCTION("""COMPUTED_VALUE"""),"")</f>
        <v/>
      </c>
      <c r="BH261" s="2">
        <f ca="1">IFERROR(__xludf.DUMMYFUNCTION("""COMPUTED_VALUE"""),-37.2203407)</f>
        <v>-37.220340700000001</v>
      </c>
      <c r="BI261" s="12">
        <f ca="1">IFERROR(__xludf.DUMMYFUNCTION("""COMPUTED_VALUE"""),175.414566)</f>
        <v>175.41456600000001</v>
      </c>
      <c r="BJ261" s="9">
        <f ca="1">IFERROR(__xludf.DUMMYFUNCTION("""COMPUTED_VALUE"""),43476)</f>
        <v>43476</v>
      </c>
      <c r="BK261" s="4">
        <f ca="1">IFERROR(__xludf.DUMMYFUNCTION("""COMPUTED_VALUE"""),0.875555555554456)</f>
        <v>0.87555555555445597</v>
      </c>
    </row>
    <row r="262" spans="1:63" ht="12.5" x14ac:dyDescent="0.25">
      <c r="A262" s="7" t="str">
        <f ca="1">IFERROR(__xludf.DUMMYFUNCTION("""COMPUTED_VALUE"""),"")</f>
        <v/>
      </c>
      <c r="B262" s="8" t="str">
        <f ca="1">IFERROR(__xludf.DUMMYFUNCTION("""COMPUTED_VALUE"""),"Waikato")</f>
        <v>Waikato</v>
      </c>
      <c r="C262" s="2">
        <f ca="1">IFERROR(__xludf.DUMMYFUNCTION("""COMPUTED_VALUE"""),23)</f>
        <v>23</v>
      </c>
      <c r="D262" s="9" t="str">
        <f ca="1">IFERROR(__xludf.DUMMYFUNCTION("""COMPUTED_VALUE"""),"")</f>
        <v/>
      </c>
      <c r="E262" s="4" t="str">
        <f ca="1">IFERROR(__xludf.DUMMYFUNCTION("""COMPUTED_VALUE"""),"")</f>
        <v/>
      </c>
      <c r="F262" s="2" t="str">
        <f ca="1">IFERROR(__xludf.DUMMYFUNCTION("""COMPUTED_VALUE"""),"")</f>
        <v/>
      </c>
      <c r="G262" s="2" t="str">
        <f ca="1">IFERROR(__xludf.DUMMYFUNCTION("""COMPUTED_VALUE"""),"GPS: I converted data downloaded from ARGOS using Pinpoint software")</f>
        <v>GPS: I converted data downloaded from ARGOS using Pinpoint software</v>
      </c>
      <c r="H262" s="2" t="str">
        <f ca="1">IFERROR(__xludf.DUMMYFUNCTION("""COMPUTED_VALUE"""),"3D")</f>
        <v>3D</v>
      </c>
      <c r="I262" s="2" t="str">
        <f ca="1">IFERROR(__xludf.DUMMYFUNCTION("""COMPUTED_VALUE"""),"")</f>
        <v/>
      </c>
      <c r="J262" s="2" t="str">
        <f ca="1">IFERROR(__xludf.DUMMYFUNCTION("""COMPUTED_VALUE"""),"")</f>
        <v/>
      </c>
      <c r="K262" s="2" t="str">
        <f ca="1">IFERROR(__xludf.DUMMYFUNCTION("""COMPUTED_VALUE"""),"")</f>
        <v/>
      </c>
      <c r="L262" s="2" t="str">
        <f ca="1">IFERROR(__xludf.DUMMYFUNCTION("""COMPUTED_VALUE"""),"")</f>
        <v/>
      </c>
      <c r="M262" s="5" t="str">
        <f ca="1">IFERROR(__xludf.DUMMYFUNCTION("""COMPUTED_VALUE"""),"")</f>
        <v/>
      </c>
      <c r="N262" s="5" t="str">
        <f ca="1">IFERROR(__xludf.DUMMYFUNCTION("""COMPUTED_VALUE"""),"")</f>
        <v/>
      </c>
      <c r="O262" s="2" t="str">
        <f ca="1">IFERROR(__xludf.DUMMYFUNCTION("""COMPUTED_VALUE"""),"")</f>
        <v/>
      </c>
      <c r="P262" s="2" t="str">
        <f ca="1">IFERROR(__xludf.DUMMYFUNCTION("""COMPUTED_VALUE"""),"")</f>
        <v/>
      </c>
      <c r="Q262" s="2" t="str">
        <f ca="1">IFERROR(__xludf.DUMMYFUNCTION("""COMPUTED_VALUE"""),"")</f>
        <v/>
      </c>
      <c r="R262" s="2" t="str">
        <f ca="1">IFERROR(__xludf.DUMMYFUNCTION("""COMPUTED_VALUE"""),"")</f>
        <v/>
      </c>
      <c r="S262" s="2" t="str">
        <f ca="1">IFERROR(__xludf.DUMMYFUNCTION("""COMPUTED_VALUE"""),"")</f>
        <v/>
      </c>
      <c r="T262" s="2" t="str">
        <f ca="1">IFERROR(__xludf.DUMMYFUNCTION("""COMPUTED_VALUE"""),"")</f>
        <v/>
      </c>
      <c r="U262" s="2" t="str">
        <f ca="1">IFERROR(__xludf.DUMMYFUNCTION("""COMPUTED_VALUE"""),"")</f>
        <v/>
      </c>
      <c r="V262" s="2" t="str">
        <f ca="1">IFERROR(__xludf.DUMMYFUNCTION("""COMPUTED_VALUE"""),"")</f>
        <v/>
      </c>
      <c r="W262" s="2" t="str">
        <f ca="1">IFERROR(__xludf.DUMMYFUNCTION("""COMPUTED_VALUE"""),"")</f>
        <v/>
      </c>
      <c r="X262" s="2" t="str">
        <f ca="1">IFERROR(__xludf.DUMMYFUNCTION("""COMPUTED_VALUE"""),"")</f>
        <v/>
      </c>
      <c r="Y262" s="2" t="str">
        <f ca="1">IFERROR(__xludf.DUMMYFUNCTION("""COMPUTED_VALUE"""),"")</f>
        <v/>
      </c>
      <c r="Z262" s="2" t="str">
        <f ca="1">IFERROR(__xludf.DUMMYFUNCTION("""COMPUTED_VALUE"""),"")</f>
        <v/>
      </c>
      <c r="AA262" s="2" t="str">
        <f ca="1">IFERROR(__xludf.DUMMYFUNCTION("""COMPUTED_VALUE"""),"")</f>
        <v/>
      </c>
      <c r="AB262" s="2" t="str">
        <f ca="1">IFERROR(__xludf.DUMMYFUNCTION("""COMPUTED_VALUE"""),"")</f>
        <v/>
      </c>
      <c r="AC262" s="2" t="str">
        <f ca="1">IFERROR(__xludf.DUMMYFUNCTION("""COMPUTED_VALUE"""),"")</f>
        <v/>
      </c>
      <c r="AD262" s="2" t="str">
        <f ca="1">IFERROR(__xludf.DUMMYFUNCTION("""COMPUTED_VALUE"""),"")</f>
        <v/>
      </c>
      <c r="AE262" s="2" t="str">
        <f ca="1">IFERROR(__xludf.DUMMYFUNCTION("""COMPUTED_VALUE"""),"")</f>
        <v/>
      </c>
      <c r="AF262" s="2" t="str">
        <f ca="1">IFERROR(__xludf.DUMMYFUNCTION("""COMPUTED_VALUE"""),"")</f>
        <v/>
      </c>
      <c r="AG262" s="2" t="str">
        <f ca="1">IFERROR(__xludf.DUMMYFUNCTION("""COMPUTED_VALUE"""),"")</f>
        <v/>
      </c>
      <c r="AH262" s="2" t="str">
        <f ca="1">IFERROR(__xludf.DUMMYFUNCTION("""COMPUTED_VALUE"""),"")</f>
        <v/>
      </c>
      <c r="AI262" s="2" t="str">
        <f ca="1">IFERROR(__xludf.DUMMYFUNCTION("""COMPUTED_VALUE"""),"")</f>
        <v/>
      </c>
      <c r="AJ262" s="2" t="str">
        <f ca="1">IFERROR(__xludf.DUMMYFUNCTION("""COMPUTED_VALUE"""),"")</f>
        <v/>
      </c>
      <c r="AK262" s="2" t="str">
        <f ca="1">IFERROR(__xludf.DUMMYFUNCTION("""COMPUTED_VALUE"""),"")</f>
        <v/>
      </c>
      <c r="AL262" s="2" t="str">
        <f ca="1">IFERROR(__xludf.DUMMYFUNCTION("""COMPUTED_VALUE"""),"")</f>
        <v/>
      </c>
      <c r="AM262" s="2" t="str">
        <f ca="1">IFERROR(__xludf.DUMMYFUNCTION("""COMPUTED_VALUE"""),"")</f>
        <v/>
      </c>
      <c r="AN262" s="2" t="str">
        <f ca="1">IFERROR(__xludf.DUMMYFUNCTION("""COMPUTED_VALUE"""),"")</f>
        <v/>
      </c>
      <c r="AO262" s="2" t="str">
        <f ca="1">IFERROR(__xludf.DUMMYFUNCTION("""COMPUTED_VALUE"""),"")</f>
        <v/>
      </c>
      <c r="AP262" s="2" t="str">
        <f ca="1">IFERROR(__xludf.DUMMYFUNCTION("""COMPUTED_VALUE"""),"")</f>
        <v/>
      </c>
      <c r="AQ262" s="2" t="str">
        <f ca="1">IFERROR(__xludf.DUMMYFUNCTION("""COMPUTED_VALUE"""),"")</f>
        <v/>
      </c>
      <c r="AR262" s="2" t="str">
        <f ca="1">IFERROR(__xludf.DUMMYFUNCTION("""COMPUTED_VALUE"""),"")</f>
        <v/>
      </c>
      <c r="AS262" s="2" t="str">
        <f ca="1">IFERROR(__xludf.DUMMYFUNCTION("""COMPUTED_VALUE"""),"")</f>
        <v/>
      </c>
      <c r="AT262" s="2" t="str">
        <f ca="1">IFERROR(__xludf.DUMMYFUNCTION("""COMPUTED_VALUE"""),"")</f>
        <v/>
      </c>
      <c r="AU262" s="2" t="str">
        <f ca="1">IFERROR(__xludf.DUMMYFUNCTION("""COMPUTED_VALUE"""),"")</f>
        <v/>
      </c>
      <c r="AV262" s="2" t="str">
        <f ca="1">IFERROR(__xludf.DUMMYFUNCTION("""COMPUTED_VALUE"""),"")</f>
        <v/>
      </c>
      <c r="AW262" s="2" t="str">
        <f ca="1">IFERROR(__xludf.DUMMYFUNCTION("""COMPUTED_VALUE"""),"")</f>
        <v/>
      </c>
      <c r="AX262" s="2" t="str">
        <f ca="1">IFERROR(__xludf.DUMMYFUNCTION("""COMPUTED_VALUE"""),"")</f>
        <v/>
      </c>
      <c r="AY262" s="2" t="str">
        <f ca="1">IFERROR(__xludf.DUMMYFUNCTION("""COMPUTED_VALUE"""),"")</f>
        <v/>
      </c>
      <c r="AZ262" s="2" t="str">
        <f ca="1">IFERROR(__xludf.DUMMYFUNCTION("""COMPUTED_VALUE"""),"")</f>
        <v/>
      </c>
      <c r="BA262" s="2" t="str">
        <f ca="1">IFERROR(__xludf.DUMMYFUNCTION("""COMPUTED_VALUE"""),"")</f>
        <v/>
      </c>
      <c r="BB262" s="2" t="str">
        <f ca="1">IFERROR(__xludf.DUMMYFUNCTION("""COMPUTED_VALUE"""),"")</f>
        <v/>
      </c>
      <c r="BC262" s="2" t="str">
        <f ca="1">IFERROR(__xludf.DUMMYFUNCTION("""COMPUTED_VALUE"""),"")</f>
        <v/>
      </c>
      <c r="BD262" s="2" t="str">
        <f ca="1">IFERROR(__xludf.DUMMYFUNCTION("""COMPUTED_VALUE"""),"")</f>
        <v/>
      </c>
      <c r="BE262" s="2" t="str">
        <f ca="1">IFERROR(__xludf.DUMMYFUNCTION("""COMPUTED_VALUE"""),"")</f>
        <v/>
      </c>
      <c r="BF262" t="str">
        <f ca="1">IFERROR(__xludf.DUMMYFUNCTION("""COMPUTED_VALUE"""),"")</f>
        <v/>
      </c>
      <c r="BG262" t="str">
        <f ca="1">IFERROR(__xludf.DUMMYFUNCTION("""COMPUTED_VALUE"""),"")</f>
        <v/>
      </c>
      <c r="BH262" s="2">
        <f ca="1">IFERROR(__xludf.DUMMYFUNCTION("""COMPUTED_VALUE"""),-37.220314)</f>
        <v>-37.220314000000002</v>
      </c>
      <c r="BI262" s="13">
        <f ca="1">IFERROR(__xludf.DUMMYFUNCTION("""COMPUTED_VALUE"""),175.414566)</f>
        <v>175.41456600000001</v>
      </c>
      <c r="BJ262" s="9">
        <f ca="1">IFERROR(__xludf.DUMMYFUNCTION("""COMPUTED_VALUE"""),43483)</f>
        <v>43483</v>
      </c>
      <c r="BK262" s="4">
        <f ca="1">IFERROR(__xludf.DUMMYFUNCTION("""COMPUTED_VALUE"""),0.874074074072268)</f>
        <v>0.874074074072268</v>
      </c>
    </row>
    <row r="263" spans="1:63" ht="12.5" x14ac:dyDescent="0.25">
      <c r="A263" s="7" t="str">
        <f ca="1">IFERROR(__xludf.DUMMYFUNCTION("""COMPUTED_VALUE"""),"")</f>
        <v/>
      </c>
      <c r="B263" s="8" t="str">
        <f ca="1">IFERROR(__xludf.DUMMYFUNCTION("""COMPUTED_VALUE"""),"Waikato")</f>
        <v>Waikato</v>
      </c>
      <c r="C263" s="2">
        <f ca="1">IFERROR(__xludf.DUMMYFUNCTION("""COMPUTED_VALUE"""),23)</f>
        <v>23</v>
      </c>
      <c r="D263" s="9" t="str">
        <f ca="1">IFERROR(__xludf.DUMMYFUNCTION("""COMPUTED_VALUE"""),"")</f>
        <v/>
      </c>
      <c r="E263" s="4" t="str">
        <f ca="1">IFERROR(__xludf.DUMMYFUNCTION("""COMPUTED_VALUE"""),"")</f>
        <v/>
      </c>
      <c r="F263" s="2" t="str">
        <f ca="1">IFERROR(__xludf.DUMMYFUNCTION("""COMPUTED_VALUE"""),"")</f>
        <v/>
      </c>
      <c r="G263" s="2" t="str">
        <f ca="1">IFERROR(__xludf.DUMMYFUNCTION("""COMPUTED_VALUE"""),"GPS: I converted data downloaded from ARGOS using Pinpoint software")</f>
        <v>GPS: I converted data downloaded from ARGOS using Pinpoint software</v>
      </c>
      <c r="H263" s="2" t="str">
        <f ca="1">IFERROR(__xludf.DUMMYFUNCTION("""COMPUTED_VALUE"""),"3D")</f>
        <v>3D</v>
      </c>
      <c r="I263" s="2" t="str">
        <f ca="1">IFERROR(__xludf.DUMMYFUNCTION("""COMPUTED_VALUE"""),"")</f>
        <v/>
      </c>
      <c r="J263" s="2" t="str">
        <f ca="1">IFERROR(__xludf.DUMMYFUNCTION("""COMPUTED_VALUE"""),"")</f>
        <v/>
      </c>
      <c r="K263" s="2" t="str">
        <f ca="1">IFERROR(__xludf.DUMMYFUNCTION("""COMPUTED_VALUE"""),"")</f>
        <v/>
      </c>
      <c r="L263" s="2" t="str">
        <f ca="1">IFERROR(__xludf.DUMMYFUNCTION("""COMPUTED_VALUE"""),"")</f>
        <v/>
      </c>
      <c r="M263" s="5" t="str">
        <f ca="1">IFERROR(__xludf.DUMMYFUNCTION("""COMPUTED_VALUE"""),"")</f>
        <v/>
      </c>
      <c r="N263" s="5" t="str">
        <f ca="1">IFERROR(__xludf.DUMMYFUNCTION("""COMPUTED_VALUE"""),"")</f>
        <v/>
      </c>
      <c r="O263" s="2" t="str">
        <f ca="1">IFERROR(__xludf.DUMMYFUNCTION("""COMPUTED_VALUE"""),"")</f>
        <v/>
      </c>
      <c r="P263" s="2" t="str">
        <f ca="1">IFERROR(__xludf.DUMMYFUNCTION("""COMPUTED_VALUE"""),"")</f>
        <v/>
      </c>
      <c r="Q263" s="2" t="str">
        <f ca="1">IFERROR(__xludf.DUMMYFUNCTION("""COMPUTED_VALUE"""),"")</f>
        <v/>
      </c>
      <c r="R263" s="2" t="str">
        <f ca="1">IFERROR(__xludf.DUMMYFUNCTION("""COMPUTED_VALUE"""),"")</f>
        <v/>
      </c>
      <c r="S263" s="2" t="str">
        <f ca="1">IFERROR(__xludf.DUMMYFUNCTION("""COMPUTED_VALUE"""),"")</f>
        <v/>
      </c>
      <c r="T263" s="2" t="str">
        <f ca="1">IFERROR(__xludf.DUMMYFUNCTION("""COMPUTED_VALUE"""),"")</f>
        <v/>
      </c>
      <c r="U263" s="2" t="str">
        <f ca="1">IFERROR(__xludf.DUMMYFUNCTION("""COMPUTED_VALUE"""),"")</f>
        <v/>
      </c>
      <c r="V263" s="2" t="str">
        <f ca="1">IFERROR(__xludf.DUMMYFUNCTION("""COMPUTED_VALUE"""),"")</f>
        <v/>
      </c>
      <c r="W263" s="2" t="str">
        <f ca="1">IFERROR(__xludf.DUMMYFUNCTION("""COMPUTED_VALUE"""),"")</f>
        <v/>
      </c>
      <c r="X263" s="2" t="str">
        <f ca="1">IFERROR(__xludf.DUMMYFUNCTION("""COMPUTED_VALUE"""),"")</f>
        <v/>
      </c>
      <c r="Y263" s="2" t="str">
        <f ca="1">IFERROR(__xludf.DUMMYFUNCTION("""COMPUTED_VALUE"""),"")</f>
        <v/>
      </c>
      <c r="Z263" s="2" t="str">
        <f ca="1">IFERROR(__xludf.DUMMYFUNCTION("""COMPUTED_VALUE"""),"")</f>
        <v/>
      </c>
      <c r="AA263" s="2" t="str">
        <f ca="1">IFERROR(__xludf.DUMMYFUNCTION("""COMPUTED_VALUE"""),"")</f>
        <v/>
      </c>
      <c r="AB263" s="2" t="str">
        <f ca="1">IFERROR(__xludf.DUMMYFUNCTION("""COMPUTED_VALUE"""),"")</f>
        <v/>
      </c>
      <c r="AC263" s="2" t="str">
        <f ca="1">IFERROR(__xludf.DUMMYFUNCTION("""COMPUTED_VALUE"""),"")</f>
        <v/>
      </c>
      <c r="AD263" s="2" t="str">
        <f ca="1">IFERROR(__xludf.DUMMYFUNCTION("""COMPUTED_VALUE"""),"")</f>
        <v/>
      </c>
      <c r="AE263" s="2" t="str">
        <f ca="1">IFERROR(__xludf.DUMMYFUNCTION("""COMPUTED_VALUE"""),"")</f>
        <v/>
      </c>
      <c r="AF263" s="2" t="str">
        <f ca="1">IFERROR(__xludf.DUMMYFUNCTION("""COMPUTED_VALUE"""),"")</f>
        <v/>
      </c>
      <c r="AG263" s="2" t="str">
        <f ca="1">IFERROR(__xludf.DUMMYFUNCTION("""COMPUTED_VALUE"""),"")</f>
        <v/>
      </c>
      <c r="AH263" s="2" t="str">
        <f ca="1">IFERROR(__xludf.DUMMYFUNCTION("""COMPUTED_VALUE"""),"")</f>
        <v/>
      </c>
      <c r="AI263" s="2" t="str">
        <f ca="1">IFERROR(__xludf.DUMMYFUNCTION("""COMPUTED_VALUE"""),"")</f>
        <v/>
      </c>
      <c r="AJ263" s="2" t="str">
        <f ca="1">IFERROR(__xludf.DUMMYFUNCTION("""COMPUTED_VALUE"""),"")</f>
        <v/>
      </c>
      <c r="AK263" s="2" t="str">
        <f ca="1">IFERROR(__xludf.DUMMYFUNCTION("""COMPUTED_VALUE"""),"")</f>
        <v/>
      </c>
      <c r="AL263" s="2" t="str">
        <f ca="1">IFERROR(__xludf.DUMMYFUNCTION("""COMPUTED_VALUE"""),"")</f>
        <v/>
      </c>
      <c r="AM263" s="2" t="str">
        <f ca="1">IFERROR(__xludf.DUMMYFUNCTION("""COMPUTED_VALUE"""),"")</f>
        <v/>
      </c>
      <c r="AN263" s="2" t="str">
        <f ca="1">IFERROR(__xludf.DUMMYFUNCTION("""COMPUTED_VALUE"""),"")</f>
        <v/>
      </c>
      <c r="AO263" s="2" t="str">
        <f ca="1">IFERROR(__xludf.DUMMYFUNCTION("""COMPUTED_VALUE"""),"")</f>
        <v/>
      </c>
      <c r="AP263" s="2" t="str">
        <f ca="1">IFERROR(__xludf.DUMMYFUNCTION("""COMPUTED_VALUE"""),"")</f>
        <v/>
      </c>
      <c r="AQ263" s="2" t="str">
        <f ca="1">IFERROR(__xludf.DUMMYFUNCTION("""COMPUTED_VALUE"""),"")</f>
        <v/>
      </c>
      <c r="AR263" s="2" t="str">
        <f ca="1">IFERROR(__xludf.DUMMYFUNCTION("""COMPUTED_VALUE"""),"")</f>
        <v/>
      </c>
      <c r="AS263" s="2" t="str">
        <f ca="1">IFERROR(__xludf.DUMMYFUNCTION("""COMPUTED_VALUE"""),"")</f>
        <v/>
      </c>
      <c r="AT263" s="2" t="str">
        <f ca="1">IFERROR(__xludf.DUMMYFUNCTION("""COMPUTED_VALUE"""),"")</f>
        <v/>
      </c>
      <c r="AU263" s="2" t="str">
        <f ca="1">IFERROR(__xludf.DUMMYFUNCTION("""COMPUTED_VALUE"""),"")</f>
        <v/>
      </c>
      <c r="AV263" s="2" t="str">
        <f ca="1">IFERROR(__xludf.DUMMYFUNCTION("""COMPUTED_VALUE"""),"")</f>
        <v/>
      </c>
      <c r="AW263" s="2" t="str">
        <f ca="1">IFERROR(__xludf.DUMMYFUNCTION("""COMPUTED_VALUE"""),"")</f>
        <v/>
      </c>
      <c r="AX263" s="2" t="str">
        <f ca="1">IFERROR(__xludf.DUMMYFUNCTION("""COMPUTED_VALUE"""),"")</f>
        <v/>
      </c>
      <c r="AY263" s="2" t="str">
        <f ca="1">IFERROR(__xludf.DUMMYFUNCTION("""COMPUTED_VALUE"""),"")</f>
        <v/>
      </c>
      <c r="AZ263" s="2" t="str">
        <f ca="1">IFERROR(__xludf.DUMMYFUNCTION("""COMPUTED_VALUE"""),"")</f>
        <v/>
      </c>
      <c r="BA263" s="2" t="str">
        <f ca="1">IFERROR(__xludf.DUMMYFUNCTION("""COMPUTED_VALUE"""),"")</f>
        <v/>
      </c>
      <c r="BB263" s="2" t="str">
        <f ca="1">IFERROR(__xludf.DUMMYFUNCTION("""COMPUTED_VALUE"""),"")</f>
        <v/>
      </c>
      <c r="BC263" s="2" t="str">
        <f ca="1">IFERROR(__xludf.DUMMYFUNCTION("""COMPUTED_VALUE"""),"")</f>
        <v/>
      </c>
      <c r="BD263" s="2" t="str">
        <f ca="1">IFERROR(__xludf.DUMMYFUNCTION("""COMPUTED_VALUE"""),"")</f>
        <v/>
      </c>
      <c r="BE263" s="2" t="str">
        <f ca="1">IFERROR(__xludf.DUMMYFUNCTION("""COMPUTED_VALUE"""),"")</f>
        <v/>
      </c>
      <c r="BF263" t="str">
        <f ca="1">IFERROR(__xludf.DUMMYFUNCTION("""COMPUTED_VALUE"""),"")</f>
        <v/>
      </c>
      <c r="BG263" t="str">
        <f ca="1">IFERROR(__xludf.DUMMYFUNCTION("""COMPUTED_VALUE"""),"")</f>
        <v/>
      </c>
      <c r="BH263" s="2">
        <f ca="1">IFERROR(__xludf.DUMMYFUNCTION("""COMPUTED_VALUE"""),-37.2203636)</f>
        <v>-37.220363599999999</v>
      </c>
      <c r="BI263" s="12">
        <f ca="1">IFERROR(__xludf.DUMMYFUNCTION("""COMPUTED_VALUE"""),175.414566)</f>
        <v>175.41456600000001</v>
      </c>
      <c r="BJ263" s="9">
        <f ca="1">IFERROR(__xludf.DUMMYFUNCTION("""COMPUTED_VALUE"""),43490)</f>
        <v>43490</v>
      </c>
      <c r="BK263" s="4">
        <f ca="1">IFERROR(__xludf.DUMMYFUNCTION("""COMPUTED_VALUE"""),0.875555555554456)</f>
        <v>0.87555555555445597</v>
      </c>
    </row>
    <row r="264" spans="1:63" ht="12.5" x14ac:dyDescent="0.25">
      <c r="A264" s="7" t="str">
        <f ca="1">IFERROR(__xludf.DUMMYFUNCTION("""COMPUTED_VALUE"""),"")</f>
        <v/>
      </c>
      <c r="B264" s="8" t="str">
        <f ca="1">IFERROR(__xludf.DUMMYFUNCTION("""COMPUTED_VALUE"""),"Waikato")</f>
        <v>Waikato</v>
      </c>
      <c r="C264" s="2">
        <f ca="1">IFERROR(__xludf.DUMMYFUNCTION("""COMPUTED_VALUE"""),23)</f>
        <v>23</v>
      </c>
      <c r="D264" s="9" t="str">
        <f ca="1">IFERROR(__xludf.DUMMYFUNCTION("""COMPUTED_VALUE"""),"")</f>
        <v/>
      </c>
      <c r="E264" s="4" t="str">
        <f ca="1">IFERROR(__xludf.DUMMYFUNCTION("""COMPUTED_VALUE"""),"")</f>
        <v/>
      </c>
      <c r="F264" s="2" t="str">
        <f ca="1">IFERROR(__xludf.DUMMYFUNCTION("""COMPUTED_VALUE"""),"")</f>
        <v/>
      </c>
      <c r="G264" s="2" t="str">
        <f ca="1">IFERROR(__xludf.DUMMYFUNCTION("""COMPUTED_VALUE"""),"GPS: I converted data downloaded from ARGOS using Pinpoint software")</f>
        <v>GPS: I converted data downloaded from ARGOS using Pinpoint software</v>
      </c>
      <c r="H264" s="2" t="str">
        <f ca="1">IFERROR(__xludf.DUMMYFUNCTION("""COMPUTED_VALUE"""),"3D")</f>
        <v>3D</v>
      </c>
      <c r="I264" s="2" t="str">
        <f ca="1">IFERROR(__xludf.DUMMYFUNCTION("""COMPUTED_VALUE"""),"")</f>
        <v/>
      </c>
      <c r="J264" s="2" t="str">
        <f ca="1">IFERROR(__xludf.DUMMYFUNCTION("""COMPUTED_VALUE"""),"")</f>
        <v/>
      </c>
      <c r="K264" s="2" t="str">
        <f ca="1">IFERROR(__xludf.DUMMYFUNCTION("""COMPUTED_VALUE"""),"")</f>
        <v/>
      </c>
      <c r="L264" s="2" t="str">
        <f ca="1">IFERROR(__xludf.DUMMYFUNCTION("""COMPUTED_VALUE"""),"")</f>
        <v/>
      </c>
      <c r="M264" s="5" t="str">
        <f ca="1">IFERROR(__xludf.DUMMYFUNCTION("""COMPUTED_VALUE"""),"")</f>
        <v/>
      </c>
      <c r="N264" s="5" t="str">
        <f ca="1">IFERROR(__xludf.DUMMYFUNCTION("""COMPUTED_VALUE"""),"")</f>
        <v/>
      </c>
      <c r="O264" s="2" t="str">
        <f ca="1">IFERROR(__xludf.DUMMYFUNCTION("""COMPUTED_VALUE"""),"")</f>
        <v/>
      </c>
      <c r="P264" s="2" t="str">
        <f ca="1">IFERROR(__xludf.DUMMYFUNCTION("""COMPUTED_VALUE"""),"")</f>
        <v/>
      </c>
      <c r="Q264" s="2" t="str">
        <f ca="1">IFERROR(__xludf.DUMMYFUNCTION("""COMPUTED_VALUE"""),"")</f>
        <v/>
      </c>
      <c r="R264" s="2" t="str">
        <f ca="1">IFERROR(__xludf.DUMMYFUNCTION("""COMPUTED_VALUE"""),"")</f>
        <v/>
      </c>
      <c r="S264" s="2" t="str">
        <f ca="1">IFERROR(__xludf.DUMMYFUNCTION("""COMPUTED_VALUE"""),"")</f>
        <v/>
      </c>
      <c r="T264" s="2" t="str">
        <f ca="1">IFERROR(__xludf.DUMMYFUNCTION("""COMPUTED_VALUE"""),"")</f>
        <v/>
      </c>
      <c r="U264" s="2" t="str">
        <f ca="1">IFERROR(__xludf.DUMMYFUNCTION("""COMPUTED_VALUE"""),"")</f>
        <v/>
      </c>
      <c r="V264" s="2" t="str">
        <f ca="1">IFERROR(__xludf.DUMMYFUNCTION("""COMPUTED_VALUE"""),"")</f>
        <v/>
      </c>
      <c r="W264" s="2" t="str">
        <f ca="1">IFERROR(__xludf.DUMMYFUNCTION("""COMPUTED_VALUE"""),"")</f>
        <v/>
      </c>
      <c r="X264" s="2" t="str">
        <f ca="1">IFERROR(__xludf.DUMMYFUNCTION("""COMPUTED_VALUE"""),"")</f>
        <v/>
      </c>
      <c r="Y264" s="2" t="str">
        <f ca="1">IFERROR(__xludf.DUMMYFUNCTION("""COMPUTED_VALUE"""),"")</f>
        <v/>
      </c>
      <c r="Z264" s="2" t="str">
        <f ca="1">IFERROR(__xludf.DUMMYFUNCTION("""COMPUTED_VALUE"""),"")</f>
        <v/>
      </c>
      <c r="AA264" s="2" t="str">
        <f ca="1">IFERROR(__xludf.DUMMYFUNCTION("""COMPUTED_VALUE"""),"")</f>
        <v/>
      </c>
      <c r="AB264" s="2" t="str">
        <f ca="1">IFERROR(__xludf.DUMMYFUNCTION("""COMPUTED_VALUE"""),"")</f>
        <v/>
      </c>
      <c r="AC264" s="2" t="str">
        <f ca="1">IFERROR(__xludf.DUMMYFUNCTION("""COMPUTED_VALUE"""),"")</f>
        <v/>
      </c>
      <c r="AD264" s="2" t="str">
        <f ca="1">IFERROR(__xludf.DUMMYFUNCTION("""COMPUTED_VALUE"""),"")</f>
        <v/>
      </c>
      <c r="AE264" s="2" t="str">
        <f ca="1">IFERROR(__xludf.DUMMYFUNCTION("""COMPUTED_VALUE"""),"")</f>
        <v/>
      </c>
      <c r="AF264" s="2" t="str">
        <f ca="1">IFERROR(__xludf.DUMMYFUNCTION("""COMPUTED_VALUE"""),"")</f>
        <v/>
      </c>
      <c r="AG264" s="2" t="str">
        <f ca="1">IFERROR(__xludf.DUMMYFUNCTION("""COMPUTED_VALUE"""),"")</f>
        <v/>
      </c>
      <c r="AH264" s="2" t="str">
        <f ca="1">IFERROR(__xludf.DUMMYFUNCTION("""COMPUTED_VALUE"""),"")</f>
        <v/>
      </c>
      <c r="AI264" s="2" t="str">
        <f ca="1">IFERROR(__xludf.DUMMYFUNCTION("""COMPUTED_VALUE"""),"")</f>
        <v/>
      </c>
      <c r="AJ264" s="2" t="str">
        <f ca="1">IFERROR(__xludf.DUMMYFUNCTION("""COMPUTED_VALUE"""),"")</f>
        <v/>
      </c>
      <c r="AK264" s="2" t="str">
        <f ca="1">IFERROR(__xludf.DUMMYFUNCTION("""COMPUTED_VALUE"""),"")</f>
        <v/>
      </c>
      <c r="AL264" s="2" t="str">
        <f ca="1">IFERROR(__xludf.DUMMYFUNCTION("""COMPUTED_VALUE"""),"")</f>
        <v/>
      </c>
      <c r="AM264" s="2" t="str">
        <f ca="1">IFERROR(__xludf.DUMMYFUNCTION("""COMPUTED_VALUE"""),"")</f>
        <v/>
      </c>
      <c r="AN264" s="2" t="str">
        <f ca="1">IFERROR(__xludf.DUMMYFUNCTION("""COMPUTED_VALUE"""),"")</f>
        <v/>
      </c>
      <c r="AO264" s="2" t="str">
        <f ca="1">IFERROR(__xludf.DUMMYFUNCTION("""COMPUTED_VALUE"""),"")</f>
        <v/>
      </c>
      <c r="AP264" s="2" t="str">
        <f ca="1">IFERROR(__xludf.DUMMYFUNCTION("""COMPUTED_VALUE"""),"")</f>
        <v/>
      </c>
      <c r="AQ264" s="2" t="str">
        <f ca="1">IFERROR(__xludf.DUMMYFUNCTION("""COMPUTED_VALUE"""),"")</f>
        <v/>
      </c>
      <c r="AR264" s="2" t="str">
        <f ca="1">IFERROR(__xludf.DUMMYFUNCTION("""COMPUTED_VALUE"""),"")</f>
        <v/>
      </c>
      <c r="AS264" s="2" t="str">
        <f ca="1">IFERROR(__xludf.DUMMYFUNCTION("""COMPUTED_VALUE"""),"")</f>
        <v/>
      </c>
      <c r="AT264" s="2" t="str">
        <f ca="1">IFERROR(__xludf.DUMMYFUNCTION("""COMPUTED_VALUE"""),"")</f>
        <v/>
      </c>
      <c r="AU264" s="2" t="str">
        <f ca="1">IFERROR(__xludf.DUMMYFUNCTION("""COMPUTED_VALUE"""),"")</f>
        <v/>
      </c>
      <c r="AV264" s="2" t="str">
        <f ca="1">IFERROR(__xludf.DUMMYFUNCTION("""COMPUTED_VALUE"""),"")</f>
        <v/>
      </c>
      <c r="AW264" s="2" t="str">
        <f ca="1">IFERROR(__xludf.DUMMYFUNCTION("""COMPUTED_VALUE"""),"")</f>
        <v/>
      </c>
      <c r="AX264" s="2" t="str">
        <f ca="1">IFERROR(__xludf.DUMMYFUNCTION("""COMPUTED_VALUE"""),"")</f>
        <v/>
      </c>
      <c r="AY264" s="2" t="str">
        <f ca="1">IFERROR(__xludf.DUMMYFUNCTION("""COMPUTED_VALUE"""),"")</f>
        <v/>
      </c>
      <c r="AZ264" s="2" t="str">
        <f ca="1">IFERROR(__xludf.DUMMYFUNCTION("""COMPUTED_VALUE"""),"")</f>
        <v/>
      </c>
      <c r="BA264" s="2" t="str">
        <f ca="1">IFERROR(__xludf.DUMMYFUNCTION("""COMPUTED_VALUE"""),"")</f>
        <v/>
      </c>
      <c r="BB264" s="2" t="str">
        <f ca="1">IFERROR(__xludf.DUMMYFUNCTION("""COMPUTED_VALUE"""),"")</f>
        <v/>
      </c>
      <c r="BC264" s="2" t="str">
        <f ca="1">IFERROR(__xludf.DUMMYFUNCTION("""COMPUTED_VALUE"""),"")</f>
        <v/>
      </c>
      <c r="BD264" s="2" t="str">
        <f ca="1">IFERROR(__xludf.DUMMYFUNCTION("""COMPUTED_VALUE"""),"")</f>
        <v/>
      </c>
      <c r="BE264" s="2" t="str">
        <f ca="1">IFERROR(__xludf.DUMMYFUNCTION("""COMPUTED_VALUE"""),"")</f>
        <v/>
      </c>
      <c r="BF264" t="str">
        <f ca="1">IFERROR(__xludf.DUMMYFUNCTION("""COMPUTED_VALUE"""),"")</f>
        <v/>
      </c>
      <c r="BG264" t="str">
        <f ca="1">IFERROR(__xludf.DUMMYFUNCTION("""COMPUTED_VALUE"""),"")</f>
        <v/>
      </c>
      <c r="BH264" s="2">
        <f ca="1">IFERROR(__xludf.DUMMYFUNCTION("""COMPUTED_VALUE"""),-37.2203407)</f>
        <v>-37.220340700000001</v>
      </c>
      <c r="BI264" s="13">
        <f ca="1">IFERROR(__xludf.DUMMYFUNCTION("""COMPUTED_VALUE"""),175.414566)</f>
        <v>175.41456600000001</v>
      </c>
      <c r="BJ264" s="9">
        <f ca="1">IFERROR(__xludf.DUMMYFUNCTION("""COMPUTED_VALUE"""),43497)</f>
        <v>43497</v>
      </c>
      <c r="BK264" s="4">
        <f ca="1">IFERROR(__xludf.DUMMYFUNCTION("""COMPUTED_VALUE"""),0.874074074072268)</f>
        <v>0.874074074072268</v>
      </c>
    </row>
    <row r="265" spans="1:63" ht="12.5" x14ac:dyDescent="0.25">
      <c r="A265" s="7" t="str">
        <f ca="1">IFERROR(__xludf.DUMMYFUNCTION("""COMPUTED_VALUE"""),"")</f>
        <v/>
      </c>
      <c r="B265" s="8" t="str">
        <f ca="1">IFERROR(__xludf.DUMMYFUNCTION("""COMPUTED_VALUE"""),"Waikato")</f>
        <v>Waikato</v>
      </c>
      <c r="C265" s="2">
        <f ca="1">IFERROR(__xludf.DUMMYFUNCTION("""COMPUTED_VALUE"""),21)</f>
        <v>21</v>
      </c>
      <c r="D265" s="9" t="str">
        <f ca="1">IFERROR(__xludf.DUMMYFUNCTION("""COMPUTED_VALUE"""),"")</f>
        <v/>
      </c>
      <c r="E265" s="4" t="str">
        <f ca="1">IFERROR(__xludf.DUMMYFUNCTION("""COMPUTED_VALUE"""),"")</f>
        <v/>
      </c>
      <c r="F265" s="2" t="str">
        <f ca="1">IFERROR(__xludf.DUMMYFUNCTION("""COMPUTED_VALUE"""),"")</f>
        <v/>
      </c>
      <c r="G265" s="2" t="str">
        <f ca="1">IFERROR(__xludf.DUMMYFUNCTION("""COMPUTED_VALUE"""),"GPS: I converted data downloaded from ARGOS using Pinpoint software")</f>
        <v>GPS: I converted data downloaded from ARGOS using Pinpoint software</v>
      </c>
      <c r="H265" s="2" t="str">
        <f ca="1">IFERROR(__xludf.DUMMYFUNCTION("""COMPUTED_VALUE"""),"3D")</f>
        <v>3D</v>
      </c>
      <c r="I265" s="2" t="str">
        <f ca="1">IFERROR(__xludf.DUMMYFUNCTION("""COMPUTED_VALUE"""),"")</f>
        <v/>
      </c>
      <c r="J265" s="2" t="str">
        <f ca="1">IFERROR(__xludf.DUMMYFUNCTION("""COMPUTED_VALUE"""),"")</f>
        <v/>
      </c>
      <c r="K265" s="2" t="str">
        <f ca="1">IFERROR(__xludf.DUMMYFUNCTION("""COMPUTED_VALUE"""),"")</f>
        <v/>
      </c>
      <c r="L265" s="2" t="str">
        <f ca="1">IFERROR(__xludf.DUMMYFUNCTION("""COMPUTED_VALUE"""),"")</f>
        <v/>
      </c>
      <c r="M265" s="5" t="str">
        <f ca="1">IFERROR(__xludf.DUMMYFUNCTION("""COMPUTED_VALUE"""),"")</f>
        <v/>
      </c>
      <c r="N265" s="5" t="str">
        <f ca="1">IFERROR(__xludf.DUMMYFUNCTION("""COMPUTED_VALUE"""),"")</f>
        <v/>
      </c>
      <c r="O265" s="2" t="str">
        <f ca="1">IFERROR(__xludf.DUMMYFUNCTION("""COMPUTED_VALUE"""),"")</f>
        <v/>
      </c>
      <c r="P265" s="2" t="str">
        <f ca="1">IFERROR(__xludf.DUMMYFUNCTION("""COMPUTED_VALUE"""),"")</f>
        <v/>
      </c>
      <c r="Q265" s="2" t="str">
        <f ca="1">IFERROR(__xludf.DUMMYFUNCTION("""COMPUTED_VALUE"""),"")</f>
        <v/>
      </c>
      <c r="R265" s="2" t="str">
        <f ca="1">IFERROR(__xludf.DUMMYFUNCTION("""COMPUTED_VALUE"""),"")</f>
        <v/>
      </c>
      <c r="S265" s="2" t="str">
        <f ca="1">IFERROR(__xludf.DUMMYFUNCTION("""COMPUTED_VALUE"""),"")</f>
        <v/>
      </c>
      <c r="T265" s="2" t="str">
        <f ca="1">IFERROR(__xludf.DUMMYFUNCTION("""COMPUTED_VALUE"""),"")</f>
        <v/>
      </c>
      <c r="U265" s="2" t="str">
        <f ca="1">IFERROR(__xludf.DUMMYFUNCTION("""COMPUTED_VALUE"""),"")</f>
        <v/>
      </c>
      <c r="V265" s="2" t="str">
        <f ca="1">IFERROR(__xludf.DUMMYFUNCTION("""COMPUTED_VALUE"""),"")</f>
        <v/>
      </c>
      <c r="W265" s="2" t="str">
        <f ca="1">IFERROR(__xludf.DUMMYFUNCTION("""COMPUTED_VALUE"""),"")</f>
        <v/>
      </c>
      <c r="X265" s="2" t="str">
        <f ca="1">IFERROR(__xludf.DUMMYFUNCTION("""COMPUTED_VALUE"""),"")</f>
        <v/>
      </c>
      <c r="Y265" s="2" t="str">
        <f ca="1">IFERROR(__xludf.DUMMYFUNCTION("""COMPUTED_VALUE"""),"")</f>
        <v/>
      </c>
      <c r="Z265" s="2" t="str">
        <f ca="1">IFERROR(__xludf.DUMMYFUNCTION("""COMPUTED_VALUE"""),"")</f>
        <v/>
      </c>
      <c r="AA265" s="2" t="str">
        <f ca="1">IFERROR(__xludf.DUMMYFUNCTION("""COMPUTED_VALUE"""),"")</f>
        <v/>
      </c>
      <c r="AB265" s="2" t="str">
        <f ca="1">IFERROR(__xludf.DUMMYFUNCTION("""COMPUTED_VALUE"""),"")</f>
        <v/>
      </c>
      <c r="AC265" s="2" t="str">
        <f ca="1">IFERROR(__xludf.DUMMYFUNCTION("""COMPUTED_VALUE"""),"")</f>
        <v/>
      </c>
      <c r="AD265" s="2" t="str">
        <f ca="1">IFERROR(__xludf.DUMMYFUNCTION("""COMPUTED_VALUE"""),"")</f>
        <v/>
      </c>
      <c r="AE265" s="2" t="str">
        <f ca="1">IFERROR(__xludf.DUMMYFUNCTION("""COMPUTED_VALUE"""),"")</f>
        <v/>
      </c>
      <c r="AF265" s="2" t="str">
        <f ca="1">IFERROR(__xludf.DUMMYFUNCTION("""COMPUTED_VALUE"""),"")</f>
        <v/>
      </c>
      <c r="AG265" s="2" t="str">
        <f ca="1">IFERROR(__xludf.DUMMYFUNCTION("""COMPUTED_VALUE"""),"")</f>
        <v/>
      </c>
      <c r="AH265" s="2" t="str">
        <f ca="1">IFERROR(__xludf.DUMMYFUNCTION("""COMPUTED_VALUE"""),"")</f>
        <v/>
      </c>
      <c r="AI265" s="2" t="str">
        <f ca="1">IFERROR(__xludf.DUMMYFUNCTION("""COMPUTED_VALUE"""),"")</f>
        <v/>
      </c>
      <c r="AJ265" s="2" t="str">
        <f ca="1">IFERROR(__xludf.DUMMYFUNCTION("""COMPUTED_VALUE"""),"")</f>
        <v/>
      </c>
      <c r="AK265" s="2" t="str">
        <f ca="1">IFERROR(__xludf.DUMMYFUNCTION("""COMPUTED_VALUE"""),"")</f>
        <v/>
      </c>
      <c r="AL265" s="2" t="str">
        <f ca="1">IFERROR(__xludf.DUMMYFUNCTION("""COMPUTED_VALUE"""),"")</f>
        <v/>
      </c>
      <c r="AM265" s="2" t="str">
        <f ca="1">IFERROR(__xludf.DUMMYFUNCTION("""COMPUTED_VALUE"""),"")</f>
        <v/>
      </c>
      <c r="AN265" s="2" t="str">
        <f ca="1">IFERROR(__xludf.DUMMYFUNCTION("""COMPUTED_VALUE"""),"")</f>
        <v/>
      </c>
      <c r="AO265" s="2" t="str">
        <f ca="1">IFERROR(__xludf.DUMMYFUNCTION("""COMPUTED_VALUE"""),"")</f>
        <v/>
      </c>
      <c r="AP265" s="2" t="str">
        <f ca="1">IFERROR(__xludf.DUMMYFUNCTION("""COMPUTED_VALUE"""),"")</f>
        <v/>
      </c>
      <c r="AQ265" s="2" t="str">
        <f ca="1">IFERROR(__xludf.DUMMYFUNCTION("""COMPUTED_VALUE"""),"")</f>
        <v/>
      </c>
      <c r="AR265" s="2" t="str">
        <f ca="1">IFERROR(__xludf.DUMMYFUNCTION("""COMPUTED_VALUE"""),"")</f>
        <v/>
      </c>
      <c r="AS265" s="2" t="str">
        <f ca="1">IFERROR(__xludf.DUMMYFUNCTION("""COMPUTED_VALUE"""),"")</f>
        <v/>
      </c>
      <c r="AT265" s="2" t="str">
        <f ca="1">IFERROR(__xludf.DUMMYFUNCTION("""COMPUTED_VALUE"""),"")</f>
        <v/>
      </c>
      <c r="AU265" s="2" t="str">
        <f ca="1">IFERROR(__xludf.DUMMYFUNCTION("""COMPUTED_VALUE"""),"")</f>
        <v/>
      </c>
      <c r="AV265" s="2" t="str">
        <f ca="1">IFERROR(__xludf.DUMMYFUNCTION("""COMPUTED_VALUE"""),"")</f>
        <v/>
      </c>
      <c r="AW265" s="2" t="str">
        <f ca="1">IFERROR(__xludf.DUMMYFUNCTION("""COMPUTED_VALUE"""),"")</f>
        <v/>
      </c>
      <c r="AX265" s="2" t="str">
        <f ca="1">IFERROR(__xludf.DUMMYFUNCTION("""COMPUTED_VALUE"""),"")</f>
        <v/>
      </c>
      <c r="AY265" s="2" t="str">
        <f ca="1">IFERROR(__xludf.DUMMYFUNCTION("""COMPUTED_VALUE"""),"")</f>
        <v/>
      </c>
      <c r="AZ265" s="2" t="str">
        <f ca="1">IFERROR(__xludf.DUMMYFUNCTION("""COMPUTED_VALUE"""),"")</f>
        <v/>
      </c>
      <c r="BA265" s="2" t="str">
        <f ca="1">IFERROR(__xludf.DUMMYFUNCTION("""COMPUTED_VALUE"""),"")</f>
        <v/>
      </c>
      <c r="BB265" s="2" t="str">
        <f ca="1">IFERROR(__xludf.DUMMYFUNCTION("""COMPUTED_VALUE"""),"")</f>
        <v/>
      </c>
      <c r="BC265" s="2" t="str">
        <f ca="1">IFERROR(__xludf.DUMMYFUNCTION("""COMPUTED_VALUE"""),"")</f>
        <v/>
      </c>
      <c r="BD265" s="2" t="str">
        <f ca="1">IFERROR(__xludf.DUMMYFUNCTION("""COMPUTED_VALUE"""),"")</f>
        <v/>
      </c>
      <c r="BE265" s="2" t="str">
        <f ca="1">IFERROR(__xludf.DUMMYFUNCTION("""COMPUTED_VALUE"""),"")</f>
        <v/>
      </c>
      <c r="BF265" t="str">
        <f ca="1">IFERROR(__xludf.DUMMYFUNCTION("""COMPUTED_VALUE"""),"")</f>
        <v/>
      </c>
      <c r="BG265" t="str">
        <f ca="1">IFERROR(__xludf.DUMMYFUNCTION("""COMPUTED_VALUE"""),"")</f>
        <v/>
      </c>
      <c r="BH265" s="2">
        <f ca="1">IFERROR(__xludf.DUMMYFUNCTION("""COMPUTED_VALUE"""),-37.3060226)</f>
        <v>-37.306022599999999</v>
      </c>
      <c r="BI265" s="12">
        <f ca="1">IFERROR(__xludf.DUMMYFUNCTION("""COMPUTED_VALUE"""),175.1177368)</f>
        <v>175.11773679999999</v>
      </c>
      <c r="BJ265" s="9">
        <f ca="1">IFERROR(__xludf.DUMMYFUNCTION("""COMPUTED_VALUE"""),43364)</f>
        <v>43364</v>
      </c>
      <c r="BK265" s="4">
        <f ca="1">IFERROR(__xludf.DUMMYFUNCTION("""COMPUTED_VALUE"""),0.875555555554456)</f>
        <v>0.87555555555445597</v>
      </c>
    </row>
    <row r="266" spans="1:63" ht="12.5" x14ac:dyDescent="0.25">
      <c r="A266" s="7" t="str">
        <f ca="1">IFERROR(__xludf.DUMMYFUNCTION("""COMPUTED_VALUE"""),"")</f>
        <v/>
      </c>
      <c r="B266" s="8" t="str">
        <f ca="1">IFERROR(__xludf.DUMMYFUNCTION("""COMPUTED_VALUE"""),"Waikato")</f>
        <v>Waikato</v>
      </c>
      <c r="C266" s="2">
        <f ca="1">IFERROR(__xludf.DUMMYFUNCTION("""COMPUTED_VALUE"""),21)</f>
        <v>21</v>
      </c>
      <c r="D266" s="9" t="str">
        <f ca="1">IFERROR(__xludf.DUMMYFUNCTION("""COMPUTED_VALUE"""),"")</f>
        <v/>
      </c>
      <c r="E266" s="4" t="str">
        <f ca="1">IFERROR(__xludf.DUMMYFUNCTION("""COMPUTED_VALUE"""),"")</f>
        <v/>
      </c>
      <c r="F266" s="2" t="str">
        <f ca="1">IFERROR(__xludf.DUMMYFUNCTION("""COMPUTED_VALUE"""),"")</f>
        <v/>
      </c>
      <c r="G266" s="2" t="str">
        <f ca="1">IFERROR(__xludf.DUMMYFUNCTION("""COMPUTED_VALUE"""),"GPS: I converted data downloaded from ARGOS using Pinpoint software")</f>
        <v>GPS: I converted data downloaded from ARGOS using Pinpoint software</v>
      </c>
      <c r="H266" s="2" t="str">
        <f ca="1">IFERROR(__xludf.DUMMYFUNCTION("""COMPUTED_VALUE"""),"3D")</f>
        <v>3D</v>
      </c>
      <c r="I266" s="2" t="str">
        <f ca="1">IFERROR(__xludf.DUMMYFUNCTION("""COMPUTED_VALUE"""),"")</f>
        <v/>
      </c>
      <c r="J266" s="2" t="str">
        <f ca="1">IFERROR(__xludf.DUMMYFUNCTION("""COMPUTED_VALUE"""),"")</f>
        <v/>
      </c>
      <c r="K266" s="2" t="str">
        <f ca="1">IFERROR(__xludf.DUMMYFUNCTION("""COMPUTED_VALUE"""),"")</f>
        <v/>
      </c>
      <c r="L266" s="2" t="str">
        <f ca="1">IFERROR(__xludf.DUMMYFUNCTION("""COMPUTED_VALUE"""),"")</f>
        <v/>
      </c>
      <c r="M266" s="5" t="str">
        <f ca="1">IFERROR(__xludf.DUMMYFUNCTION("""COMPUTED_VALUE"""),"")</f>
        <v/>
      </c>
      <c r="N266" s="5" t="str">
        <f ca="1">IFERROR(__xludf.DUMMYFUNCTION("""COMPUTED_VALUE"""),"")</f>
        <v/>
      </c>
      <c r="O266" s="2" t="str">
        <f ca="1">IFERROR(__xludf.DUMMYFUNCTION("""COMPUTED_VALUE"""),"")</f>
        <v/>
      </c>
      <c r="P266" s="2" t="str">
        <f ca="1">IFERROR(__xludf.DUMMYFUNCTION("""COMPUTED_VALUE"""),"")</f>
        <v/>
      </c>
      <c r="Q266" s="2" t="str">
        <f ca="1">IFERROR(__xludf.DUMMYFUNCTION("""COMPUTED_VALUE"""),"")</f>
        <v/>
      </c>
      <c r="R266" s="2" t="str">
        <f ca="1">IFERROR(__xludf.DUMMYFUNCTION("""COMPUTED_VALUE"""),"")</f>
        <v/>
      </c>
      <c r="S266" s="2" t="str">
        <f ca="1">IFERROR(__xludf.DUMMYFUNCTION("""COMPUTED_VALUE"""),"")</f>
        <v/>
      </c>
      <c r="T266" s="2" t="str">
        <f ca="1">IFERROR(__xludf.DUMMYFUNCTION("""COMPUTED_VALUE"""),"")</f>
        <v/>
      </c>
      <c r="U266" s="2" t="str">
        <f ca="1">IFERROR(__xludf.DUMMYFUNCTION("""COMPUTED_VALUE"""),"")</f>
        <v/>
      </c>
      <c r="V266" s="2" t="str">
        <f ca="1">IFERROR(__xludf.DUMMYFUNCTION("""COMPUTED_VALUE"""),"")</f>
        <v/>
      </c>
      <c r="W266" s="2" t="str">
        <f ca="1">IFERROR(__xludf.DUMMYFUNCTION("""COMPUTED_VALUE"""),"")</f>
        <v/>
      </c>
      <c r="X266" s="2" t="str">
        <f ca="1">IFERROR(__xludf.DUMMYFUNCTION("""COMPUTED_VALUE"""),"")</f>
        <v/>
      </c>
      <c r="Y266" s="2" t="str">
        <f ca="1">IFERROR(__xludf.DUMMYFUNCTION("""COMPUTED_VALUE"""),"")</f>
        <v/>
      </c>
      <c r="Z266" s="2" t="str">
        <f ca="1">IFERROR(__xludf.DUMMYFUNCTION("""COMPUTED_VALUE"""),"")</f>
        <v/>
      </c>
      <c r="AA266" s="2" t="str">
        <f ca="1">IFERROR(__xludf.DUMMYFUNCTION("""COMPUTED_VALUE"""),"")</f>
        <v/>
      </c>
      <c r="AB266" s="2" t="str">
        <f ca="1">IFERROR(__xludf.DUMMYFUNCTION("""COMPUTED_VALUE"""),"")</f>
        <v/>
      </c>
      <c r="AC266" s="2" t="str">
        <f ca="1">IFERROR(__xludf.DUMMYFUNCTION("""COMPUTED_VALUE"""),"")</f>
        <v/>
      </c>
      <c r="AD266" s="2" t="str">
        <f ca="1">IFERROR(__xludf.DUMMYFUNCTION("""COMPUTED_VALUE"""),"")</f>
        <v/>
      </c>
      <c r="AE266" s="2" t="str">
        <f ca="1">IFERROR(__xludf.DUMMYFUNCTION("""COMPUTED_VALUE"""),"")</f>
        <v/>
      </c>
      <c r="AF266" s="2" t="str">
        <f ca="1">IFERROR(__xludf.DUMMYFUNCTION("""COMPUTED_VALUE"""),"")</f>
        <v/>
      </c>
      <c r="AG266" s="2" t="str">
        <f ca="1">IFERROR(__xludf.DUMMYFUNCTION("""COMPUTED_VALUE"""),"")</f>
        <v/>
      </c>
      <c r="AH266" s="2" t="str">
        <f ca="1">IFERROR(__xludf.DUMMYFUNCTION("""COMPUTED_VALUE"""),"")</f>
        <v/>
      </c>
      <c r="AI266" s="2" t="str">
        <f ca="1">IFERROR(__xludf.DUMMYFUNCTION("""COMPUTED_VALUE"""),"")</f>
        <v/>
      </c>
      <c r="AJ266" s="2" t="str">
        <f ca="1">IFERROR(__xludf.DUMMYFUNCTION("""COMPUTED_VALUE"""),"")</f>
        <v/>
      </c>
      <c r="AK266" s="2" t="str">
        <f ca="1">IFERROR(__xludf.DUMMYFUNCTION("""COMPUTED_VALUE"""),"")</f>
        <v/>
      </c>
      <c r="AL266" s="2" t="str">
        <f ca="1">IFERROR(__xludf.DUMMYFUNCTION("""COMPUTED_VALUE"""),"")</f>
        <v/>
      </c>
      <c r="AM266" s="2" t="str">
        <f ca="1">IFERROR(__xludf.DUMMYFUNCTION("""COMPUTED_VALUE"""),"")</f>
        <v/>
      </c>
      <c r="AN266" s="2" t="str">
        <f ca="1">IFERROR(__xludf.DUMMYFUNCTION("""COMPUTED_VALUE"""),"")</f>
        <v/>
      </c>
      <c r="AO266" s="2" t="str">
        <f ca="1">IFERROR(__xludf.DUMMYFUNCTION("""COMPUTED_VALUE"""),"")</f>
        <v/>
      </c>
      <c r="AP266" s="2" t="str">
        <f ca="1">IFERROR(__xludf.DUMMYFUNCTION("""COMPUTED_VALUE"""),"")</f>
        <v/>
      </c>
      <c r="AQ266" s="2" t="str">
        <f ca="1">IFERROR(__xludf.DUMMYFUNCTION("""COMPUTED_VALUE"""),"")</f>
        <v/>
      </c>
      <c r="AR266" s="2" t="str">
        <f ca="1">IFERROR(__xludf.DUMMYFUNCTION("""COMPUTED_VALUE"""),"")</f>
        <v/>
      </c>
      <c r="AS266" s="2" t="str">
        <f ca="1">IFERROR(__xludf.DUMMYFUNCTION("""COMPUTED_VALUE"""),"")</f>
        <v/>
      </c>
      <c r="AT266" s="2" t="str">
        <f ca="1">IFERROR(__xludf.DUMMYFUNCTION("""COMPUTED_VALUE"""),"")</f>
        <v/>
      </c>
      <c r="AU266" s="2" t="str">
        <f ca="1">IFERROR(__xludf.DUMMYFUNCTION("""COMPUTED_VALUE"""),"")</f>
        <v/>
      </c>
      <c r="AV266" s="2" t="str">
        <f ca="1">IFERROR(__xludf.DUMMYFUNCTION("""COMPUTED_VALUE"""),"")</f>
        <v/>
      </c>
      <c r="AW266" s="2" t="str">
        <f ca="1">IFERROR(__xludf.DUMMYFUNCTION("""COMPUTED_VALUE"""),"")</f>
        <v/>
      </c>
      <c r="AX266" s="2" t="str">
        <f ca="1">IFERROR(__xludf.DUMMYFUNCTION("""COMPUTED_VALUE"""),"")</f>
        <v/>
      </c>
      <c r="AY266" s="2" t="str">
        <f ca="1">IFERROR(__xludf.DUMMYFUNCTION("""COMPUTED_VALUE"""),"")</f>
        <v/>
      </c>
      <c r="AZ266" s="2" t="str">
        <f ca="1">IFERROR(__xludf.DUMMYFUNCTION("""COMPUTED_VALUE"""),"")</f>
        <v/>
      </c>
      <c r="BA266" s="2" t="str">
        <f ca="1">IFERROR(__xludf.DUMMYFUNCTION("""COMPUTED_VALUE"""),"")</f>
        <v/>
      </c>
      <c r="BB266" s="2" t="str">
        <f ca="1">IFERROR(__xludf.DUMMYFUNCTION("""COMPUTED_VALUE"""),"")</f>
        <v/>
      </c>
      <c r="BC266" s="2" t="str">
        <f ca="1">IFERROR(__xludf.DUMMYFUNCTION("""COMPUTED_VALUE"""),"")</f>
        <v/>
      </c>
      <c r="BD266" s="2" t="str">
        <f ca="1">IFERROR(__xludf.DUMMYFUNCTION("""COMPUTED_VALUE"""),"")</f>
        <v/>
      </c>
      <c r="BE266" s="2" t="str">
        <f ca="1">IFERROR(__xludf.DUMMYFUNCTION("""COMPUTED_VALUE"""),"")</f>
        <v/>
      </c>
      <c r="BF266" t="str">
        <f ca="1">IFERROR(__xludf.DUMMYFUNCTION("""COMPUTED_VALUE"""),"")</f>
        <v/>
      </c>
      <c r="BG266" t="str">
        <f ca="1">IFERROR(__xludf.DUMMYFUNCTION("""COMPUTED_VALUE"""),"")</f>
        <v/>
      </c>
      <c r="BH266" s="2">
        <f ca="1">IFERROR(__xludf.DUMMYFUNCTION("""COMPUTED_VALUE"""),-37.286232)</f>
        <v>-37.286231999999998</v>
      </c>
      <c r="BI266" s="13">
        <f ca="1">IFERROR(__xludf.DUMMYFUNCTION("""COMPUTED_VALUE"""),175.085556)</f>
        <v>175.085556</v>
      </c>
      <c r="BJ266" s="9">
        <f ca="1">IFERROR(__xludf.DUMMYFUNCTION("""COMPUTED_VALUE"""),43371)</f>
        <v>43371</v>
      </c>
      <c r="BK266" s="4">
        <f ca="1">IFERROR(__xludf.DUMMYFUNCTION("""COMPUTED_VALUE"""),0.874074074072268)</f>
        <v>0.874074074072268</v>
      </c>
    </row>
    <row r="267" spans="1:63" ht="12.5" x14ac:dyDescent="0.25">
      <c r="A267" s="7" t="str">
        <f ca="1">IFERROR(__xludf.DUMMYFUNCTION("""COMPUTED_VALUE"""),"")</f>
        <v/>
      </c>
      <c r="B267" s="8" t="str">
        <f ca="1">IFERROR(__xludf.DUMMYFUNCTION("""COMPUTED_VALUE"""),"Waikato")</f>
        <v>Waikato</v>
      </c>
      <c r="C267" s="2">
        <f ca="1">IFERROR(__xludf.DUMMYFUNCTION("""COMPUTED_VALUE"""),21)</f>
        <v>21</v>
      </c>
      <c r="D267" s="9" t="str">
        <f ca="1">IFERROR(__xludf.DUMMYFUNCTION("""COMPUTED_VALUE"""),"")</f>
        <v/>
      </c>
      <c r="E267" s="4" t="str">
        <f ca="1">IFERROR(__xludf.DUMMYFUNCTION("""COMPUTED_VALUE"""),"")</f>
        <v/>
      </c>
      <c r="F267" s="2" t="str">
        <f ca="1">IFERROR(__xludf.DUMMYFUNCTION("""COMPUTED_VALUE"""),"")</f>
        <v/>
      </c>
      <c r="G267" s="2" t="str">
        <f ca="1">IFERROR(__xludf.DUMMYFUNCTION("""COMPUTED_VALUE"""),"GPS: I converted data downloaded from ARGOS using Pinpoint software")</f>
        <v>GPS: I converted data downloaded from ARGOS using Pinpoint software</v>
      </c>
      <c r="H267" s="2" t="str">
        <f ca="1">IFERROR(__xludf.DUMMYFUNCTION("""COMPUTED_VALUE"""),"3D")</f>
        <v>3D</v>
      </c>
      <c r="I267" s="2" t="str">
        <f ca="1">IFERROR(__xludf.DUMMYFUNCTION("""COMPUTED_VALUE"""),"")</f>
        <v/>
      </c>
      <c r="J267" s="2" t="str">
        <f ca="1">IFERROR(__xludf.DUMMYFUNCTION("""COMPUTED_VALUE"""),"")</f>
        <v/>
      </c>
      <c r="K267" s="2" t="str">
        <f ca="1">IFERROR(__xludf.DUMMYFUNCTION("""COMPUTED_VALUE"""),"")</f>
        <v/>
      </c>
      <c r="L267" s="2" t="str">
        <f ca="1">IFERROR(__xludf.DUMMYFUNCTION("""COMPUTED_VALUE"""),"")</f>
        <v/>
      </c>
      <c r="M267" s="5" t="str">
        <f ca="1">IFERROR(__xludf.DUMMYFUNCTION("""COMPUTED_VALUE"""),"")</f>
        <v/>
      </c>
      <c r="N267" s="5" t="str">
        <f ca="1">IFERROR(__xludf.DUMMYFUNCTION("""COMPUTED_VALUE"""),"")</f>
        <v/>
      </c>
      <c r="O267" s="2" t="str">
        <f ca="1">IFERROR(__xludf.DUMMYFUNCTION("""COMPUTED_VALUE"""),"")</f>
        <v/>
      </c>
      <c r="P267" s="2" t="str">
        <f ca="1">IFERROR(__xludf.DUMMYFUNCTION("""COMPUTED_VALUE"""),"")</f>
        <v/>
      </c>
      <c r="Q267" s="2" t="str">
        <f ca="1">IFERROR(__xludf.DUMMYFUNCTION("""COMPUTED_VALUE"""),"")</f>
        <v/>
      </c>
      <c r="R267" s="2" t="str">
        <f ca="1">IFERROR(__xludf.DUMMYFUNCTION("""COMPUTED_VALUE"""),"")</f>
        <v/>
      </c>
      <c r="S267" s="2" t="str">
        <f ca="1">IFERROR(__xludf.DUMMYFUNCTION("""COMPUTED_VALUE"""),"")</f>
        <v/>
      </c>
      <c r="T267" s="2" t="str">
        <f ca="1">IFERROR(__xludf.DUMMYFUNCTION("""COMPUTED_VALUE"""),"")</f>
        <v/>
      </c>
      <c r="U267" s="2" t="str">
        <f ca="1">IFERROR(__xludf.DUMMYFUNCTION("""COMPUTED_VALUE"""),"")</f>
        <v/>
      </c>
      <c r="V267" s="2" t="str">
        <f ca="1">IFERROR(__xludf.DUMMYFUNCTION("""COMPUTED_VALUE"""),"")</f>
        <v/>
      </c>
      <c r="W267" s="2" t="str">
        <f ca="1">IFERROR(__xludf.DUMMYFUNCTION("""COMPUTED_VALUE"""),"")</f>
        <v/>
      </c>
      <c r="X267" s="2" t="str">
        <f ca="1">IFERROR(__xludf.DUMMYFUNCTION("""COMPUTED_VALUE"""),"")</f>
        <v/>
      </c>
      <c r="Y267" s="2" t="str">
        <f ca="1">IFERROR(__xludf.DUMMYFUNCTION("""COMPUTED_VALUE"""),"")</f>
        <v/>
      </c>
      <c r="Z267" s="2" t="str">
        <f ca="1">IFERROR(__xludf.DUMMYFUNCTION("""COMPUTED_VALUE"""),"")</f>
        <v/>
      </c>
      <c r="AA267" s="2" t="str">
        <f ca="1">IFERROR(__xludf.DUMMYFUNCTION("""COMPUTED_VALUE"""),"")</f>
        <v/>
      </c>
      <c r="AB267" s="2" t="str">
        <f ca="1">IFERROR(__xludf.DUMMYFUNCTION("""COMPUTED_VALUE"""),"")</f>
        <v/>
      </c>
      <c r="AC267" s="2" t="str">
        <f ca="1">IFERROR(__xludf.DUMMYFUNCTION("""COMPUTED_VALUE"""),"")</f>
        <v/>
      </c>
      <c r="AD267" s="2" t="str">
        <f ca="1">IFERROR(__xludf.DUMMYFUNCTION("""COMPUTED_VALUE"""),"")</f>
        <v/>
      </c>
      <c r="AE267" s="2" t="str">
        <f ca="1">IFERROR(__xludf.DUMMYFUNCTION("""COMPUTED_VALUE"""),"")</f>
        <v/>
      </c>
      <c r="AF267" s="2" t="str">
        <f ca="1">IFERROR(__xludf.DUMMYFUNCTION("""COMPUTED_VALUE"""),"")</f>
        <v/>
      </c>
      <c r="AG267" s="2" t="str">
        <f ca="1">IFERROR(__xludf.DUMMYFUNCTION("""COMPUTED_VALUE"""),"")</f>
        <v/>
      </c>
      <c r="AH267" s="2" t="str">
        <f ca="1">IFERROR(__xludf.DUMMYFUNCTION("""COMPUTED_VALUE"""),"")</f>
        <v/>
      </c>
      <c r="AI267" s="2" t="str">
        <f ca="1">IFERROR(__xludf.DUMMYFUNCTION("""COMPUTED_VALUE"""),"")</f>
        <v/>
      </c>
      <c r="AJ267" s="2" t="str">
        <f ca="1">IFERROR(__xludf.DUMMYFUNCTION("""COMPUTED_VALUE"""),"")</f>
        <v/>
      </c>
      <c r="AK267" s="2" t="str">
        <f ca="1">IFERROR(__xludf.DUMMYFUNCTION("""COMPUTED_VALUE"""),"")</f>
        <v/>
      </c>
      <c r="AL267" s="2" t="str">
        <f ca="1">IFERROR(__xludf.DUMMYFUNCTION("""COMPUTED_VALUE"""),"")</f>
        <v/>
      </c>
      <c r="AM267" s="2" t="str">
        <f ca="1">IFERROR(__xludf.DUMMYFUNCTION("""COMPUTED_VALUE"""),"")</f>
        <v/>
      </c>
      <c r="AN267" s="2" t="str">
        <f ca="1">IFERROR(__xludf.DUMMYFUNCTION("""COMPUTED_VALUE"""),"")</f>
        <v/>
      </c>
      <c r="AO267" s="2" t="str">
        <f ca="1">IFERROR(__xludf.DUMMYFUNCTION("""COMPUTED_VALUE"""),"")</f>
        <v/>
      </c>
      <c r="AP267" s="2" t="str">
        <f ca="1">IFERROR(__xludf.DUMMYFUNCTION("""COMPUTED_VALUE"""),"")</f>
        <v/>
      </c>
      <c r="AQ267" s="2" t="str">
        <f ca="1">IFERROR(__xludf.DUMMYFUNCTION("""COMPUTED_VALUE"""),"")</f>
        <v/>
      </c>
      <c r="AR267" s="2" t="str">
        <f ca="1">IFERROR(__xludf.DUMMYFUNCTION("""COMPUTED_VALUE"""),"")</f>
        <v/>
      </c>
      <c r="AS267" s="2" t="str">
        <f ca="1">IFERROR(__xludf.DUMMYFUNCTION("""COMPUTED_VALUE"""),"")</f>
        <v/>
      </c>
      <c r="AT267" s="2" t="str">
        <f ca="1">IFERROR(__xludf.DUMMYFUNCTION("""COMPUTED_VALUE"""),"")</f>
        <v/>
      </c>
      <c r="AU267" s="2" t="str">
        <f ca="1">IFERROR(__xludf.DUMMYFUNCTION("""COMPUTED_VALUE"""),"")</f>
        <v/>
      </c>
      <c r="AV267" s="2" t="str">
        <f ca="1">IFERROR(__xludf.DUMMYFUNCTION("""COMPUTED_VALUE"""),"")</f>
        <v/>
      </c>
      <c r="AW267" s="2" t="str">
        <f ca="1">IFERROR(__xludf.DUMMYFUNCTION("""COMPUTED_VALUE"""),"")</f>
        <v/>
      </c>
      <c r="AX267" s="2" t="str">
        <f ca="1">IFERROR(__xludf.DUMMYFUNCTION("""COMPUTED_VALUE"""),"")</f>
        <v/>
      </c>
      <c r="AY267" s="2" t="str">
        <f ca="1">IFERROR(__xludf.DUMMYFUNCTION("""COMPUTED_VALUE"""),"")</f>
        <v/>
      </c>
      <c r="AZ267" s="2" t="str">
        <f ca="1">IFERROR(__xludf.DUMMYFUNCTION("""COMPUTED_VALUE"""),"")</f>
        <v/>
      </c>
      <c r="BA267" s="2" t="str">
        <f ca="1">IFERROR(__xludf.DUMMYFUNCTION("""COMPUTED_VALUE"""),"")</f>
        <v/>
      </c>
      <c r="BB267" s="2" t="str">
        <f ca="1">IFERROR(__xludf.DUMMYFUNCTION("""COMPUTED_VALUE"""),"")</f>
        <v/>
      </c>
      <c r="BC267" s="2" t="str">
        <f ca="1">IFERROR(__xludf.DUMMYFUNCTION("""COMPUTED_VALUE"""),"")</f>
        <v/>
      </c>
      <c r="BD267" s="2" t="str">
        <f ca="1">IFERROR(__xludf.DUMMYFUNCTION("""COMPUTED_VALUE"""),"")</f>
        <v/>
      </c>
      <c r="BE267" s="2" t="str">
        <f ca="1">IFERROR(__xludf.DUMMYFUNCTION("""COMPUTED_VALUE"""),"")</f>
        <v/>
      </c>
      <c r="BF267" t="str">
        <f ca="1">IFERROR(__xludf.DUMMYFUNCTION("""COMPUTED_VALUE"""),"")</f>
        <v/>
      </c>
      <c r="BG267" t="str">
        <f ca="1">IFERROR(__xludf.DUMMYFUNCTION("""COMPUTED_VALUE"""),"")</f>
        <v/>
      </c>
      <c r="BH267" s="2">
        <f ca="1">IFERROR(__xludf.DUMMYFUNCTION("""COMPUTED_VALUE"""),-37.274971)</f>
        <v>-37.274971000000001</v>
      </c>
      <c r="BI267" s="12">
        <f ca="1">IFERROR(__xludf.DUMMYFUNCTION("""COMPUTED_VALUE"""),175.1408539)</f>
        <v>175.1408539</v>
      </c>
      <c r="BJ267" s="9">
        <f ca="1">IFERROR(__xludf.DUMMYFUNCTION("""COMPUTED_VALUE"""),43374)</f>
        <v>43374</v>
      </c>
      <c r="BK267" s="4">
        <f ca="1">IFERROR(__xludf.DUMMYFUNCTION("""COMPUTED_VALUE"""),0.457777777777664)</f>
        <v>0.45777777777766399</v>
      </c>
    </row>
    <row r="268" spans="1:63" ht="12.5" x14ac:dyDescent="0.25">
      <c r="A268" s="7" t="str">
        <f ca="1">IFERROR(__xludf.DUMMYFUNCTION("""COMPUTED_VALUE"""),"")</f>
        <v/>
      </c>
      <c r="B268" s="8" t="str">
        <f ca="1">IFERROR(__xludf.DUMMYFUNCTION("""COMPUTED_VALUE"""),"Waikato")</f>
        <v>Waikato</v>
      </c>
      <c r="C268" s="2">
        <f ca="1">IFERROR(__xludf.DUMMYFUNCTION("""COMPUTED_VALUE"""),21)</f>
        <v>21</v>
      </c>
      <c r="D268" s="9" t="str">
        <f ca="1">IFERROR(__xludf.DUMMYFUNCTION("""COMPUTED_VALUE"""),"")</f>
        <v/>
      </c>
      <c r="E268" s="4" t="str">
        <f ca="1">IFERROR(__xludf.DUMMYFUNCTION("""COMPUTED_VALUE"""),"")</f>
        <v/>
      </c>
      <c r="F268" s="2" t="str">
        <f ca="1">IFERROR(__xludf.DUMMYFUNCTION("""COMPUTED_VALUE"""),"")</f>
        <v/>
      </c>
      <c r="G268" s="2" t="str">
        <f ca="1">IFERROR(__xludf.DUMMYFUNCTION("""COMPUTED_VALUE"""),"GPS: I converted data downloaded from ARGOS using Pinpoint software")</f>
        <v>GPS: I converted data downloaded from ARGOS using Pinpoint software</v>
      </c>
      <c r="H268" s="2" t="str">
        <f ca="1">IFERROR(__xludf.DUMMYFUNCTION("""COMPUTED_VALUE"""),"3D")</f>
        <v>3D</v>
      </c>
      <c r="I268" s="2" t="str">
        <f ca="1">IFERROR(__xludf.DUMMYFUNCTION("""COMPUTED_VALUE"""),"")</f>
        <v/>
      </c>
      <c r="J268" s="2" t="str">
        <f ca="1">IFERROR(__xludf.DUMMYFUNCTION("""COMPUTED_VALUE"""),"")</f>
        <v/>
      </c>
      <c r="K268" s="2" t="str">
        <f ca="1">IFERROR(__xludf.DUMMYFUNCTION("""COMPUTED_VALUE"""),"")</f>
        <v/>
      </c>
      <c r="L268" s="2" t="str">
        <f ca="1">IFERROR(__xludf.DUMMYFUNCTION("""COMPUTED_VALUE"""),"")</f>
        <v/>
      </c>
      <c r="M268" s="5" t="str">
        <f ca="1">IFERROR(__xludf.DUMMYFUNCTION("""COMPUTED_VALUE"""),"")</f>
        <v/>
      </c>
      <c r="N268" s="5" t="str">
        <f ca="1">IFERROR(__xludf.DUMMYFUNCTION("""COMPUTED_VALUE"""),"")</f>
        <v/>
      </c>
      <c r="O268" s="2" t="str">
        <f ca="1">IFERROR(__xludf.DUMMYFUNCTION("""COMPUTED_VALUE"""),"")</f>
        <v/>
      </c>
      <c r="P268" s="2" t="str">
        <f ca="1">IFERROR(__xludf.DUMMYFUNCTION("""COMPUTED_VALUE"""),"")</f>
        <v/>
      </c>
      <c r="Q268" s="2" t="str">
        <f ca="1">IFERROR(__xludf.DUMMYFUNCTION("""COMPUTED_VALUE"""),"")</f>
        <v/>
      </c>
      <c r="R268" s="2" t="str">
        <f ca="1">IFERROR(__xludf.DUMMYFUNCTION("""COMPUTED_VALUE"""),"")</f>
        <v/>
      </c>
      <c r="S268" s="2" t="str">
        <f ca="1">IFERROR(__xludf.DUMMYFUNCTION("""COMPUTED_VALUE"""),"")</f>
        <v/>
      </c>
      <c r="T268" s="2" t="str">
        <f ca="1">IFERROR(__xludf.DUMMYFUNCTION("""COMPUTED_VALUE"""),"")</f>
        <v/>
      </c>
      <c r="U268" s="2" t="str">
        <f ca="1">IFERROR(__xludf.DUMMYFUNCTION("""COMPUTED_VALUE"""),"")</f>
        <v/>
      </c>
      <c r="V268" s="2" t="str">
        <f ca="1">IFERROR(__xludf.DUMMYFUNCTION("""COMPUTED_VALUE"""),"")</f>
        <v/>
      </c>
      <c r="W268" s="2" t="str">
        <f ca="1">IFERROR(__xludf.DUMMYFUNCTION("""COMPUTED_VALUE"""),"")</f>
        <v/>
      </c>
      <c r="X268" s="2" t="str">
        <f ca="1">IFERROR(__xludf.DUMMYFUNCTION("""COMPUTED_VALUE"""),"")</f>
        <v/>
      </c>
      <c r="Y268" s="2" t="str">
        <f ca="1">IFERROR(__xludf.DUMMYFUNCTION("""COMPUTED_VALUE"""),"")</f>
        <v/>
      </c>
      <c r="Z268" s="2" t="str">
        <f ca="1">IFERROR(__xludf.DUMMYFUNCTION("""COMPUTED_VALUE"""),"")</f>
        <v/>
      </c>
      <c r="AA268" s="2" t="str">
        <f ca="1">IFERROR(__xludf.DUMMYFUNCTION("""COMPUTED_VALUE"""),"")</f>
        <v/>
      </c>
      <c r="AB268" s="2" t="str">
        <f ca="1">IFERROR(__xludf.DUMMYFUNCTION("""COMPUTED_VALUE"""),"")</f>
        <v/>
      </c>
      <c r="AC268" s="2" t="str">
        <f ca="1">IFERROR(__xludf.DUMMYFUNCTION("""COMPUTED_VALUE"""),"")</f>
        <v/>
      </c>
      <c r="AD268" s="2" t="str">
        <f ca="1">IFERROR(__xludf.DUMMYFUNCTION("""COMPUTED_VALUE"""),"")</f>
        <v/>
      </c>
      <c r="AE268" s="2" t="str">
        <f ca="1">IFERROR(__xludf.DUMMYFUNCTION("""COMPUTED_VALUE"""),"")</f>
        <v/>
      </c>
      <c r="AF268" s="2" t="str">
        <f ca="1">IFERROR(__xludf.DUMMYFUNCTION("""COMPUTED_VALUE"""),"")</f>
        <v/>
      </c>
      <c r="AG268" s="2" t="str">
        <f ca="1">IFERROR(__xludf.DUMMYFUNCTION("""COMPUTED_VALUE"""),"")</f>
        <v/>
      </c>
      <c r="AH268" s="2" t="str">
        <f ca="1">IFERROR(__xludf.DUMMYFUNCTION("""COMPUTED_VALUE"""),"")</f>
        <v/>
      </c>
      <c r="AI268" s="2" t="str">
        <f ca="1">IFERROR(__xludf.DUMMYFUNCTION("""COMPUTED_VALUE"""),"")</f>
        <v/>
      </c>
      <c r="AJ268" s="2" t="str">
        <f ca="1">IFERROR(__xludf.DUMMYFUNCTION("""COMPUTED_VALUE"""),"")</f>
        <v/>
      </c>
      <c r="AK268" s="2" t="str">
        <f ca="1">IFERROR(__xludf.DUMMYFUNCTION("""COMPUTED_VALUE"""),"")</f>
        <v/>
      </c>
      <c r="AL268" s="2" t="str">
        <f ca="1">IFERROR(__xludf.DUMMYFUNCTION("""COMPUTED_VALUE"""),"")</f>
        <v/>
      </c>
      <c r="AM268" s="2" t="str">
        <f ca="1">IFERROR(__xludf.DUMMYFUNCTION("""COMPUTED_VALUE"""),"")</f>
        <v/>
      </c>
      <c r="AN268" s="2" t="str">
        <f ca="1">IFERROR(__xludf.DUMMYFUNCTION("""COMPUTED_VALUE"""),"")</f>
        <v/>
      </c>
      <c r="AO268" s="2" t="str">
        <f ca="1">IFERROR(__xludf.DUMMYFUNCTION("""COMPUTED_VALUE"""),"")</f>
        <v/>
      </c>
      <c r="AP268" s="2" t="str">
        <f ca="1">IFERROR(__xludf.DUMMYFUNCTION("""COMPUTED_VALUE"""),"")</f>
        <v/>
      </c>
      <c r="AQ268" s="2" t="str">
        <f ca="1">IFERROR(__xludf.DUMMYFUNCTION("""COMPUTED_VALUE"""),"")</f>
        <v/>
      </c>
      <c r="AR268" s="2" t="str">
        <f ca="1">IFERROR(__xludf.DUMMYFUNCTION("""COMPUTED_VALUE"""),"")</f>
        <v/>
      </c>
      <c r="AS268" s="2" t="str">
        <f ca="1">IFERROR(__xludf.DUMMYFUNCTION("""COMPUTED_VALUE"""),"")</f>
        <v/>
      </c>
      <c r="AT268" s="2" t="str">
        <f ca="1">IFERROR(__xludf.DUMMYFUNCTION("""COMPUTED_VALUE"""),"")</f>
        <v/>
      </c>
      <c r="AU268" s="2" t="str">
        <f ca="1">IFERROR(__xludf.DUMMYFUNCTION("""COMPUTED_VALUE"""),"")</f>
        <v/>
      </c>
      <c r="AV268" s="2" t="str">
        <f ca="1">IFERROR(__xludf.DUMMYFUNCTION("""COMPUTED_VALUE"""),"")</f>
        <v/>
      </c>
      <c r="AW268" s="2" t="str">
        <f ca="1">IFERROR(__xludf.DUMMYFUNCTION("""COMPUTED_VALUE"""),"")</f>
        <v/>
      </c>
      <c r="AX268" s="2" t="str">
        <f ca="1">IFERROR(__xludf.DUMMYFUNCTION("""COMPUTED_VALUE"""),"")</f>
        <v/>
      </c>
      <c r="AY268" s="2" t="str">
        <f ca="1">IFERROR(__xludf.DUMMYFUNCTION("""COMPUTED_VALUE"""),"")</f>
        <v/>
      </c>
      <c r="AZ268" s="2" t="str">
        <f ca="1">IFERROR(__xludf.DUMMYFUNCTION("""COMPUTED_VALUE"""),"")</f>
        <v/>
      </c>
      <c r="BA268" s="2" t="str">
        <f ca="1">IFERROR(__xludf.DUMMYFUNCTION("""COMPUTED_VALUE"""),"")</f>
        <v/>
      </c>
      <c r="BB268" s="2" t="str">
        <f ca="1">IFERROR(__xludf.DUMMYFUNCTION("""COMPUTED_VALUE"""),"")</f>
        <v/>
      </c>
      <c r="BC268" s="2" t="str">
        <f ca="1">IFERROR(__xludf.DUMMYFUNCTION("""COMPUTED_VALUE"""),"")</f>
        <v/>
      </c>
      <c r="BD268" s="2" t="str">
        <f ca="1">IFERROR(__xludf.DUMMYFUNCTION("""COMPUTED_VALUE"""),"")</f>
        <v/>
      </c>
      <c r="BE268" s="2" t="str">
        <f ca="1">IFERROR(__xludf.DUMMYFUNCTION("""COMPUTED_VALUE"""),"")</f>
        <v/>
      </c>
      <c r="BF268" t="str">
        <f ca="1">IFERROR(__xludf.DUMMYFUNCTION("""COMPUTED_VALUE"""),"")</f>
        <v/>
      </c>
      <c r="BG268" t="str">
        <f ca="1">IFERROR(__xludf.DUMMYFUNCTION("""COMPUTED_VALUE"""),"")</f>
        <v/>
      </c>
      <c r="BH268" s="2">
        <f ca="1">IFERROR(__xludf.DUMMYFUNCTION("""COMPUTED_VALUE"""),-37.274662)</f>
        <v>-37.274661999999999</v>
      </c>
      <c r="BI268" s="13">
        <f ca="1">IFERROR(__xludf.DUMMYFUNCTION("""COMPUTED_VALUE"""),175.1413116)</f>
        <v>175.14131159999999</v>
      </c>
      <c r="BJ268" s="9">
        <f ca="1">IFERROR(__xludf.DUMMYFUNCTION("""COMPUTED_VALUE"""),43374)</f>
        <v>43374</v>
      </c>
      <c r="BK268" s="4">
        <f ca="1">IFERROR(__xludf.DUMMYFUNCTION("""COMPUTED_VALUE"""),0.958518518516939)</f>
        <v>0.95851851851693903</v>
      </c>
    </row>
    <row r="269" spans="1:63" ht="12.5" x14ac:dyDescent="0.25">
      <c r="A269" s="7" t="str">
        <f ca="1">IFERROR(__xludf.DUMMYFUNCTION("""COMPUTED_VALUE"""),"")</f>
        <v/>
      </c>
      <c r="B269" s="8" t="str">
        <f ca="1">IFERROR(__xludf.DUMMYFUNCTION("""COMPUTED_VALUE"""),"Waikato")</f>
        <v>Waikato</v>
      </c>
      <c r="C269" s="2">
        <f ca="1">IFERROR(__xludf.DUMMYFUNCTION("""COMPUTED_VALUE"""),21)</f>
        <v>21</v>
      </c>
      <c r="D269" s="9" t="str">
        <f ca="1">IFERROR(__xludf.DUMMYFUNCTION("""COMPUTED_VALUE"""),"")</f>
        <v/>
      </c>
      <c r="E269" s="4" t="str">
        <f ca="1">IFERROR(__xludf.DUMMYFUNCTION("""COMPUTED_VALUE"""),"")</f>
        <v/>
      </c>
      <c r="F269" s="2" t="str">
        <f ca="1">IFERROR(__xludf.DUMMYFUNCTION("""COMPUTED_VALUE"""),"")</f>
        <v/>
      </c>
      <c r="G269" s="2" t="str">
        <f ca="1">IFERROR(__xludf.DUMMYFUNCTION("""COMPUTED_VALUE"""),"GPS: I converted data downloaded from ARGOS using Pinpoint software")</f>
        <v>GPS: I converted data downloaded from ARGOS using Pinpoint software</v>
      </c>
      <c r="H269" s="2" t="str">
        <f ca="1">IFERROR(__xludf.DUMMYFUNCTION("""COMPUTED_VALUE"""),"3D")</f>
        <v>3D</v>
      </c>
      <c r="I269" s="2" t="str">
        <f ca="1">IFERROR(__xludf.DUMMYFUNCTION("""COMPUTED_VALUE"""),"")</f>
        <v/>
      </c>
      <c r="J269" s="2" t="str">
        <f ca="1">IFERROR(__xludf.DUMMYFUNCTION("""COMPUTED_VALUE"""),"")</f>
        <v/>
      </c>
      <c r="K269" s="2" t="str">
        <f ca="1">IFERROR(__xludf.DUMMYFUNCTION("""COMPUTED_VALUE"""),"")</f>
        <v/>
      </c>
      <c r="L269" s="2" t="str">
        <f ca="1">IFERROR(__xludf.DUMMYFUNCTION("""COMPUTED_VALUE"""),"")</f>
        <v/>
      </c>
      <c r="M269" s="5" t="str">
        <f ca="1">IFERROR(__xludf.DUMMYFUNCTION("""COMPUTED_VALUE"""),"")</f>
        <v/>
      </c>
      <c r="N269" s="5" t="str">
        <f ca="1">IFERROR(__xludf.DUMMYFUNCTION("""COMPUTED_VALUE"""),"")</f>
        <v/>
      </c>
      <c r="O269" s="2" t="str">
        <f ca="1">IFERROR(__xludf.DUMMYFUNCTION("""COMPUTED_VALUE"""),"")</f>
        <v/>
      </c>
      <c r="P269" s="2" t="str">
        <f ca="1">IFERROR(__xludf.DUMMYFUNCTION("""COMPUTED_VALUE"""),"")</f>
        <v/>
      </c>
      <c r="Q269" s="2" t="str">
        <f ca="1">IFERROR(__xludf.DUMMYFUNCTION("""COMPUTED_VALUE"""),"")</f>
        <v/>
      </c>
      <c r="R269" s="2" t="str">
        <f ca="1">IFERROR(__xludf.DUMMYFUNCTION("""COMPUTED_VALUE"""),"")</f>
        <v/>
      </c>
      <c r="S269" s="2" t="str">
        <f ca="1">IFERROR(__xludf.DUMMYFUNCTION("""COMPUTED_VALUE"""),"")</f>
        <v/>
      </c>
      <c r="T269" s="2" t="str">
        <f ca="1">IFERROR(__xludf.DUMMYFUNCTION("""COMPUTED_VALUE"""),"")</f>
        <v/>
      </c>
      <c r="U269" s="2" t="str">
        <f ca="1">IFERROR(__xludf.DUMMYFUNCTION("""COMPUTED_VALUE"""),"")</f>
        <v/>
      </c>
      <c r="V269" s="2" t="str">
        <f ca="1">IFERROR(__xludf.DUMMYFUNCTION("""COMPUTED_VALUE"""),"")</f>
        <v/>
      </c>
      <c r="W269" s="2" t="str">
        <f ca="1">IFERROR(__xludf.DUMMYFUNCTION("""COMPUTED_VALUE"""),"")</f>
        <v/>
      </c>
      <c r="X269" s="2" t="str">
        <f ca="1">IFERROR(__xludf.DUMMYFUNCTION("""COMPUTED_VALUE"""),"")</f>
        <v/>
      </c>
      <c r="Y269" s="2" t="str">
        <f ca="1">IFERROR(__xludf.DUMMYFUNCTION("""COMPUTED_VALUE"""),"")</f>
        <v/>
      </c>
      <c r="Z269" s="2" t="str">
        <f ca="1">IFERROR(__xludf.DUMMYFUNCTION("""COMPUTED_VALUE"""),"")</f>
        <v/>
      </c>
      <c r="AA269" s="2" t="str">
        <f ca="1">IFERROR(__xludf.DUMMYFUNCTION("""COMPUTED_VALUE"""),"")</f>
        <v/>
      </c>
      <c r="AB269" s="2" t="str">
        <f ca="1">IFERROR(__xludf.DUMMYFUNCTION("""COMPUTED_VALUE"""),"")</f>
        <v/>
      </c>
      <c r="AC269" s="2" t="str">
        <f ca="1">IFERROR(__xludf.DUMMYFUNCTION("""COMPUTED_VALUE"""),"")</f>
        <v/>
      </c>
      <c r="AD269" s="2" t="str">
        <f ca="1">IFERROR(__xludf.DUMMYFUNCTION("""COMPUTED_VALUE"""),"")</f>
        <v/>
      </c>
      <c r="AE269" s="2" t="str">
        <f ca="1">IFERROR(__xludf.DUMMYFUNCTION("""COMPUTED_VALUE"""),"")</f>
        <v/>
      </c>
      <c r="AF269" s="2" t="str">
        <f ca="1">IFERROR(__xludf.DUMMYFUNCTION("""COMPUTED_VALUE"""),"")</f>
        <v/>
      </c>
      <c r="AG269" s="2" t="str">
        <f ca="1">IFERROR(__xludf.DUMMYFUNCTION("""COMPUTED_VALUE"""),"")</f>
        <v/>
      </c>
      <c r="AH269" s="2" t="str">
        <f ca="1">IFERROR(__xludf.DUMMYFUNCTION("""COMPUTED_VALUE"""),"")</f>
        <v/>
      </c>
      <c r="AI269" s="2" t="str">
        <f ca="1">IFERROR(__xludf.DUMMYFUNCTION("""COMPUTED_VALUE"""),"")</f>
        <v/>
      </c>
      <c r="AJ269" s="2" t="str">
        <f ca="1">IFERROR(__xludf.DUMMYFUNCTION("""COMPUTED_VALUE"""),"")</f>
        <v/>
      </c>
      <c r="AK269" s="2" t="str">
        <f ca="1">IFERROR(__xludf.DUMMYFUNCTION("""COMPUTED_VALUE"""),"")</f>
        <v/>
      </c>
      <c r="AL269" s="2" t="str">
        <f ca="1">IFERROR(__xludf.DUMMYFUNCTION("""COMPUTED_VALUE"""),"")</f>
        <v/>
      </c>
      <c r="AM269" s="2" t="str">
        <f ca="1">IFERROR(__xludf.DUMMYFUNCTION("""COMPUTED_VALUE"""),"")</f>
        <v/>
      </c>
      <c r="AN269" s="2" t="str">
        <f ca="1">IFERROR(__xludf.DUMMYFUNCTION("""COMPUTED_VALUE"""),"")</f>
        <v/>
      </c>
      <c r="AO269" s="2" t="str">
        <f ca="1">IFERROR(__xludf.DUMMYFUNCTION("""COMPUTED_VALUE"""),"")</f>
        <v/>
      </c>
      <c r="AP269" s="2" t="str">
        <f ca="1">IFERROR(__xludf.DUMMYFUNCTION("""COMPUTED_VALUE"""),"")</f>
        <v/>
      </c>
      <c r="AQ269" s="2" t="str">
        <f ca="1">IFERROR(__xludf.DUMMYFUNCTION("""COMPUTED_VALUE"""),"")</f>
        <v/>
      </c>
      <c r="AR269" s="2" t="str">
        <f ca="1">IFERROR(__xludf.DUMMYFUNCTION("""COMPUTED_VALUE"""),"")</f>
        <v/>
      </c>
      <c r="AS269" s="2" t="str">
        <f ca="1">IFERROR(__xludf.DUMMYFUNCTION("""COMPUTED_VALUE"""),"")</f>
        <v/>
      </c>
      <c r="AT269" s="2" t="str">
        <f ca="1">IFERROR(__xludf.DUMMYFUNCTION("""COMPUTED_VALUE"""),"")</f>
        <v/>
      </c>
      <c r="AU269" s="2" t="str">
        <f ca="1">IFERROR(__xludf.DUMMYFUNCTION("""COMPUTED_VALUE"""),"")</f>
        <v/>
      </c>
      <c r="AV269" s="2" t="str">
        <f ca="1">IFERROR(__xludf.DUMMYFUNCTION("""COMPUTED_VALUE"""),"")</f>
        <v/>
      </c>
      <c r="AW269" s="2" t="str">
        <f ca="1">IFERROR(__xludf.DUMMYFUNCTION("""COMPUTED_VALUE"""),"")</f>
        <v/>
      </c>
      <c r="AX269" s="2" t="str">
        <f ca="1">IFERROR(__xludf.DUMMYFUNCTION("""COMPUTED_VALUE"""),"")</f>
        <v/>
      </c>
      <c r="AY269" s="2" t="str">
        <f ca="1">IFERROR(__xludf.DUMMYFUNCTION("""COMPUTED_VALUE"""),"")</f>
        <v/>
      </c>
      <c r="AZ269" s="2" t="str">
        <f ca="1">IFERROR(__xludf.DUMMYFUNCTION("""COMPUTED_VALUE"""),"")</f>
        <v/>
      </c>
      <c r="BA269" s="2" t="str">
        <f ca="1">IFERROR(__xludf.DUMMYFUNCTION("""COMPUTED_VALUE"""),"")</f>
        <v/>
      </c>
      <c r="BB269" s="2" t="str">
        <f ca="1">IFERROR(__xludf.DUMMYFUNCTION("""COMPUTED_VALUE"""),"")</f>
        <v/>
      </c>
      <c r="BC269" s="2" t="str">
        <f ca="1">IFERROR(__xludf.DUMMYFUNCTION("""COMPUTED_VALUE"""),"")</f>
        <v/>
      </c>
      <c r="BD269" s="2" t="str">
        <f ca="1">IFERROR(__xludf.DUMMYFUNCTION("""COMPUTED_VALUE"""),"")</f>
        <v/>
      </c>
      <c r="BE269" s="2" t="str">
        <f ca="1">IFERROR(__xludf.DUMMYFUNCTION("""COMPUTED_VALUE"""),"")</f>
        <v/>
      </c>
      <c r="BF269" t="str">
        <f ca="1">IFERROR(__xludf.DUMMYFUNCTION("""COMPUTED_VALUE"""),"")</f>
        <v/>
      </c>
      <c r="BG269" t="str">
        <f ca="1">IFERROR(__xludf.DUMMYFUNCTION("""COMPUTED_VALUE"""),"")</f>
        <v/>
      </c>
      <c r="BH269" s="2">
        <f ca="1">IFERROR(__xludf.DUMMYFUNCTION("""COMPUTED_VALUE"""),-37.2779922)</f>
        <v>-37.2779922</v>
      </c>
      <c r="BI269" s="12">
        <f ca="1">IFERROR(__xludf.DUMMYFUNCTION("""COMPUTED_VALUE"""),175.0870361)</f>
        <v>175.08703610000001</v>
      </c>
      <c r="BJ269" s="9">
        <f ca="1">IFERROR(__xludf.DUMMYFUNCTION("""COMPUTED_VALUE"""),43376)</f>
        <v>43376</v>
      </c>
      <c r="BK269" s="4">
        <f ca="1">IFERROR(__xludf.DUMMYFUNCTION("""COMPUTED_VALUE"""),0.457777777777664)</f>
        <v>0.45777777777766399</v>
      </c>
    </row>
    <row r="270" spans="1:63" ht="12.5" x14ac:dyDescent="0.25">
      <c r="A270" s="7" t="str">
        <f ca="1">IFERROR(__xludf.DUMMYFUNCTION("""COMPUTED_VALUE"""),"")</f>
        <v/>
      </c>
      <c r="B270" s="8" t="str">
        <f ca="1">IFERROR(__xludf.DUMMYFUNCTION("""COMPUTED_VALUE"""),"Waikato")</f>
        <v>Waikato</v>
      </c>
      <c r="C270" s="2">
        <f ca="1">IFERROR(__xludf.DUMMYFUNCTION("""COMPUTED_VALUE"""),21)</f>
        <v>21</v>
      </c>
      <c r="D270" s="9" t="str">
        <f ca="1">IFERROR(__xludf.DUMMYFUNCTION("""COMPUTED_VALUE"""),"")</f>
        <v/>
      </c>
      <c r="E270" s="4" t="str">
        <f ca="1">IFERROR(__xludf.DUMMYFUNCTION("""COMPUTED_VALUE"""),"")</f>
        <v/>
      </c>
      <c r="F270" s="2" t="str">
        <f ca="1">IFERROR(__xludf.DUMMYFUNCTION("""COMPUTED_VALUE"""),"")</f>
        <v/>
      </c>
      <c r="G270" s="2" t="str">
        <f ca="1">IFERROR(__xludf.DUMMYFUNCTION("""COMPUTED_VALUE"""),"GPS: I converted data downloaded from ARGOS using Pinpoint software")</f>
        <v>GPS: I converted data downloaded from ARGOS using Pinpoint software</v>
      </c>
      <c r="H270" s="2" t="str">
        <f ca="1">IFERROR(__xludf.DUMMYFUNCTION("""COMPUTED_VALUE"""),"3D")</f>
        <v>3D</v>
      </c>
      <c r="I270" s="2" t="str">
        <f ca="1">IFERROR(__xludf.DUMMYFUNCTION("""COMPUTED_VALUE"""),"")</f>
        <v/>
      </c>
      <c r="J270" s="2" t="str">
        <f ca="1">IFERROR(__xludf.DUMMYFUNCTION("""COMPUTED_VALUE"""),"")</f>
        <v/>
      </c>
      <c r="K270" s="2" t="str">
        <f ca="1">IFERROR(__xludf.DUMMYFUNCTION("""COMPUTED_VALUE"""),"")</f>
        <v/>
      </c>
      <c r="L270" s="2" t="str">
        <f ca="1">IFERROR(__xludf.DUMMYFUNCTION("""COMPUTED_VALUE"""),"")</f>
        <v/>
      </c>
      <c r="M270" s="5" t="str">
        <f ca="1">IFERROR(__xludf.DUMMYFUNCTION("""COMPUTED_VALUE"""),"")</f>
        <v/>
      </c>
      <c r="N270" s="5" t="str">
        <f ca="1">IFERROR(__xludf.DUMMYFUNCTION("""COMPUTED_VALUE"""),"")</f>
        <v/>
      </c>
      <c r="O270" s="2" t="str">
        <f ca="1">IFERROR(__xludf.DUMMYFUNCTION("""COMPUTED_VALUE"""),"")</f>
        <v/>
      </c>
      <c r="P270" s="2" t="str">
        <f ca="1">IFERROR(__xludf.DUMMYFUNCTION("""COMPUTED_VALUE"""),"")</f>
        <v/>
      </c>
      <c r="Q270" s="2" t="str">
        <f ca="1">IFERROR(__xludf.DUMMYFUNCTION("""COMPUTED_VALUE"""),"")</f>
        <v/>
      </c>
      <c r="R270" s="2" t="str">
        <f ca="1">IFERROR(__xludf.DUMMYFUNCTION("""COMPUTED_VALUE"""),"")</f>
        <v/>
      </c>
      <c r="S270" s="2" t="str">
        <f ca="1">IFERROR(__xludf.DUMMYFUNCTION("""COMPUTED_VALUE"""),"")</f>
        <v/>
      </c>
      <c r="T270" s="2" t="str">
        <f ca="1">IFERROR(__xludf.DUMMYFUNCTION("""COMPUTED_VALUE"""),"")</f>
        <v/>
      </c>
      <c r="U270" s="2" t="str">
        <f ca="1">IFERROR(__xludf.DUMMYFUNCTION("""COMPUTED_VALUE"""),"")</f>
        <v/>
      </c>
      <c r="V270" s="2" t="str">
        <f ca="1">IFERROR(__xludf.DUMMYFUNCTION("""COMPUTED_VALUE"""),"")</f>
        <v/>
      </c>
      <c r="W270" s="2" t="str">
        <f ca="1">IFERROR(__xludf.DUMMYFUNCTION("""COMPUTED_VALUE"""),"")</f>
        <v/>
      </c>
      <c r="X270" s="2" t="str">
        <f ca="1">IFERROR(__xludf.DUMMYFUNCTION("""COMPUTED_VALUE"""),"")</f>
        <v/>
      </c>
      <c r="Y270" s="2" t="str">
        <f ca="1">IFERROR(__xludf.DUMMYFUNCTION("""COMPUTED_VALUE"""),"")</f>
        <v/>
      </c>
      <c r="Z270" s="2" t="str">
        <f ca="1">IFERROR(__xludf.DUMMYFUNCTION("""COMPUTED_VALUE"""),"")</f>
        <v/>
      </c>
      <c r="AA270" s="2" t="str">
        <f ca="1">IFERROR(__xludf.DUMMYFUNCTION("""COMPUTED_VALUE"""),"")</f>
        <v/>
      </c>
      <c r="AB270" s="2" t="str">
        <f ca="1">IFERROR(__xludf.DUMMYFUNCTION("""COMPUTED_VALUE"""),"")</f>
        <v/>
      </c>
      <c r="AC270" s="2" t="str">
        <f ca="1">IFERROR(__xludf.DUMMYFUNCTION("""COMPUTED_VALUE"""),"")</f>
        <v/>
      </c>
      <c r="AD270" s="2" t="str">
        <f ca="1">IFERROR(__xludf.DUMMYFUNCTION("""COMPUTED_VALUE"""),"")</f>
        <v/>
      </c>
      <c r="AE270" s="2" t="str">
        <f ca="1">IFERROR(__xludf.DUMMYFUNCTION("""COMPUTED_VALUE"""),"")</f>
        <v/>
      </c>
      <c r="AF270" s="2" t="str">
        <f ca="1">IFERROR(__xludf.DUMMYFUNCTION("""COMPUTED_VALUE"""),"")</f>
        <v/>
      </c>
      <c r="AG270" s="2" t="str">
        <f ca="1">IFERROR(__xludf.DUMMYFUNCTION("""COMPUTED_VALUE"""),"")</f>
        <v/>
      </c>
      <c r="AH270" s="2" t="str">
        <f ca="1">IFERROR(__xludf.DUMMYFUNCTION("""COMPUTED_VALUE"""),"")</f>
        <v/>
      </c>
      <c r="AI270" s="2" t="str">
        <f ca="1">IFERROR(__xludf.DUMMYFUNCTION("""COMPUTED_VALUE"""),"")</f>
        <v/>
      </c>
      <c r="AJ270" s="2" t="str">
        <f ca="1">IFERROR(__xludf.DUMMYFUNCTION("""COMPUTED_VALUE"""),"")</f>
        <v/>
      </c>
      <c r="AK270" s="2" t="str">
        <f ca="1">IFERROR(__xludf.DUMMYFUNCTION("""COMPUTED_VALUE"""),"")</f>
        <v/>
      </c>
      <c r="AL270" s="2" t="str">
        <f ca="1">IFERROR(__xludf.DUMMYFUNCTION("""COMPUTED_VALUE"""),"")</f>
        <v/>
      </c>
      <c r="AM270" s="2" t="str">
        <f ca="1">IFERROR(__xludf.DUMMYFUNCTION("""COMPUTED_VALUE"""),"")</f>
        <v/>
      </c>
      <c r="AN270" s="2" t="str">
        <f ca="1">IFERROR(__xludf.DUMMYFUNCTION("""COMPUTED_VALUE"""),"")</f>
        <v/>
      </c>
      <c r="AO270" s="2" t="str">
        <f ca="1">IFERROR(__xludf.DUMMYFUNCTION("""COMPUTED_VALUE"""),"")</f>
        <v/>
      </c>
      <c r="AP270" s="2" t="str">
        <f ca="1">IFERROR(__xludf.DUMMYFUNCTION("""COMPUTED_VALUE"""),"")</f>
        <v/>
      </c>
      <c r="AQ270" s="2" t="str">
        <f ca="1">IFERROR(__xludf.DUMMYFUNCTION("""COMPUTED_VALUE"""),"")</f>
        <v/>
      </c>
      <c r="AR270" s="2" t="str">
        <f ca="1">IFERROR(__xludf.DUMMYFUNCTION("""COMPUTED_VALUE"""),"")</f>
        <v/>
      </c>
      <c r="AS270" s="2" t="str">
        <f ca="1">IFERROR(__xludf.DUMMYFUNCTION("""COMPUTED_VALUE"""),"")</f>
        <v/>
      </c>
      <c r="AT270" s="2" t="str">
        <f ca="1">IFERROR(__xludf.DUMMYFUNCTION("""COMPUTED_VALUE"""),"")</f>
        <v/>
      </c>
      <c r="AU270" s="2" t="str">
        <f ca="1">IFERROR(__xludf.DUMMYFUNCTION("""COMPUTED_VALUE"""),"")</f>
        <v/>
      </c>
      <c r="AV270" s="2" t="str">
        <f ca="1">IFERROR(__xludf.DUMMYFUNCTION("""COMPUTED_VALUE"""),"")</f>
        <v/>
      </c>
      <c r="AW270" s="2" t="str">
        <f ca="1">IFERROR(__xludf.DUMMYFUNCTION("""COMPUTED_VALUE"""),"")</f>
        <v/>
      </c>
      <c r="AX270" s="2" t="str">
        <f ca="1">IFERROR(__xludf.DUMMYFUNCTION("""COMPUTED_VALUE"""),"")</f>
        <v/>
      </c>
      <c r="AY270" s="2" t="str">
        <f ca="1">IFERROR(__xludf.DUMMYFUNCTION("""COMPUTED_VALUE"""),"")</f>
        <v/>
      </c>
      <c r="AZ270" s="2" t="str">
        <f ca="1">IFERROR(__xludf.DUMMYFUNCTION("""COMPUTED_VALUE"""),"")</f>
        <v/>
      </c>
      <c r="BA270" s="2" t="str">
        <f ca="1">IFERROR(__xludf.DUMMYFUNCTION("""COMPUTED_VALUE"""),"")</f>
        <v/>
      </c>
      <c r="BB270" s="2" t="str">
        <f ca="1">IFERROR(__xludf.DUMMYFUNCTION("""COMPUTED_VALUE"""),"")</f>
        <v/>
      </c>
      <c r="BC270" s="2" t="str">
        <f ca="1">IFERROR(__xludf.DUMMYFUNCTION("""COMPUTED_VALUE"""),"")</f>
        <v/>
      </c>
      <c r="BD270" s="2" t="str">
        <f ca="1">IFERROR(__xludf.DUMMYFUNCTION("""COMPUTED_VALUE"""),"")</f>
        <v/>
      </c>
      <c r="BE270" s="2" t="str">
        <f ca="1">IFERROR(__xludf.DUMMYFUNCTION("""COMPUTED_VALUE"""),"")</f>
        <v/>
      </c>
      <c r="BF270" t="str">
        <f ca="1">IFERROR(__xludf.DUMMYFUNCTION("""COMPUTED_VALUE"""),"")</f>
        <v/>
      </c>
      <c r="BG270" t="str">
        <f ca="1">IFERROR(__xludf.DUMMYFUNCTION("""COMPUTED_VALUE"""),"")</f>
        <v/>
      </c>
      <c r="BH270" s="2">
        <f ca="1">IFERROR(__xludf.DUMMYFUNCTION("""COMPUTED_VALUE"""),-37.2745094)</f>
        <v>-37.274509399999999</v>
      </c>
      <c r="BI270" s="13">
        <f ca="1">IFERROR(__xludf.DUMMYFUNCTION("""COMPUTED_VALUE"""),175.1410828)</f>
        <v>175.14108279999999</v>
      </c>
      <c r="BJ270" s="9">
        <f ca="1">IFERROR(__xludf.DUMMYFUNCTION("""COMPUTED_VALUE"""),43376)</f>
        <v>43376</v>
      </c>
      <c r="BK270" s="4">
        <f ca="1">IFERROR(__xludf.DUMMYFUNCTION("""COMPUTED_VALUE"""),0.958518518516939)</f>
        <v>0.95851851851693903</v>
      </c>
    </row>
    <row r="271" spans="1:63" ht="12.5" x14ac:dyDescent="0.25">
      <c r="A271" s="7" t="str">
        <f ca="1">IFERROR(__xludf.DUMMYFUNCTION("""COMPUTED_VALUE"""),"")</f>
        <v/>
      </c>
      <c r="B271" s="8" t="str">
        <f ca="1">IFERROR(__xludf.DUMMYFUNCTION("""COMPUTED_VALUE"""),"Waikato")</f>
        <v>Waikato</v>
      </c>
      <c r="C271" s="2">
        <f ca="1">IFERROR(__xludf.DUMMYFUNCTION("""COMPUTED_VALUE"""),21)</f>
        <v>21</v>
      </c>
      <c r="D271" s="9" t="str">
        <f ca="1">IFERROR(__xludf.DUMMYFUNCTION("""COMPUTED_VALUE"""),"")</f>
        <v/>
      </c>
      <c r="E271" s="4" t="str">
        <f ca="1">IFERROR(__xludf.DUMMYFUNCTION("""COMPUTED_VALUE"""),"")</f>
        <v/>
      </c>
      <c r="F271" s="2" t="str">
        <f ca="1">IFERROR(__xludf.DUMMYFUNCTION("""COMPUTED_VALUE"""),"")</f>
        <v/>
      </c>
      <c r="G271" s="2" t="str">
        <f ca="1">IFERROR(__xludf.DUMMYFUNCTION("""COMPUTED_VALUE"""),"GPS: I converted data downloaded from ARGOS using Pinpoint software")</f>
        <v>GPS: I converted data downloaded from ARGOS using Pinpoint software</v>
      </c>
      <c r="H271" s="2" t="str">
        <f ca="1">IFERROR(__xludf.DUMMYFUNCTION("""COMPUTED_VALUE"""),"3D")</f>
        <v>3D</v>
      </c>
      <c r="I271" s="2" t="str">
        <f ca="1">IFERROR(__xludf.DUMMYFUNCTION("""COMPUTED_VALUE"""),"")</f>
        <v/>
      </c>
      <c r="J271" s="2" t="str">
        <f ca="1">IFERROR(__xludf.DUMMYFUNCTION("""COMPUTED_VALUE"""),"")</f>
        <v/>
      </c>
      <c r="K271" s="2" t="str">
        <f ca="1">IFERROR(__xludf.DUMMYFUNCTION("""COMPUTED_VALUE"""),"")</f>
        <v/>
      </c>
      <c r="L271" s="2" t="str">
        <f ca="1">IFERROR(__xludf.DUMMYFUNCTION("""COMPUTED_VALUE"""),"")</f>
        <v/>
      </c>
      <c r="M271" s="5" t="str">
        <f ca="1">IFERROR(__xludf.DUMMYFUNCTION("""COMPUTED_VALUE"""),"")</f>
        <v/>
      </c>
      <c r="N271" s="5" t="str">
        <f ca="1">IFERROR(__xludf.DUMMYFUNCTION("""COMPUTED_VALUE"""),"")</f>
        <v/>
      </c>
      <c r="O271" s="2" t="str">
        <f ca="1">IFERROR(__xludf.DUMMYFUNCTION("""COMPUTED_VALUE"""),"")</f>
        <v/>
      </c>
      <c r="P271" s="2" t="str">
        <f ca="1">IFERROR(__xludf.DUMMYFUNCTION("""COMPUTED_VALUE"""),"")</f>
        <v/>
      </c>
      <c r="Q271" s="2" t="str">
        <f ca="1">IFERROR(__xludf.DUMMYFUNCTION("""COMPUTED_VALUE"""),"")</f>
        <v/>
      </c>
      <c r="R271" s="2" t="str">
        <f ca="1">IFERROR(__xludf.DUMMYFUNCTION("""COMPUTED_VALUE"""),"")</f>
        <v/>
      </c>
      <c r="S271" s="2" t="str">
        <f ca="1">IFERROR(__xludf.DUMMYFUNCTION("""COMPUTED_VALUE"""),"")</f>
        <v/>
      </c>
      <c r="T271" s="2" t="str">
        <f ca="1">IFERROR(__xludf.DUMMYFUNCTION("""COMPUTED_VALUE"""),"")</f>
        <v/>
      </c>
      <c r="U271" s="2" t="str">
        <f ca="1">IFERROR(__xludf.DUMMYFUNCTION("""COMPUTED_VALUE"""),"")</f>
        <v/>
      </c>
      <c r="V271" s="2" t="str">
        <f ca="1">IFERROR(__xludf.DUMMYFUNCTION("""COMPUTED_VALUE"""),"")</f>
        <v/>
      </c>
      <c r="W271" s="2" t="str">
        <f ca="1">IFERROR(__xludf.DUMMYFUNCTION("""COMPUTED_VALUE"""),"")</f>
        <v/>
      </c>
      <c r="X271" s="2" t="str">
        <f ca="1">IFERROR(__xludf.DUMMYFUNCTION("""COMPUTED_VALUE"""),"")</f>
        <v/>
      </c>
      <c r="Y271" s="2" t="str">
        <f ca="1">IFERROR(__xludf.DUMMYFUNCTION("""COMPUTED_VALUE"""),"")</f>
        <v/>
      </c>
      <c r="Z271" s="2" t="str">
        <f ca="1">IFERROR(__xludf.DUMMYFUNCTION("""COMPUTED_VALUE"""),"")</f>
        <v/>
      </c>
      <c r="AA271" s="2" t="str">
        <f ca="1">IFERROR(__xludf.DUMMYFUNCTION("""COMPUTED_VALUE"""),"")</f>
        <v/>
      </c>
      <c r="AB271" s="2" t="str">
        <f ca="1">IFERROR(__xludf.DUMMYFUNCTION("""COMPUTED_VALUE"""),"")</f>
        <v/>
      </c>
      <c r="AC271" s="2" t="str">
        <f ca="1">IFERROR(__xludf.DUMMYFUNCTION("""COMPUTED_VALUE"""),"")</f>
        <v/>
      </c>
      <c r="AD271" s="2" t="str">
        <f ca="1">IFERROR(__xludf.DUMMYFUNCTION("""COMPUTED_VALUE"""),"")</f>
        <v/>
      </c>
      <c r="AE271" s="2" t="str">
        <f ca="1">IFERROR(__xludf.DUMMYFUNCTION("""COMPUTED_VALUE"""),"")</f>
        <v/>
      </c>
      <c r="AF271" s="2" t="str">
        <f ca="1">IFERROR(__xludf.DUMMYFUNCTION("""COMPUTED_VALUE"""),"")</f>
        <v/>
      </c>
      <c r="AG271" s="2" t="str">
        <f ca="1">IFERROR(__xludf.DUMMYFUNCTION("""COMPUTED_VALUE"""),"")</f>
        <v/>
      </c>
      <c r="AH271" s="2" t="str">
        <f ca="1">IFERROR(__xludf.DUMMYFUNCTION("""COMPUTED_VALUE"""),"")</f>
        <v/>
      </c>
      <c r="AI271" s="2" t="str">
        <f ca="1">IFERROR(__xludf.DUMMYFUNCTION("""COMPUTED_VALUE"""),"")</f>
        <v/>
      </c>
      <c r="AJ271" s="2" t="str">
        <f ca="1">IFERROR(__xludf.DUMMYFUNCTION("""COMPUTED_VALUE"""),"")</f>
        <v/>
      </c>
      <c r="AK271" s="2" t="str">
        <f ca="1">IFERROR(__xludf.DUMMYFUNCTION("""COMPUTED_VALUE"""),"")</f>
        <v/>
      </c>
      <c r="AL271" s="2" t="str">
        <f ca="1">IFERROR(__xludf.DUMMYFUNCTION("""COMPUTED_VALUE"""),"")</f>
        <v/>
      </c>
      <c r="AM271" s="2" t="str">
        <f ca="1">IFERROR(__xludf.DUMMYFUNCTION("""COMPUTED_VALUE"""),"")</f>
        <v/>
      </c>
      <c r="AN271" s="2" t="str">
        <f ca="1">IFERROR(__xludf.DUMMYFUNCTION("""COMPUTED_VALUE"""),"")</f>
        <v/>
      </c>
      <c r="AO271" s="2" t="str">
        <f ca="1">IFERROR(__xludf.DUMMYFUNCTION("""COMPUTED_VALUE"""),"")</f>
        <v/>
      </c>
      <c r="AP271" s="2" t="str">
        <f ca="1">IFERROR(__xludf.DUMMYFUNCTION("""COMPUTED_VALUE"""),"")</f>
        <v/>
      </c>
      <c r="AQ271" s="2" t="str">
        <f ca="1">IFERROR(__xludf.DUMMYFUNCTION("""COMPUTED_VALUE"""),"")</f>
        <v/>
      </c>
      <c r="AR271" s="2" t="str">
        <f ca="1">IFERROR(__xludf.DUMMYFUNCTION("""COMPUTED_VALUE"""),"")</f>
        <v/>
      </c>
      <c r="AS271" s="2" t="str">
        <f ca="1">IFERROR(__xludf.DUMMYFUNCTION("""COMPUTED_VALUE"""),"")</f>
        <v/>
      </c>
      <c r="AT271" s="2" t="str">
        <f ca="1">IFERROR(__xludf.DUMMYFUNCTION("""COMPUTED_VALUE"""),"")</f>
        <v/>
      </c>
      <c r="AU271" s="2" t="str">
        <f ca="1">IFERROR(__xludf.DUMMYFUNCTION("""COMPUTED_VALUE"""),"")</f>
        <v/>
      </c>
      <c r="AV271" s="2" t="str">
        <f ca="1">IFERROR(__xludf.DUMMYFUNCTION("""COMPUTED_VALUE"""),"")</f>
        <v/>
      </c>
      <c r="AW271" s="2" t="str">
        <f ca="1">IFERROR(__xludf.DUMMYFUNCTION("""COMPUTED_VALUE"""),"")</f>
        <v/>
      </c>
      <c r="AX271" s="2" t="str">
        <f ca="1">IFERROR(__xludf.DUMMYFUNCTION("""COMPUTED_VALUE"""),"")</f>
        <v/>
      </c>
      <c r="AY271" s="2" t="str">
        <f ca="1">IFERROR(__xludf.DUMMYFUNCTION("""COMPUTED_VALUE"""),"")</f>
        <v/>
      </c>
      <c r="AZ271" s="2" t="str">
        <f ca="1">IFERROR(__xludf.DUMMYFUNCTION("""COMPUTED_VALUE"""),"")</f>
        <v/>
      </c>
      <c r="BA271" s="2" t="str">
        <f ca="1">IFERROR(__xludf.DUMMYFUNCTION("""COMPUTED_VALUE"""),"")</f>
        <v/>
      </c>
      <c r="BB271" s="2" t="str">
        <f ca="1">IFERROR(__xludf.DUMMYFUNCTION("""COMPUTED_VALUE"""),"")</f>
        <v/>
      </c>
      <c r="BC271" s="2" t="str">
        <f ca="1">IFERROR(__xludf.DUMMYFUNCTION("""COMPUTED_VALUE"""),"")</f>
        <v/>
      </c>
      <c r="BD271" s="2" t="str">
        <f ca="1">IFERROR(__xludf.DUMMYFUNCTION("""COMPUTED_VALUE"""),"")</f>
        <v/>
      </c>
      <c r="BE271" s="2" t="str">
        <f ca="1">IFERROR(__xludf.DUMMYFUNCTION("""COMPUTED_VALUE"""),"")</f>
        <v/>
      </c>
      <c r="BF271" t="str">
        <f ca="1">IFERROR(__xludf.DUMMYFUNCTION("""COMPUTED_VALUE"""),"")</f>
        <v/>
      </c>
      <c r="BG271" t="str">
        <f ca="1">IFERROR(__xludf.DUMMYFUNCTION("""COMPUTED_VALUE"""),"")</f>
        <v/>
      </c>
      <c r="BH271" s="2">
        <f ca="1">IFERROR(__xludf.DUMMYFUNCTION("""COMPUTED_VALUE"""),-36.5227127)</f>
        <v>-36.5227127</v>
      </c>
      <c r="BI271" s="12">
        <f ca="1">IFERROR(__xludf.DUMMYFUNCTION("""COMPUTED_VALUE"""),174.2449493)</f>
        <v>174.2449493</v>
      </c>
      <c r="BJ271" s="9">
        <f ca="1">IFERROR(__xludf.DUMMYFUNCTION("""COMPUTED_VALUE"""),43378)</f>
        <v>43378</v>
      </c>
      <c r="BK271" s="4">
        <f ca="1">IFERROR(__xludf.DUMMYFUNCTION("""COMPUTED_VALUE"""),0.457777777777664)</f>
        <v>0.45777777777766399</v>
      </c>
    </row>
    <row r="272" spans="1:63" ht="12.5" x14ac:dyDescent="0.25">
      <c r="A272" s="7" t="str">
        <f ca="1">IFERROR(__xludf.DUMMYFUNCTION("""COMPUTED_VALUE"""),"")</f>
        <v/>
      </c>
      <c r="B272" s="8" t="str">
        <f ca="1">IFERROR(__xludf.DUMMYFUNCTION("""COMPUTED_VALUE"""),"Waikato")</f>
        <v>Waikato</v>
      </c>
      <c r="C272" s="2">
        <f ca="1">IFERROR(__xludf.DUMMYFUNCTION("""COMPUTED_VALUE"""),21)</f>
        <v>21</v>
      </c>
      <c r="D272" s="9" t="str">
        <f ca="1">IFERROR(__xludf.DUMMYFUNCTION("""COMPUTED_VALUE"""),"")</f>
        <v/>
      </c>
      <c r="E272" s="4" t="str">
        <f ca="1">IFERROR(__xludf.DUMMYFUNCTION("""COMPUTED_VALUE"""),"")</f>
        <v/>
      </c>
      <c r="F272" s="2" t="str">
        <f ca="1">IFERROR(__xludf.DUMMYFUNCTION("""COMPUTED_VALUE"""),"")</f>
        <v/>
      </c>
      <c r="G272" s="2" t="str">
        <f ca="1">IFERROR(__xludf.DUMMYFUNCTION("""COMPUTED_VALUE"""),"GPS: I converted data downloaded from ARGOS using Pinpoint software")</f>
        <v>GPS: I converted data downloaded from ARGOS using Pinpoint software</v>
      </c>
      <c r="H272" s="2" t="str">
        <f ca="1">IFERROR(__xludf.DUMMYFUNCTION("""COMPUTED_VALUE"""),"3D")</f>
        <v>3D</v>
      </c>
      <c r="I272" s="2" t="str">
        <f ca="1">IFERROR(__xludf.DUMMYFUNCTION("""COMPUTED_VALUE"""),"")</f>
        <v/>
      </c>
      <c r="J272" s="2" t="str">
        <f ca="1">IFERROR(__xludf.DUMMYFUNCTION("""COMPUTED_VALUE"""),"")</f>
        <v/>
      </c>
      <c r="K272" s="2" t="str">
        <f ca="1">IFERROR(__xludf.DUMMYFUNCTION("""COMPUTED_VALUE"""),"")</f>
        <v/>
      </c>
      <c r="L272" s="2" t="str">
        <f ca="1">IFERROR(__xludf.DUMMYFUNCTION("""COMPUTED_VALUE"""),"")</f>
        <v/>
      </c>
      <c r="M272" s="5" t="str">
        <f ca="1">IFERROR(__xludf.DUMMYFUNCTION("""COMPUTED_VALUE"""),"")</f>
        <v/>
      </c>
      <c r="N272" s="5" t="str">
        <f ca="1">IFERROR(__xludf.DUMMYFUNCTION("""COMPUTED_VALUE"""),"")</f>
        <v/>
      </c>
      <c r="O272" s="2" t="str">
        <f ca="1">IFERROR(__xludf.DUMMYFUNCTION("""COMPUTED_VALUE"""),"")</f>
        <v/>
      </c>
      <c r="P272" s="2" t="str">
        <f ca="1">IFERROR(__xludf.DUMMYFUNCTION("""COMPUTED_VALUE"""),"")</f>
        <v/>
      </c>
      <c r="Q272" s="2" t="str">
        <f ca="1">IFERROR(__xludf.DUMMYFUNCTION("""COMPUTED_VALUE"""),"")</f>
        <v/>
      </c>
      <c r="R272" s="2" t="str">
        <f ca="1">IFERROR(__xludf.DUMMYFUNCTION("""COMPUTED_VALUE"""),"")</f>
        <v/>
      </c>
      <c r="S272" s="2" t="str">
        <f ca="1">IFERROR(__xludf.DUMMYFUNCTION("""COMPUTED_VALUE"""),"")</f>
        <v/>
      </c>
      <c r="T272" s="2" t="str">
        <f ca="1">IFERROR(__xludf.DUMMYFUNCTION("""COMPUTED_VALUE"""),"")</f>
        <v/>
      </c>
      <c r="U272" s="2" t="str">
        <f ca="1">IFERROR(__xludf.DUMMYFUNCTION("""COMPUTED_VALUE"""),"")</f>
        <v/>
      </c>
      <c r="V272" s="2" t="str">
        <f ca="1">IFERROR(__xludf.DUMMYFUNCTION("""COMPUTED_VALUE"""),"")</f>
        <v/>
      </c>
      <c r="W272" s="2" t="str">
        <f ca="1">IFERROR(__xludf.DUMMYFUNCTION("""COMPUTED_VALUE"""),"")</f>
        <v/>
      </c>
      <c r="X272" s="2" t="str">
        <f ca="1">IFERROR(__xludf.DUMMYFUNCTION("""COMPUTED_VALUE"""),"")</f>
        <v/>
      </c>
      <c r="Y272" s="2" t="str">
        <f ca="1">IFERROR(__xludf.DUMMYFUNCTION("""COMPUTED_VALUE"""),"")</f>
        <v/>
      </c>
      <c r="Z272" s="2" t="str">
        <f ca="1">IFERROR(__xludf.DUMMYFUNCTION("""COMPUTED_VALUE"""),"")</f>
        <v/>
      </c>
      <c r="AA272" s="2" t="str">
        <f ca="1">IFERROR(__xludf.DUMMYFUNCTION("""COMPUTED_VALUE"""),"")</f>
        <v/>
      </c>
      <c r="AB272" s="2" t="str">
        <f ca="1">IFERROR(__xludf.DUMMYFUNCTION("""COMPUTED_VALUE"""),"")</f>
        <v/>
      </c>
      <c r="AC272" s="2" t="str">
        <f ca="1">IFERROR(__xludf.DUMMYFUNCTION("""COMPUTED_VALUE"""),"")</f>
        <v/>
      </c>
      <c r="AD272" s="2" t="str">
        <f ca="1">IFERROR(__xludf.DUMMYFUNCTION("""COMPUTED_VALUE"""),"")</f>
        <v/>
      </c>
      <c r="AE272" s="2" t="str">
        <f ca="1">IFERROR(__xludf.DUMMYFUNCTION("""COMPUTED_VALUE"""),"")</f>
        <v/>
      </c>
      <c r="AF272" s="2" t="str">
        <f ca="1">IFERROR(__xludf.DUMMYFUNCTION("""COMPUTED_VALUE"""),"")</f>
        <v/>
      </c>
      <c r="AG272" s="2" t="str">
        <f ca="1">IFERROR(__xludf.DUMMYFUNCTION("""COMPUTED_VALUE"""),"")</f>
        <v/>
      </c>
      <c r="AH272" s="2" t="str">
        <f ca="1">IFERROR(__xludf.DUMMYFUNCTION("""COMPUTED_VALUE"""),"")</f>
        <v/>
      </c>
      <c r="AI272" s="2" t="str">
        <f ca="1">IFERROR(__xludf.DUMMYFUNCTION("""COMPUTED_VALUE"""),"")</f>
        <v/>
      </c>
      <c r="AJ272" s="2" t="str">
        <f ca="1">IFERROR(__xludf.DUMMYFUNCTION("""COMPUTED_VALUE"""),"")</f>
        <v/>
      </c>
      <c r="AK272" s="2" t="str">
        <f ca="1">IFERROR(__xludf.DUMMYFUNCTION("""COMPUTED_VALUE"""),"")</f>
        <v/>
      </c>
      <c r="AL272" s="2" t="str">
        <f ca="1">IFERROR(__xludf.DUMMYFUNCTION("""COMPUTED_VALUE"""),"")</f>
        <v/>
      </c>
      <c r="AM272" s="2" t="str">
        <f ca="1">IFERROR(__xludf.DUMMYFUNCTION("""COMPUTED_VALUE"""),"")</f>
        <v/>
      </c>
      <c r="AN272" s="2" t="str">
        <f ca="1">IFERROR(__xludf.DUMMYFUNCTION("""COMPUTED_VALUE"""),"")</f>
        <v/>
      </c>
      <c r="AO272" s="2" t="str">
        <f ca="1">IFERROR(__xludf.DUMMYFUNCTION("""COMPUTED_VALUE"""),"")</f>
        <v/>
      </c>
      <c r="AP272" s="2" t="str">
        <f ca="1">IFERROR(__xludf.DUMMYFUNCTION("""COMPUTED_VALUE"""),"")</f>
        <v/>
      </c>
      <c r="AQ272" s="2" t="str">
        <f ca="1">IFERROR(__xludf.DUMMYFUNCTION("""COMPUTED_VALUE"""),"")</f>
        <v/>
      </c>
      <c r="AR272" s="2" t="str">
        <f ca="1">IFERROR(__xludf.DUMMYFUNCTION("""COMPUTED_VALUE"""),"")</f>
        <v/>
      </c>
      <c r="AS272" s="2" t="str">
        <f ca="1">IFERROR(__xludf.DUMMYFUNCTION("""COMPUTED_VALUE"""),"")</f>
        <v/>
      </c>
      <c r="AT272" s="2" t="str">
        <f ca="1">IFERROR(__xludf.DUMMYFUNCTION("""COMPUTED_VALUE"""),"")</f>
        <v/>
      </c>
      <c r="AU272" s="2" t="str">
        <f ca="1">IFERROR(__xludf.DUMMYFUNCTION("""COMPUTED_VALUE"""),"")</f>
        <v/>
      </c>
      <c r="AV272" s="2" t="str">
        <f ca="1">IFERROR(__xludf.DUMMYFUNCTION("""COMPUTED_VALUE"""),"")</f>
        <v/>
      </c>
      <c r="AW272" s="2" t="str">
        <f ca="1">IFERROR(__xludf.DUMMYFUNCTION("""COMPUTED_VALUE"""),"")</f>
        <v/>
      </c>
      <c r="AX272" s="2" t="str">
        <f ca="1">IFERROR(__xludf.DUMMYFUNCTION("""COMPUTED_VALUE"""),"")</f>
        <v/>
      </c>
      <c r="AY272" s="2" t="str">
        <f ca="1">IFERROR(__xludf.DUMMYFUNCTION("""COMPUTED_VALUE"""),"")</f>
        <v/>
      </c>
      <c r="AZ272" s="2" t="str">
        <f ca="1">IFERROR(__xludf.DUMMYFUNCTION("""COMPUTED_VALUE"""),"")</f>
        <v/>
      </c>
      <c r="BA272" s="2" t="str">
        <f ca="1">IFERROR(__xludf.DUMMYFUNCTION("""COMPUTED_VALUE"""),"")</f>
        <v/>
      </c>
      <c r="BB272" s="2" t="str">
        <f ca="1">IFERROR(__xludf.DUMMYFUNCTION("""COMPUTED_VALUE"""),"")</f>
        <v/>
      </c>
      <c r="BC272" s="2" t="str">
        <f ca="1">IFERROR(__xludf.DUMMYFUNCTION("""COMPUTED_VALUE"""),"")</f>
        <v/>
      </c>
      <c r="BD272" s="2" t="str">
        <f ca="1">IFERROR(__xludf.DUMMYFUNCTION("""COMPUTED_VALUE"""),"")</f>
        <v/>
      </c>
      <c r="BE272" s="2" t="str">
        <f ca="1">IFERROR(__xludf.DUMMYFUNCTION("""COMPUTED_VALUE"""),"")</f>
        <v/>
      </c>
      <c r="BF272" t="str">
        <f ca="1">IFERROR(__xludf.DUMMYFUNCTION("""COMPUTED_VALUE"""),"")</f>
        <v/>
      </c>
      <c r="BG272" t="str">
        <f ca="1">IFERROR(__xludf.DUMMYFUNCTION("""COMPUTED_VALUE"""),"")</f>
        <v/>
      </c>
      <c r="BH272" s="2">
        <f ca="1">IFERROR(__xludf.DUMMYFUNCTION("""COMPUTED_VALUE"""),-36.5292664)</f>
        <v>-36.529266399999997</v>
      </c>
      <c r="BI272" s="13">
        <f ca="1">IFERROR(__xludf.DUMMYFUNCTION("""COMPUTED_VALUE"""),174.247406)</f>
        <v>174.24740600000001</v>
      </c>
      <c r="BJ272" s="9">
        <f ca="1">IFERROR(__xludf.DUMMYFUNCTION("""COMPUTED_VALUE"""),43378)</f>
        <v>43378</v>
      </c>
      <c r="BK272" s="4">
        <f ca="1">IFERROR(__xludf.DUMMYFUNCTION("""COMPUTED_VALUE"""),0.875555555554456)</f>
        <v>0.87555555555445597</v>
      </c>
    </row>
    <row r="273" spans="1:63" ht="12.5" x14ac:dyDescent="0.25">
      <c r="A273" s="7" t="str">
        <f ca="1">IFERROR(__xludf.DUMMYFUNCTION("""COMPUTED_VALUE"""),"")</f>
        <v/>
      </c>
      <c r="B273" s="8" t="str">
        <f ca="1">IFERROR(__xludf.DUMMYFUNCTION("""COMPUTED_VALUE"""),"Waikato")</f>
        <v>Waikato</v>
      </c>
      <c r="C273" s="2">
        <f ca="1">IFERROR(__xludf.DUMMYFUNCTION("""COMPUTED_VALUE"""),21)</f>
        <v>21</v>
      </c>
      <c r="D273" s="9" t="str">
        <f ca="1">IFERROR(__xludf.DUMMYFUNCTION("""COMPUTED_VALUE"""),"")</f>
        <v/>
      </c>
      <c r="E273" s="4" t="str">
        <f ca="1">IFERROR(__xludf.DUMMYFUNCTION("""COMPUTED_VALUE"""),"")</f>
        <v/>
      </c>
      <c r="F273" s="2" t="str">
        <f ca="1">IFERROR(__xludf.DUMMYFUNCTION("""COMPUTED_VALUE"""),"")</f>
        <v/>
      </c>
      <c r="G273" s="2" t="str">
        <f ca="1">IFERROR(__xludf.DUMMYFUNCTION("""COMPUTED_VALUE"""),"GPS: I converted data downloaded from ARGOS using Pinpoint software")</f>
        <v>GPS: I converted data downloaded from ARGOS using Pinpoint software</v>
      </c>
      <c r="H273" s="2" t="str">
        <f ca="1">IFERROR(__xludf.DUMMYFUNCTION("""COMPUTED_VALUE"""),"3D")</f>
        <v>3D</v>
      </c>
      <c r="I273" s="2" t="str">
        <f ca="1">IFERROR(__xludf.DUMMYFUNCTION("""COMPUTED_VALUE"""),"")</f>
        <v/>
      </c>
      <c r="J273" s="2" t="str">
        <f ca="1">IFERROR(__xludf.DUMMYFUNCTION("""COMPUTED_VALUE"""),"")</f>
        <v/>
      </c>
      <c r="K273" s="2" t="str">
        <f ca="1">IFERROR(__xludf.DUMMYFUNCTION("""COMPUTED_VALUE"""),"")</f>
        <v/>
      </c>
      <c r="L273" s="2" t="str">
        <f ca="1">IFERROR(__xludf.DUMMYFUNCTION("""COMPUTED_VALUE"""),"")</f>
        <v/>
      </c>
      <c r="M273" s="5" t="str">
        <f ca="1">IFERROR(__xludf.DUMMYFUNCTION("""COMPUTED_VALUE"""),"")</f>
        <v/>
      </c>
      <c r="N273" s="5" t="str">
        <f ca="1">IFERROR(__xludf.DUMMYFUNCTION("""COMPUTED_VALUE"""),"")</f>
        <v/>
      </c>
      <c r="O273" s="2" t="str">
        <f ca="1">IFERROR(__xludf.DUMMYFUNCTION("""COMPUTED_VALUE"""),"")</f>
        <v/>
      </c>
      <c r="P273" s="2" t="str">
        <f ca="1">IFERROR(__xludf.DUMMYFUNCTION("""COMPUTED_VALUE"""),"")</f>
        <v/>
      </c>
      <c r="Q273" s="2" t="str">
        <f ca="1">IFERROR(__xludf.DUMMYFUNCTION("""COMPUTED_VALUE"""),"")</f>
        <v/>
      </c>
      <c r="R273" s="2" t="str">
        <f ca="1">IFERROR(__xludf.DUMMYFUNCTION("""COMPUTED_VALUE"""),"")</f>
        <v/>
      </c>
      <c r="S273" s="2" t="str">
        <f ca="1">IFERROR(__xludf.DUMMYFUNCTION("""COMPUTED_VALUE"""),"")</f>
        <v/>
      </c>
      <c r="T273" s="2" t="str">
        <f ca="1">IFERROR(__xludf.DUMMYFUNCTION("""COMPUTED_VALUE"""),"")</f>
        <v/>
      </c>
      <c r="U273" s="2" t="str">
        <f ca="1">IFERROR(__xludf.DUMMYFUNCTION("""COMPUTED_VALUE"""),"")</f>
        <v/>
      </c>
      <c r="V273" s="2" t="str">
        <f ca="1">IFERROR(__xludf.DUMMYFUNCTION("""COMPUTED_VALUE"""),"")</f>
        <v/>
      </c>
      <c r="W273" s="2" t="str">
        <f ca="1">IFERROR(__xludf.DUMMYFUNCTION("""COMPUTED_VALUE"""),"")</f>
        <v/>
      </c>
      <c r="X273" s="2" t="str">
        <f ca="1">IFERROR(__xludf.DUMMYFUNCTION("""COMPUTED_VALUE"""),"")</f>
        <v/>
      </c>
      <c r="Y273" s="2" t="str">
        <f ca="1">IFERROR(__xludf.DUMMYFUNCTION("""COMPUTED_VALUE"""),"")</f>
        <v/>
      </c>
      <c r="Z273" s="2" t="str">
        <f ca="1">IFERROR(__xludf.DUMMYFUNCTION("""COMPUTED_VALUE"""),"")</f>
        <v/>
      </c>
      <c r="AA273" s="2" t="str">
        <f ca="1">IFERROR(__xludf.DUMMYFUNCTION("""COMPUTED_VALUE"""),"")</f>
        <v/>
      </c>
      <c r="AB273" s="2" t="str">
        <f ca="1">IFERROR(__xludf.DUMMYFUNCTION("""COMPUTED_VALUE"""),"")</f>
        <v/>
      </c>
      <c r="AC273" s="2" t="str">
        <f ca="1">IFERROR(__xludf.DUMMYFUNCTION("""COMPUTED_VALUE"""),"")</f>
        <v/>
      </c>
      <c r="AD273" s="2" t="str">
        <f ca="1">IFERROR(__xludf.DUMMYFUNCTION("""COMPUTED_VALUE"""),"")</f>
        <v/>
      </c>
      <c r="AE273" s="2" t="str">
        <f ca="1">IFERROR(__xludf.DUMMYFUNCTION("""COMPUTED_VALUE"""),"")</f>
        <v/>
      </c>
      <c r="AF273" s="2" t="str">
        <f ca="1">IFERROR(__xludf.DUMMYFUNCTION("""COMPUTED_VALUE"""),"")</f>
        <v/>
      </c>
      <c r="AG273" s="2" t="str">
        <f ca="1">IFERROR(__xludf.DUMMYFUNCTION("""COMPUTED_VALUE"""),"")</f>
        <v/>
      </c>
      <c r="AH273" s="2" t="str">
        <f ca="1">IFERROR(__xludf.DUMMYFUNCTION("""COMPUTED_VALUE"""),"")</f>
        <v/>
      </c>
      <c r="AI273" s="2" t="str">
        <f ca="1">IFERROR(__xludf.DUMMYFUNCTION("""COMPUTED_VALUE"""),"")</f>
        <v/>
      </c>
      <c r="AJ273" s="2" t="str">
        <f ca="1">IFERROR(__xludf.DUMMYFUNCTION("""COMPUTED_VALUE"""),"")</f>
        <v/>
      </c>
      <c r="AK273" s="2" t="str">
        <f ca="1">IFERROR(__xludf.DUMMYFUNCTION("""COMPUTED_VALUE"""),"")</f>
        <v/>
      </c>
      <c r="AL273" s="2" t="str">
        <f ca="1">IFERROR(__xludf.DUMMYFUNCTION("""COMPUTED_VALUE"""),"")</f>
        <v/>
      </c>
      <c r="AM273" s="2" t="str">
        <f ca="1">IFERROR(__xludf.DUMMYFUNCTION("""COMPUTED_VALUE"""),"")</f>
        <v/>
      </c>
      <c r="AN273" s="2" t="str">
        <f ca="1">IFERROR(__xludf.DUMMYFUNCTION("""COMPUTED_VALUE"""),"")</f>
        <v/>
      </c>
      <c r="AO273" s="2" t="str">
        <f ca="1">IFERROR(__xludf.DUMMYFUNCTION("""COMPUTED_VALUE"""),"")</f>
        <v/>
      </c>
      <c r="AP273" s="2" t="str">
        <f ca="1">IFERROR(__xludf.DUMMYFUNCTION("""COMPUTED_VALUE"""),"")</f>
        <v/>
      </c>
      <c r="AQ273" s="2" t="str">
        <f ca="1">IFERROR(__xludf.DUMMYFUNCTION("""COMPUTED_VALUE"""),"")</f>
        <v/>
      </c>
      <c r="AR273" s="2" t="str">
        <f ca="1">IFERROR(__xludf.DUMMYFUNCTION("""COMPUTED_VALUE"""),"")</f>
        <v/>
      </c>
      <c r="AS273" s="2" t="str">
        <f ca="1">IFERROR(__xludf.DUMMYFUNCTION("""COMPUTED_VALUE"""),"")</f>
        <v/>
      </c>
      <c r="AT273" s="2" t="str">
        <f ca="1">IFERROR(__xludf.DUMMYFUNCTION("""COMPUTED_VALUE"""),"")</f>
        <v/>
      </c>
      <c r="AU273" s="2" t="str">
        <f ca="1">IFERROR(__xludf.DUMMYFUNCTION("""COMPUTED_VALUE"""),"")</f>
        <v/>
      </c>
      <c r="AV273" s="2" t="str">
        <f ca="1">IFERROR(__xludf.DUMMYFUNCTION("""COMPUTED_VALUE"""),"")</f>
        <v/>
      </c>
      <c r="AW273" s="2" t="str">
        <f ca="1">IFERROR(__xludf.DUMMYFUNCTION("""COMPUTED_VALUE"""),"")</f>
        <v/>
      </c>
      <c r="AX273" s="2" t="str">
        <f ca="1">IFERROR(__xludf.DUMMYFUNCTION("""COMPUTED_VALUE"""),"")</f>
        <v/>
      </c>
      <c r="AY273" s="2" t="str">
        <f ca="1">IFERROR(__xludf.DUMMYFUNCTION("""COMPUTED_VALUE"""),"")</f>
        <v/>
      </c>
      <c r="AZ273" s="2" t="str">
        <f ca="1">IFERROR(__xludf.DUMMYFUNCTION("""COMPUTED_VALUE"""),"")</f>
        <v/>
      </c>
      <c r="BA273" s="2" t="str">
        <f ca="1">IFERROR(__xludf.DUMMYFUNCTION("""COMPUTED_VALUE"""),"")</f>
        <v/>
      </c>
      <c r="BB273" s="2" t="str">
        <f ca="1">IFERROR(__xludf.DUMMYFUNCTION("""COMPUTED_VALUE"""),"")</f>
        <v/>
      </c>
      <c r="BC273" s="2" t="str">
        <f ca="1">IFERROR(__xludf.DUMMYFUNCTION("""COMPUTED_VALUE"""),"")</f>
        <v/>
      </c>
      <c r="BD273" s="2" t="str">
        <f ca="1">IFERROR(__xludf.DUMMYFUNCTION("""COMPUTED_VALUE"""),"")</f>
        <v/>
      </c>
      <c r="BE273" s="2" t="str">
        <f ca="1">IFERROR(__xludf.DUMMYFUNCTION("""COMPUTED_VALUE"""),"")</f>
        <v/>
      </c>
      <c r="BF273" t="str">
        <f ca="1">IFERROR(__xludf.DUMMYFUNCTION("""COMPUTED_VALUE"""),"")</f>
        <v/>
      </c>
      <c r="BG273" t="str">
        <f ca="1">IFERROR(__xludf.DUMMYFUNCTION("""COMPUTED_VALUE"""),"")</f>
        <v/>
      </c>
      <c r="BH273" s="2">
        <f ca="1">IFERROR(__xludf.DUMMYFUNCTION("""COMPUTED_VALUE"""),-36.5271416)</f>
        <v>-36.5271416</v>
      </c>
      <c r="BI273" s="12">
        <f ca="1">IFERROR(__xludf.DUMMYFUNCTION("""COMPUTED_VALUE"""),174.2371521)</f>
        <v>174.2371521</v>
      </c>
      <c r="BJ273" s="9">
        <f ca="1">IFERROR(__xludf.DUMMYFUNCTION("""COMPUTED_VALUE"""),43378)</f>
        <v>43378</v>
      </c>
      <c r="BK273" s="4">
        <f ca="1">IFERROR(__xludf.DUMMYFUNCTION("""COMPUTED_VALUE"""),0.958518518516939)</f>
        <v>0.95851851851693903</v>
      </c>
    </row>
    <row r="274" spans="1:63" ht="12.5" x14ac:dyDescent="0.25">
      <c r="A274" s="7" t="str">
        <f ca="1">IFERROR(__xludf.DUMMYFUNCTION("""COMPUTED_VALUE"""),"")</f>
        <v/>
      </c>
      <c r="B274" s="8" t="str">
        <f ca="1">IFERROR(__xludf.DUMMYFUNCTION("""COMPUTED_VALUE"""),"Waikato")</f>
        <v>Waikato</v>
      </c>
      <c r="C274" s="2">
        <f ca="1">IFERROR(__xludf.DUMMYFUNCTION("""COMPUTED_VALUE"""),21)</f>
        <v>21</v>
      </c>
      <c r="D274" s="9" t="str">
        <f ca="1">IFERROR(__xludf.DUMMYFUNCTION("""COMPUTED_VALUE"""),"")</f>
        <v/>
      </c>
      <c r="E274" s="4" t="str">
        <f ca="1">IFERROR(__xludf.DUMMYFUNCTION("""COMPUTED_VALUE"""),"")</f>
        <v/>
      </c>
      <c r="F274" s="2" t="str">
        <f ca="1">IFERROR(__xludf.DUMMYFUNCTION("""COMPUTED_VALUE"""),"")</f>
        <v/>
      </c>
      <c r="G274" s="2" t="str">
        <f ca="1">IFERROR(__xludf.DUMMYFUNCTION("""COMPUTED_VALUE"""),"GPS: I converted data downloaded from ARGOS using Pinpoint software")</f>
        <v>GPS: I converted data downloaded from ARGOS using Pinpoint software</v>
      </c>
      <c r="H274" s="2" t="str">
        <f ca="1">IFERROR(__xludf.DUMMYFUNCTION("""COMPUTED_VALUE"""),"3D")</f>
        <v>3D</v>
      </c>
      <c r="I274" s="2" t="str">
        <f ca="1">IFERROR(__xludf.DUMMYFUNCTION("""COMPUTED_VALUE"""),"")</f>
        <v/>
      </c>
      <c r="J274" s="2" t="str">
        <f ca="1">IFERROR(__xludf.DUMMYFUNCTION("""COMPUTED_VALUE"""),"")</f>
        <v/>
      </c>
      <c r="K274" s="2" t="str">
        <f ca="1">IFERROR(__xludf.DUMMYFUNCTION("""COMPUTED_VALUE"""),"")</f>
        <v/>
      </c>
      <c r="L274" s="2" t="str">
        <f ca="1">IFERROR(__xludf.DUMMYFUNCTION("""COMPUTED_VALUE"""),"")</f>
        <v/>
      </c>
      <c r="M274" s="5" t="str">
        <f ca="1">IFERROR(__xludf.DUMMYFUNCTION("""COMPUTED_VALUE"""),"")</f>
        <v/>
      </c>
      <c r="N274" s="5" t="str">
        <f ca="1">IFERROR(__xludf.DUMMYFUNCTION("""COMPUTED_VALUE"""),"")</f>
        <v/>
      </c>
      <c r="O274" s="2" t="str">
        <f ca="1">IFERROR(__xludf.DUMMYFUNCTION("""COMPUTED_VALUE"""),"")</f>
        <v/>
      </c>
      <c r="P274" s="2" t="str">
        <f ca="1">IFERROR(__xludf.DUMMYFUNCTION("""COMPUTED_VALUE"""),"")</f>
        <v/>
      </c>
      <c r="Q274" s="2" t="str">
        <f ca="1">IFERROR(__xludf.DUMMYFUNCTION("""COMPUTED_VALUE"""),"")</f>
        <v/>
      </c>
      <c r="R274" s="2" t="str">
        <f ca="1">IFERROR(__xludf.DUMMYFUNCTION("""COMPUTED_VALUE"""),"")</f>
        <v/>
      </c>
      <c r="S274" s="2" t="str">
        <f ca="1">IFERROR(__xludf.DUMMYFUNCTION("""COMPUTED_VALUE"""),"")</f>
        <v/>
      </c>
      <c r="T274" s="2" t="str">
        <f ca="1">IFERROR(__xludf.DUMMYFUNCTION("""COMPUTED_VALUE"""),"")</f>
        <v/>
      </c>
      <c r="U274" s="2" t="str">
        <f ca="1">IFERROR(__xludf.DUMMYFUNCTION("""COMPUTED_VALUE"""),"")</f>
        <v/>
      </c>
      <c r="V274" s="2" t="str">
        <f ca="1">IFERROR(__xludf.DUMMYFUNCTION("""COMPUTED_VALUE"""),"")</f>
        <v/>
      </c>
      <c r="W274" s="2" t="str">
        <f ca="1">IFERROR(__xludf.DUMMYFUNCTION("""COMPUTED_VALUE"""),"")</f>
        <v/>
      </c>
      <c r="X274" s="2" t="str">
        <f ca="1">IFERROR(__xludf.DUMMYFUNCTION("""COMPUTED_VALUE"""),"")</f>
        <v/>
      </c>
      <c r="Y274" s="2" t="str">
        <f ca="1">IFERROR(__xludf.DUMMYFUNCTION("""COMPUTED_VALUE"""),"")</f>
        <v/>
      </c>
      <c r="Z274" s="2" t="str">
        <f ca="1">IFERROR(__xludf.DUMMYFUNCTION("""COMPUTED_VALUE"""),"")</f>
        <v/>
      </c>
      <c r="AA274" s="2" t="str">
        <f ca="1">IFERROR(__xludf.DUMMYFUNCTION("""COMPUTED_VALUE"""),"")</f>
        <v/>
      </c>
      <c r="AB274" s="2" t="str">
        <f ca="1">IFERROR(__xludf.DUMMYFUNCTION("""COMPUTED_VALUE"""),"")</f>
        <v/>
      </c>
      <c r="AC274" s="2" t="str">
        <f ca="1">IFERROR(__xludf.DUMMYFUNCTION("""COMPUTED_VALUE"""),"")</f>
        <v/>
      </c>
      <c r="AD274" s="2" t="str">
        <f ca="1">IFERROR(__xludf.DUMMYFUNCTION("""COMPUTED_VALUE"""),"")</f>
        <v/>
      </c>
      <c r="AE274" s="2" t="str">
        <f ca="1">IFERROR(__xludf.DUMMYFUNCTION("""COMPUTED_VALUE"""),"")</f>
        <v/>
      </c>
      <c r="AF274" s="2" t="str">
        <f ca="1">IFERROR(__xludf.DUMMYFUNCTION("""COMPUTED_VALUE"""),"")</f>
        <v/>
      </c>
      <c r="AG274" s="2" t="str">
        <f ca="1">IFERROR(__xludf.DUMMYFUNCTION("""COMPUTED_VALUE"""),"")</f>
        <v/>
      </c>
      <c r="AH274" s="2" t="str">
        <f ca="1">IFERROR(__xludf.DUMMYFUNCTION("""COMPUTED_VALUE"""),"")</f>
        <v/>
      </c>
      <c r="AI274" s="2" t="str">
        <f ca="1">IFERROR(__xludf.DUMMYFUNCTION("""COMPUTED_VALUE"""),"")</f>
        <v/>
      </c>
      <c r="AJ274" s="2" t="str">
        <f ca="1">IFERROR(__xludf.DUMMYFUNCTION("""COMPUTED_VALUE"""),"")</f>
        <v/>
      </c>
      <c r="AK274" s="2" t="str">
        <f ca="1">IFERROR(__xludf.DUMMYFUNCTION("""COMPUTED_VALUE"""),"")</f>
        <v/>
      </c>
      <c r="AL274" s="2" t="str">
        <f ca="1">IFERROR(__xludf.DUMMYFUNCTION("""COMPUTED_VALUE"""),"")</f>
        <v/>
      </c>
      <c r="AM274" s="2" t="str">
        <f ca="1">IFERROR(__xludf.DUMMYFUNCTION("""COMPUTED_VALUE"""),"")</f>
        <v/>
      </c>
      <c r="AN274" s="2" t="str">
        <f ca="1">IFERROR(__xludf.DUMMYFUNCTION("""COMPUTED_VALUE"""),"")</f>
        <v/>
      </c>
      <c r="AO274" s="2" t="str">
        <f ca="1">IFERROR(__xludf.DUMMYFUNCTION("""COMPUTED_VALUE"""),"")</f>
        <v/>
      </c>
      <c r="AP274" s="2" t="str">
        <f ca="1">IFERROR(__xludf.DUMMYFUNCTION("""COMPUTED_VALUE"""),"")</f>
        <v/>
      </c>
      <c r="AQ274" s="2" t="str">
        <f ca="1">IFERROR(__xludf.DUMMYFUNCTION("""COMPUTED_VALUE"""),"")</f>
        <v/>
      </c>
      <c r="AR274" s="2" t="str">
        <f ca="1">IFERROR(__xludf.DUMMYFUNCTION("""COMPUTED_VALUE"""),"")</f>
        <v/>
      </c>
      <c r="AS274" s="2" t="str">
        <f ca="1">IFERROR(__xludf.DUMMYFUNCTION("""COMPUTED_VALUE"""),"")</f>
        <v/>
      </c>
      <c r="AT274" s="2" t="str">
        <f ca="1">IFERROR(__xludf.DUMMYFUNCTION("""COMPUTED_VALUE"""),"")</f>
        <v/>
      </c>
      <c r="AU274" s="2" t="str">
        <f ca="1">IFERROR(__xludf.DUMMYFUNCTION("""COMPUTED_VALUE"""),"")</f>
        <v/>
      </c>
      <c r="AV274" s="2" t="str">
        <f ca="1">IFERROR(__xludf.DUMMYFUNCTION("""COMPUTED_VALUE"""),"")</f>
        <v/>
      </c>
      <c r="AW274" s="2" t="str">
        <f ca="1">IFERROR(__xludf.DUMMYFUNCTION("""COMPUTED_VALUE"""),"")</f>
        <v/>
      </c>
      <c r="AX274" s="2" t="str">
        <f ca="1">IFERROR(__xludf.DUMMYFUNCTION("""COMPUTED_VALUE"""),"")</f>
        <v/>
      </c>
      <c r="AY274" s="2" t="str">
        <f ca="1">IFERROR(__xludf.DUMMYFUNCTION("""COMPUTED_VALUE"""),"")</f>
        <v/>
      </c>
      <c r="AZ274" s="2" t="str">
        <f ca="1">IFERROR(__xludf.DUMMYFUNCTION("""COMPUTED_VALUE"""),"")</f>
        <v/>
      </c>
      <c r="BA274" s="2" t="str">
        <f ca="1">IFERROR(__xludf.DUMMYFUNCTION("""COMPUTED_VALUE"""),"")</f>
        <v/>
      </c>
      <c r="BB274" s="2" t="str">
        <f ca="1">IFERROR(__xludf.DUMMYFUNCTION("""COMPUTED_VALUE"""),"")</f>
        <v/>
      </c>
      <c r="BC274" s="2" t="str">
        <f ca="1">IFERROR(__xludf.DUMMYFUNCTION("""COMPUTED_VALUE"""),"")</f>
        <v/>
      </c>
      <c r="BD274" s="2" t="str">
        <f ca="1">IFERROR(__xludf.DUMMYFUNCTION("""COMPUTED_VALUE"""),"")</f>
        <v/>
      </c>
      <c r="BE274" s="2" t="str">
        <f ca="1">IFERROR(__xludf.DUMMYFUNCTION("""COMPUTED_VALUE"""),"")</f>
        <v/>
      </c>
      <c r="BF274" t="str">
        <f ca="1">IFERROR(__xludf.DUMMYFUNCTION("""COMPUTED_VALUE"""),"")</f>
        <v/>
      </c>
      <c r="BG274" t="str">
        <f ca="1">IFERROR(__xludf.DUMMYFUNCTION("""COMPUTED_VALUE"""),"")</f>
        <v/>
      </c>
      <c r="BH274" s="2">
        <f ca="1">IFERROR(__xludf.DUMMYFUNCTION("""COMPUTED_VALUE"""),-36.5279617)</f>
        <v>-36.527961699999999</v>
      </c>
      <c r="BI274" s="13">
        <f ca="1">IFERROR(__xludf.DUMMYFUNCTION("""COMPUTED_VALUE"""),174.2355652)</f>
        <v>174.2355652</v>
      </c>
      <c r="BJ274" s="9">
        <f ca="1">IFERROR(__xludf.DUMMYFUNCTION("""COMPUTED_VALUE"""),43380)</f>
        <v>43380</v>
      </c>
      <c r="BK274" s="4">
        <f ca="1">IFERROR(__xludf.DUMMYFUNCTION("""COMPUTED_VALUE"""),0.457777777777664)</f>
        <v>0.45777777777766399</v>
      </c>
    </row>
    <row r="275" spans="1:63" ht="12.5" x14ac:dyDescent="0.25">
      <c r="A275" s="7" t="str">
        <f ca="1">IFERROR(__xludf.DUMMYFUNCTION("""COMPUTED_VALUE"""),"")</f>
        <v/>
      </c>
      <c r="B275" s="8" t="str">
        <f ca="1">IFERROR(__xludf.DUMMYFUNCTION("""COMPUTED_VALUE"""),"Waikato")</f>
        <v>Waikato</v>
      </c>
      <c r="C275" s="2">
        <f ca="1">IFERROR(__xludf.DUMMYFUNCTION("""COMPUTED_VALUE"""),21)</f>
        <v>21</v>
      </c>
      <c r="D275" s="9" t="str">
        <f ca="1">IFERROR(__xludf.DUMMYFUNCTION("""COMPUTED_VALUE"""),"")</f>
        <v/>
      </c>
      <c r="E275" s="4" t="str">
        <f ca="1">IFERROR(__xludf.DUMMYFUNCTION("""COMPUTED_VALUE"""),"")</f>
        <v/>
      </c>
      <c r="F275" s="2" t="str">
        <f ca="1">IFERROR(__xludf.DUMMYFUNCTION("""COMPUTED_VALUE"""),"")</f>
        <v/>
      </c>
      <c r="G275" s="2" t="str">
        <f ca="1">IFERROR(__xludf.DUMMYFUNCTION("""COMPUTED_VALUE"""),"GPS: I converted data downloaded from ARGOS using Pinpoint software")</f>
        <v>GPS: I converted data downloaded from ARGOS using Pinpoint software</v>
      </c>
      <c r="H275" s="2" t="str">
        <f ca="1">IFERROR(__xludf.DUMMYFUNCTION("""COMPUTED_VALUE"""),"3D")</f>
        <v>3D</v>
      </c>
      <c r="I275" s="2" t="str">
        <f ca="1">IFERROR(__xludf.DUMMYFUNCTION("""COMPUTED_VALUE"""),"")</f>
        <v/>
      </c>
      <c r="J275" s="2" t="str">
        <f ca="1">IFERROR(__xludf.DUMMYFUNCTION("""COMPUTED_VALUE"""),"")</f>
        <v/>
      </c>
      <c r="K275" s="2" t="str">
        <f ca="1">IFERROR(__xludf.DUMMYFUNCTION("""COMPUTED_VALUE"""),"")</f>
        <v/>
      </c>
      <c r="L275" s="2" t="str">
        <f ca="1">IFERROR(__xludf.DUMMYFUNCTION("""COMPUTED_VALUE"""),"")</f>
        <v/>
      </c>
      <c r="M275" s="5" t="str">
        <f ca="1">IFERROR(__xludf.DUMMYFUNCTION("""COMPUTED_VALUE"""),"")</f>
        <v/>
      </c>
      <c r="N275" s="5" t="str">
        <f ca="1">IFERROR(__xludf.DUMMYFUNCTION("""COMPUTED_VALUE"""),"")</f>
        <v/>
      </c>
      <c r="O275" s="2" t="str">
        <f ca="1">IFERROR(__xludf.DUMMYFUNCTION("""COMPUTED_VALUE"""),"")</f>
        <v/>
      </c>
      <c r="P275" s="2" t="str">
        <f ca="1">IFERROR(__xludf.DUMMYFUNCTION("""COMPUTED_VALUE"""),"")</f>
        <v/>
      </c>
      <c r="Q275" s="2" t="str">
        <f ca="1">IFERROR(__xludf.DUMMYFUNCTION("""COMPUTED_VALUE"""),"")</f>
        <v/>
      </c>
      <c r="R275" s="2" t="str">
        <f ca="1">IFERROR(__xludf.DUMMYFUNCTION("""COMPUTED_VALUE"""),"")</f>
        <v/>
      </c>
      <c r="S275" s="2" t="str">
        <f ca="1">IFERROR(__xludf.DUMMYFUNCTION("""COMPUTED_VALUE"""),"")</f>
        <v/>
      </c>
      <c r="T275" s="2" t="str">
        <f ca="1">IFERROR(__xludf.DUMMYFUNCTION("""COMPUTED_VALUE"""),"")</f>
        <v/>
      </c>
      <c r="U275" s="2" t="str">
        <f ca="1">IFERROR(__xludf.DUMMYFUNCTION("""COMPUTED_VALUE"""),"")</f>
        <v/>
      </c>
      <c r="V275" s="2" t="str">
        <f ca="1">IFERROR(__xludf.DUMMYFUNCTION("""COMPUTED_VALUE"""),"")</f>
        <v/>
      </c>
      <c r="W275" s="2" t="str">
        <f ca="1">IFERROR(__xludf.DUMMYFUNCTION("""COMPUTED_VALUE"""),"")</f>
        <v/>
      </c>
      <c r="X275" s="2" t="str">
        <f ca="1">IFERROR(__xludf.DUMMYFUNCTION("""COMPUTED_VALUE"""),"")</f>
        <v/>
      </c>
      <c r="Y275" s="2" t="str">
        <f ca="1">IFERROR(__xludf.DUMMYFUNCTION("""COMPUTED_VALUE"""),"")</f>
        <v/>
      </c>
      <c r="Z275" s="2" t="str">
        <f ca="1">IFERROR(__xludf.DUMMYFUNCTION("""COMPUTED_VALUE"""),"")</f>
        <v/>
      </c>
      <c r="AA275" s="2" t="str">
        <f ca="1">IFERROR(__xludf.DUMMYFUNCTION("""COMPUTED_VALUE"""),"")</f>
        <v/>
      </c>
      <c r="AB275" s="2" t="str">
        <f ca="1">IFERROR(__xludf.DUMMYFUNCTION("""COMPUTED_VALUE"""),"")</f>
        <v/>
      </c>
      <c r="AC275" s="2" t="str">
        <f ca="1">IFERROR(__xludf.DUMMYFUNCTION("""COMPUTED_VALUE"""),"")</f>
        <v/>
      </c>
      <c r="AD275" s="2" t="str">
        <f ca="1">IFERROR(__xludf.DUMMYFUNCTION("""COMPUTED_VALUE"""),"")</f>
        <v/>
      </c>
      <c r="AE275" s="2" t="str">
        <f ca="1">IFERROR(__xludf.DUMMYFUNCTION("""COMPUTED_VALUE"""),"")</f>
        <v/>
      </c>
      <c r="AF275" s="2" t="str">
        <f ca="1">IFERROR(__xludf.DUMMYFUNCTION("""COMPUTED_VALUE"""),"")</f>
        <v/>
      </c>
      <c r="AG275" s="2" t="str">
        <f ca="1">IFERROR(__xludf.DUMMYFUNCTION("""COMPUTED_VALUE"""),"")</f>
        <v/>
      </c>
      <c r="AH275" s="2" t="str">
        <f ca="1">IFERROR(__xludf.DUMMYFUNCTION("""COMPUTED_VALUE"""),"")</f>
        <v/>
      </c>
      <c r="AI275" s="2" t="str">
        <f ca="1">IFERROR(__xludf.DUMMYFUNCTION("""COMPUTED_VALUE"""),"")</f>
        <v/>
      </c>
      <c r="AJ275" s="2" t="str">
        <f ca="1">IFERROR(__xludf.DUMMYFUNCTION("""COMPUTED_VALUE"""),"")</f>
        <v/>
      </c>
      <c r="AK275" s="2" t="str">
        <f ca="1">IFERROR(__xludf.DUMMYFUNCTION("""COMPUTED_VALUE"""),"")</f>
        <v/>
      </c>
      <c r="AL275" s="2" t="str">
        <f ca="1">IFERROR(__xludf.DUMMYFUNCTION("""COMPUTED_VALUE"""),"")</f>
        <v/>
      </c>
      <c r="AM275" s="2" t="str">
        <f ca="1">IFERROR(__xludf.DUMMYFUNCTION("""COMPUTED_VALUE"""),"")</f>
        <v/>
      </c>
      <c r="AN275" s="2" t="str">
        <f ca="1">IFERROR(__xludf.DUMMYFUNCTION("""COMPUTED_VALUE"""),"")</f>
        <v/>
      </c>
      <c r="AO275" s="2" t="str">
        <f ca="1">IFERROR(__xludf.DUMMYFUNCTION("""COMPUTED_VALUE"""),"")</f>
        <v/>
      </c>
      <c r="AP275" s="2" t="str">
        <f ca="1">IFERROR(__xludf.DUMMYFUNCTION("""COMPUTED_VALUE"""),"")</f>
        <v/>
      </c>
      <c r="AQ275" s="2" t="str">
        <f ca="1">IFERROR(__xludf.DUMMYFUNCTION("""COMPUTED_VALUE"""),"")</f>
        <v/>
      </c>
      <c r="AR275" s="2" t="str">
        <f ca="1">IFERROR(__xludf.DUMMYFUNCTION("""COMPUTED_VALUE"""),"")</f>
        <v/>
      </c>
      <c r="AS275" s="2" t="str">
        <f ca="1">IFERROR(__xludf.DUMMYFUNCTION("""COMPUTED_VALUE"""),"")</f>
        <v/>
      </c>
      <c r="AT275" s="2" t="str">
        <f ca="1">IFERROR(__xludf.DUMMYFUNCTION("""COMPUTED_VALUE"""),"")</f>
        <v/>
      </c>
      <c r="AU275" s="2" t="str">
        <f ca="1">IFERROR(__xludf.DUMMYFUNCTION("""COMPUTED_VALUE"""),"")</f>
        <v/>
      </c>
      <c r="AV275" s="2" t="str">
        <f ca="1">IFERROR(__xludf.DUMMYFUNCTION("""COMPUTED_VALUE"""),"")</f>
        <v/>
      </c>
      <c r="AW275" s="2" t="str">
        <f ca="1">IFERROR(__xludf.DUMMYFUNCTION("""COMPUTED_VALUE"""),"")</f>
        <v/>
      </c>
      <c r="AX275" s="2" t="str">
        <f ca="1">IFERROR(__xludf.DUMMYFUNCTION("""COMPUTED_VALUE"""),"")</f>
        <v/>
      </c>
      <c r="AY275" s="2" t="str">
        <f ca="1">IFERROR(__xludf.DUMMYFUNCTION("""COMPUTED_VALUE"""),"")</f>
        <v/>
      </c>
      <c r="AZ275" s="2" t="str">
        <f ca="1">IFERROR(__xludf.DUMMYFUNCTION("""COMPUTED_VALUE"""),"")</f>
        <v/>
      </c>
      <c r="BA275" s="2" t="str">
        <f ca="1">IFERROR(__xludf.DUMMYFUNCTION("""COMPUTED_VALUE"""),"")</f>
        <v/>
      </c>
      <c r="BB275" s="2" t="str">
        <f ca="1">IFERROR(__xludf.DUMMYFUNCTION("""COMPUTED_VALUE"""),"")</f>
        <v/>
      </c>
      <c r="BC275" s="2" t="str">
        <f ca="1">IFERROR(__xludf.DUMMYFUNCTION("""COMPUTED_VALUE"""),"")</f>
        <v/>
      </c>
      <c r="BD275" s="2" t="str">
        <f ca="1">IFERROR(__xludf.DUMMYFUNCTION("""COMPUTED_VALUE"""),"")</f>
        <v/>
      </c>
      <c r="BE275" s="2" t="str">
        <f ca="1">IFERROR(__xludf.DUMMYFUNCTION("""COMPUTED_VALUE"""),"")</f>
        <v/>
      </c>
      <c r="BF275" t="str">
        <f ca="1">IFERROR(__xludf.DUMMYFUNCTION("""COMPUTED_VALUE"""),"")</f>
        <v/>
      </c>
      <c r="BG275" t="str">
        <f ca="1">IFERROR(__xludf.DUMMYFUNCTION("""COMPUTED_VALUE"""),"")</f>
        <v/>
      </c>
      <c r="BH275" s="2">
        <f ca="1">IFERROR(__xludf.DUMMYFUNCTION("""COMPUTED_VALUE"""),-36.5230217)</f>
        <v>-36.523021700000001</v>
      </c>
      <c r="BI275" s="12">
        <f ca="1">IFERROR(__xludf.DUMMYFUNCTION("""COMPUTED_VALUE"""),174.2448578)</f>
        <v>174.24485780000001</v>
      </c>
      <c r="BJ275" s="9">
        <f ca="1">IFERROR(__xludf.DUMMYFUNCTION("""COMPUTED_VALUE"""),43380)</f>
        <v>43380</v>
      </c>
      <c r="BK275" s="4">
        <f ca="1">IFERROR(__xludf.DUMMYFUNCTION("""COMPUTED_VALUE"""),0.958518518516939)</f>
        <v>0.95851851851693903</v>
      </c>
    </row>
    <row r="276" spans="1:63" ht="12.5" x14ac:dyDescent="0.25">
      <c r="A276" s="7" t="str">
        <f ca="1">IFERROR(__xludf.DUMMYFUNCTION("""COMPUTED_VALUE"""),"")</f>
        <v/>
      </c>
      <c r="B276" s="8" t="str">
        <f ca="1">IFERROR(__xludf.DUMMYFUNCTION("""COMPUTED_VALUE"""),"Waikato")</f>
        <v>Waikato</v>
      </c>
      <c r="C276" s="2">
        <f ca="1">IFERROR(__xludf.DUMMYFUNCTION("""COMPUTED_VALUE"""),21)</f>
        <v>21</v>
      </c>
      <c r="D276" s="9" t="str">
        <f ca="1">IFERROR(__xludf.DUMMYFUNCTION("""COMPUTED_VALUE"""),"")</f>
        <v/>
      </c>
      <c r="E276" s="4" t="str">
        <f ca="1">IFERROR(__xludf.DUMMYFUNCTION("""COMPUTED_VALUE"""),"")</f>
        <v/>
      </c>
      <c r="F276" s="2" t="str">
        <f ca="1">IFERROR(__xludf.DUMMYFUNCTION("""COMPUTED_VALUE"""),"")</f>
        <v/>
      </c>
      <c r="G276" s="2" t="str">
        <f ca="1">IFERROR(__xludf.DUMMYFUNCTION("""COMPUTED_VALUE"""),"GPS: I converted data downloaded from ARGOS using Pinpoint software")</f>
        <v>GPS: I converted data downloaded from ARGOS using Pinpoint software</v>
      </c>
      <c r="H276" s="2" t="str">
        <f ca="1">IFERROR(__xludf.DUMMYFUNCTION("""COMPUTED_VALUE"""),"3D")</f>
        <v>3D</v>
      </c>
      <c r="I276" s="2" t="str">
        <f ca="1">IFERROR(__xludf.DUMMYFUNCTION("""COMPUTED_VALUE"""),"")</f>
        <v/>
      </c>
      <c r="J276" s="2" t="str">
        <f ca="1">IFERROR(__xludf.DUMMYFUNCTION("""COMPUTED_VALUE"""),"")</f>
        <v/>
      </c>
      <c r="K276" s="2" t="str">
        <f ca="1">IFERROR(__xludf.DUMMYFUNCTION("""COMPUTED_VALUE"""),"")</f>
        <v/>
      </c>
      <c r="L276" s="2" t="str">
        <f ca="1">IFERROR(__xludf.DUMMYFUNCTION("""COMPUTED_VALUE"""),"")</f>
        <v/>
      </c>
      <c r="M276" s="5" t="str">
        <f ca="1">IFERROR(__xludf.DUMMYFUNCTION("""COMPUTED_VALUE"""),"")</f>
        <v/>
      </c>
      <c r="N276" s="5" t="str">
        <f ca="1">IFERROR(__xludf.DUMMYFUNCTION("""COMPUTED_VALUE"""),"")</f>
        <v/>
      </c>
      <c r="O276" s="2" t="str">
        <f ca="1">IFERROR(__xludf.DUMMYFUNCTION("""COMPUTED_VALUE"""),"")</f>
        <v/>
      </c>
      <c r="P276" s="2" t="str">
        <f ca="1">IFERROR(__xludf.DUMMYFUNCTION("""COMPUTED_VALUE"""),"")</f>
        <v/>
      </c>
      <c r="Q276" s="2" t="str">
        <f ca="1">IFERROR(__xludf.DUMMYFUNCTION("""COMPUTED_VALUE"""),"")</f>
        <v/>
      </c>
      <c r="R276" s="2" t="str">
        <f ca="1">IFERROR(__xludf.DUMMYFUNCTION("""COMPUTED_VALUE"""),"")</f>
        <v/>
      </c>
      <c r="S276" s="2" t="str">
        <f ca="1">IFERROR(__xludf.DUMMYFUNCTION("""COMPUTED_VALUE"""),"")</f>
        <v/>
      </c>
      <c r="T276" s="2" t="str">
        <f ca="1">IFERROR(__xludf.DUMMYFUNCTION("""COMPUTED_VALUE"""),"")</f>
        <v/>
      </c>
      <c r="U276" s="2" t="str">
        <f ca="1">IFERROR(__xludf.DUMMYFUNCTION("""COMPUTED_VALUE"""),"")</f>
        <v/>
      </c>
      <c r="V276" s="2" t="str">
        <f ca="1">IFERROR(__xludf.DUMMYFUNCTION("""COMPUTED_VALUE"""),"")</f>
        <v/>
      </c>
      <c r="W276" s="2" t="str">
        <f ca="1">IFERROR(__xludf.DUMMYFUNCTION("""COMPUTED_VALUE"""),"")</f>
        <v/>
      </c>
      <c r="X276" s="2" t="str">
        <f ca="1">IFERROR(__xludf.DUMMYFUNCTION("""COMPUTED_VALUE"""),"")</f>
        <v/>
      </c>
      <c r="Y276" s="2" t="str">
        <f ca="1">IFERROR(__xludf.DUMMYFUNCTION("""COMPUTED_VALUE"""),"")</f>
        <v/>
      </c>
      <c r="Z276" s="2" t="str">
        <f ca="1">IFERROR(__xludf.DUMMYFUNCTION("""COMPUTED_VALUE"""),"")</f>
        <v/>
      </c>
      <c r="AA276" s="2" t="str">
        <f ca="1">IFERROR(__xludf.DUMMYFUNCTION("""COMPUTED_VALUE"""),"")</f>
        <v/>
      </c>
      <c r="AB276" s="2" t="str">
        <f ca="1">IFERROR(__xludf.DUMMYFUNCTION("""COMPUTED_VALUE"""),"")</f>
        <v/>
      </c>
      <c r="AC276" s="2" t="str">
        <f ca="1">IFERROR(__xludf.DUMMYFUNCTION("""COMPUTED_VALUE"""),"")</f>
        <v/>
      </c>
      <c r="AD276" s="2" t="str">
        <f ca="1">IFERROR(__xludf.DUMMYFUNCTION("""COMPUTED_VALUE"""),"")</f>
        <v/>
      </c>
      <c r="AE276" s="2" t="str">
        <f ca="1">IFERROR(__xludf.DUMMYFUNCTION("""COMPUTED_VALUE"""),"")</f>
        <v/>
      </c>
      <c r="AF276" s="2" t="str">
        <f ca="1">IFERROR(__xludf.DUMMYFUNCTION("""COMPUTED_VALUE"""),"")</f>
        <v/>
      </c>
      <c r="AG276" s="2" t="str">
        <f ca="1">IFERROR(__xludf.DUMMYFUNCTION("""COMPUTED_VALUE"""),"")</f>
        <v/>
      </c>
      <c r="AH276" s="2" t="str">
        <f ca="1">IFERROR(__xludf.DUMMYFUNCTION("""COMPUTED_VALUE"""),"")</f>
        <v/>
      </c>
      <c r="AI276" s="2" t="str">
        <f ca="1">IFERROR(__xludf.DUMMYFUNCTION("""COMPUTED_VALUE"""),"")</f>
        <v/>
      </c>
      <c r="AJ276" s="2" t="str">
        <f ca="1">IFERROR(__xludf.DUMMYFUNCTION("""COMPUTED_VALUE"""),"")</f>
        <v/>
      </c>
      <c r="AK276" s="2" t="str">
        <f ca="1">IFERROR(__xludf.DUMMYFUNCTION("""COMPUTED_VALUE"""),"")</f>
        <v/>
      </c>
      <c r="AL276" s="2" t="str">
        <f ca="1">IFERROR(__xludf.DUMMYFUNCTION("""COMPUTED_VALUE"""),"")</f>
        <v/>
      </c>
      <c r="AM276" s="2" t="str">
        <f ca="1">IFERROR(__xludf.DUMMYFUNCTION("""COMPUTED_VALUE"""),"")</f>
        <v/>
      </c>
      <c r="AN276" s="2" t="str">
        <f ca="1">IFERROR(__xludf.DUMMYFUNCTION("""COMPUTED_VALUE"""),"")</f>
        <v/>
      </c>
      <c r="AO276" s="2" t="str">
        <f ca="1">IFERROR(__xludf.DUMMYFUNCTION("""COMPUTED_VALUE"""),"")</f>
        <v/>
      </c>
      <c r="AP276" s="2" t="str">
        <f ca="1">IFERROR(__xludf.DUMMYFUNCTION("""COMPUTED_VALUE"""),"")</f>
        <v/>
      </c>
      <c r="AQ276" s="2" t="str">
        <f ca="1">IFERROR(__xludf.DUMMYFUNCTION("""COMPUTED_VALUE"""),"")</f>
        <v/>
      </c>
      <c r="AR276" s="2" t="str">
        <f ca="1">IFERROR(__xludf.DUMMYFUNCTION("""COMPUTED_VALUE"""),"")</f>
        <v/>
      </c>
      <c r="AS276" s="2" t="str">
        <f ca="1">IFERROR(__xludf.DUMMYFUNCTION("""COMPUTED_VALUE"""),"")</f>
        <v/>
      </c>
      <c r="AT276" s="2" t="str">
        <f ca="1">IFERROR(__xludf.DUMMYFUNCTION("""COMPUTED_VALUE"""),"")</f>
        <v/>
      </c>
      <c r="AU276" s="2" t="str">
        <f ca="1">IFERROR(__xludf.DUMMYFUNCTION("""COMPUTED_VALUE"""),"")</f>
        <v/>
      </c>
      <c r="AV276" s="2" t="str">
        <f ca="1">IFERROR(__xludf.DUMMYFUNCTION("""COMPUTED_VALUE"""),"")</f>
        <v/>
      </c>
      <c r="AW276" s="2" t="str">
        <f ca="1">IFERROR(__xludf.DUMMYFUNCTION("""COMPUTED_VALUE"""),"")</f>
        <v/>
      </c>
      <c r="AX276" s="2" t="str">
        <f ca="1">IFERROR(__xludf.DUMMYFUNCTION("""COMPUTED_VALUE"""),"")</f>
        <v/>
      </c>
      <c r="AY276" s="2" t="str">
        <f ca="1">IFERROR(__xludf.DUMMYFUNCTION("""COMPUTED_VALUE"""),"")</f>
        <v/>
      </c>
      <c r="AZ276" s="2" t="str">
        <f ca="1">IFERROR(__xludf.DUMMYFUNCTION("""COMPUTED_VALUE"""),"")</f>
        <v/>
      </c>
      <c r="BA276" s="2" t="str">
        <f ca="1">IFERROR(__xludf.DUMMYFUNCTION("""COMPUTED_VALUE"""),"")</f>
        <v/>
      </c>
      <c r="BB276" s="2" t="str">
        <f ca="1">IFERROR(__xludf.DUMMYFUNCTION("""COMPUTED_VALUE"""),"")</f>
        <v/>
      </c>
      <c r="BC276" s="2" t="str">
        <f ca="1">IFERROR(__xludf.DUMMYFUNCTION("""COMPUTED_VALUE"""),"")</f>
        <v/>
      </c>
      <c r="BD276" s="2" t="str">
        <f ca="1">IFERROR(__xludf.DUMMYFUNCTION("""COMPUTED_VALUE"""),"")</f>
        <v/>
      </c>
      <c r="BE276" s="2" t="str">
        <f ca="1">IFERROR(__xludf.DUMMYFUNCTION("""COMPUTED_VALUE"""),"")</f>
        <v/>
      </c>
      <c r="BF276" t="str">
        <f ca="1">IFERROR(__xludf.DUMMYFUNCTION("""COMPUTED_VALUE"""),"")</f>
        <v/>
      </c>
      <c r="BG276" t="str">
        <f ca="1">IFERROR(__xludf.DUMMYFUNCTION("""COMPUTED_VALUE"""),"")</f>
        <v/>
      </c>
      <c r="BH276" s="2">
        <f ca="1">IFERROR(__xludf.DUMMYFUNCTION("""COMPUTED_VALUE"""),-36.522892)</f>
        <v>-36.522891999999999</v>
      </c>
      <c r="BI276" s="13">
        <f ca="1">IFERROR(__xludf.DUMMYFUNCTION("""COMPUTED_VALUE"""),174.243927)</f>
        <v>174.24392700000001</v>
      </c>
      <c r="BJ276" s="9">
        <f ca="1">IFERROR(__xludf.DUMMYFUNCTION("""COMPUTED_VALUE"""),43382)</f>
        <v>43382</v>
      </c>
      <c r="BK276" s="4">
        <f ca="1">IFERROR(__xludf.DUMMYFUNCTION("""COMPUTED_VALUE"""),0.457777777777664)</f>
        <v>0.45777777777766399</v>
      </c>
    </row>
    <row r="277" spans="1:63" ht="12.5" x14ac:dyDescent="0.25">
      <c r="A277" s="7" t="str">
        <f ca="1">IFERROR(__xludf.DUMMYFUNCTION("""COMPUTED_VALUE"""),"")</f>
        <v/>
      </c>
      <c r="B277" s="8" t="str">
        <f ca="1">IFERROR(__xludf.DUMMYFUNCTION("""COMPUTED_VALUE"""),"Waikato")</f>
        <v>Waikato</v>
      </c>
      <c r="C277" s="2">
        <f ca="1">IFERROR(__xludf.DUMMYFUNCTION("""COMPUTED_VALUE"""),21)</f>
        <v>21</v>
      </c>
      <c r="D277" s="9" t="str">
        <f ca="1">IFERROR(__xludf.DUMMYFUNCTION("""COMPUTED_VALUE"""),"")</f>
        <v/>
      </c>
      <c r="E277" s="4" t="str">
        <f ca="1">IFERROR(__xludf.DUMMYFUNCTION("""COMPUTED_VALUE"""),"")</f>
        <v/>
      </c>
      <c r="F277" s="2" t="str">
        <f ca="1">IFERROR(__xludf.DUMMYFUNCTION("""COMPUTED_VALUE"""),"")</f>
        <v/>
      </c>
      <c r="G277" s="2" t="str">
        <f ca="1">IFERROR(__xludf.DUMMYFUNCTION("""COMPUTED_VALUE"""),"GPS: I converted data downloaded from ARGOS using Pinpoint software")</f>
        <v>GPS: I converted data downloaded from ARGOS using Pinpoint software</v>
      </c>
      <c r="H277" s="2" t="str">
        <f ca="1">IFERROR(__xludf.DUMMYFUNCTION("""COMPUTED_VALUE"""),"3D")</f>
        <v>3D</v>
      </c>
      <c r="I277" s="2" t="str">
        <f ca="1">IFERROR(__xludf.DUMMYFUNCTION("""COMPUTED_VALUE"""),"")</f>
        <v/>
      </c>
      <c r="J277" s="2" t="str">
        <f ca="1">IFERROR(__xludf.DUMMYFUNCTION("""COMPUTED_VALUE"""),"")</f>
        <v/>
      </c>
      <c r="K277" s="2" t="str">
        <f ca="1">IFERROR(__xludf.DUMMYFUNCTION("""COMPUTED_VALUE"""),"")</f>
        <v/>
      </c>
      <c r="L277" s="2" t="str">
        <f ca="1">IFERROR(__xludf.DUMMYFUNCTION("""COMPUTED_VALUE"""),"")</f>
        <v/>
      </c>
      <c r="M277" s="5" t="str">
        <f ca="1">IFERROR(__xludf.DUMMYFUNCTION("""COMPUTED_VALUE"""),"")</f>
        <v/>
      </c>
      <c r="N277" s="5" t="str">
        <f ca="1">IFERROR(__xludf.DUMMYFUNCTION("""COMPUTED_VALUE"""),"")</f>
        <v/>
      </c>
      <c r="O277" s="2" t="str">
        <f ca="1">IFERROR(__xludf.DUMMYFUNCTION("""COMPUTED_VALUE"""),"")</f>
        <v/>
      </c>
      <c r="P277" s="2" t="str">
        <f ca="1">IFERROR(__xludf.DUMMYFUNCTION("""COMPUTED_VALUE"""),"")</f>
        <v/>
      </c>
      <c r="Q277" s="2" t="str">
        <f ca="1">IFERROR(__xludf.DUMMYFUNCTION("""COMPUTED_VALUE"""),"")</f>
        <v/>
      </c>
      <c r="R277" s="2" t="str">
        <f ca="1">IFERROR(__xludf.DUMMYFUNCTION("""COMPUTED_VALUE"""),"")</f>
        <v/>
      </c>
      <c r="S277" s="2" t="str">
        <f ca="1">IFERROR(__xludf.DUMMYFUNCTION("""COMPUTED_VALUE"""),"")</f>
        <v/>
      </c>
      <c r="T277" s="2" t="str">
        <f ca="1">IFERROR(__xludf.DUMMYFUNCTION("""COMPUTED_VALUE"""),"")</f>
        <v/>
      </c>
      <c r="U277" s="2" t="str">
        <f ca="1">IFERROR(__xludf.DUMMYFUNCTION("""COMPUTED_VALUE"""),"")</f>
        <v/>
      </c>
      <c r="V277" s="2" t="str">
        <f ca="1">IFERROR(__xludf.DUMMYFUNCTION("""COMPUTED_VALUE"""),"")</f>
        <v/>
      </c>
      <c r="W277" s="2" t="str">
        <f ca="1">IFERROR(__xludf.DUMMYFUNCTION("""COMPUTED_VALUE"""),"")</f>
        <v/>
      </c>
      <c r="X277" s="2" t="str">
        <f ca="1">IFERROR(__xludf.DUMMYFUNCTION("""COMPUTED_VALUE"""),"")</f>
        <v/>
      </c>
      <c r="Y277" s="2" t="str">
        <f ca="1">IFERROR(__xludf.DUMMYFUNCTION("""COMPUTED_VALUE"""),"")</f>
        <v/>
      </c>
      <c r="Z277" s="2" t="str">
        <f ca="1">IFERROR(__xludf.DUMMYFUNCTION("""COMPUTED_VALUE"""),"")</f>
        <v/>
      </c>
      <c r="AA277" s="2" t="str">
        <f ca="1">IFERROR(__xludf.DUMMYFUNCTION("""COMPUTED_VALUE"""),"")</f>
        <v/>
      </c>
      <c r="AB277" s="2" t="str">
        <f ca="1">IFERROR(__xludf.DUMMYFUNCTION("""COMPUTED_VALUE"""),"")</f>
        <v/>
      </c>
      <c r="AC277" s="2" t="str">
        <f ca="1">IFERROR(__xludf.DUMMYFUNCTION("""COMPUTED_VALUE"""),"")</f>
        <v/>
      </c>
      <c r="AD277" s="2" t="str">
        <f ca="1">IFERROR(__xludf.DUMMYFUNCTION("""COMPUTED_VALUE"""),"")</f>
        <v/>
      </c>
      <c r="AE277" s="2" t="str">
        <f ca="1">IFERROR(__xludf.DUMMYFUNCTION("""COMPUTED_VALUE"""),"")</f>
        <v/>
      </c>
      <c r="AF277" s="2" t="str">
        <f ca="1">IFERROR(__xludf.DUMMYFUNCTION("""COMPUTED_VALUE"""),"")</f>
        <v/>
      </c>
      <c r="AG277" s="2" t="str">
        <f ca="1">IFERROR(__xludf.DUMMYFUNCTION("""COMPUTED_VALUE"""),"")</f>
        <v/>
      </c>
      <c r="AH277" s="2" t="str">
        <f ca="1">IFERROR(__xludf.DUMMYFUNCTION("""COMPUTED_VALUE"""),"")</f>
        <v/>
      </c>
      <c r="AI277" s="2" t="str">
        <f ca="1">IFERROR(__xludf.DUMMYFUNCTION("""COMPUTED_VALUE"""),"")</f>
        <v/>
      </c>
      <c r="AJ277" s="2" t="str">
        <f ca="1">IFERROR(__xludf.DUMMYFUNCTION("""COMPUTED_VALUE"""),"")</f>
        <v/>
      </c>
      <c r="AK277" s="2" t="str">
        <f ca="1">IFERROR(__xludf.DUMMYFUNCTION("""COMPUTED_VALUE"""),"")</f>
        <v/>
      </c>
      <c r="AL277" s="2" t="str">
        <f ca="1">IFERROR(__xludf.DUMMYFUNCTION("""COMPUTED_VALUE"""),"")</f>
        <v/>
      </c>
      <c r="AM277" s="2" t="str">
        <f ca="1">IFERROR(__xludf.DUMMYFUNCTION("""COMPUTED_VALUE"""),"")</f>
        <v/>
      </c>
      <c r="AN277" s="2" t="str">
        <f ca="1">IFERROR(__xludf.DUMMYFUNCTION("""COMPUTED_VALUE"""),"")</f>
        <v/>
      </c>
      <c r="AO277" s="2" t="str">
        <f ca="1">IFERROR(__xludf.DUMMYFUNCTION("""COMPUTED_VALUE"""),"")</f>
        <v/>
      </c>
      <c r="AP277" s="2" t="str">
        <f ca="1">IFERROR(__xludf.DUMMYFUNCTION("""COMPUTED_VALUE"""),"")</f>
        <v/>
      </c>
      <c r="AQ277" s="2" t="str">
        <f ca="1">IFERROR(__xludf.DUMMYFUNCTION("""COMPUTED_VALUE"""),"")</f>
        <v/>
      </c>
      <c r="AR277" s="2" t="str">
        <f ca="1">IFERROR(__xludf.DUMMYFUNCTION("""COMPUTED_VALUE"""),"")</f>
        <v/>
      </c>
      <c r="AS277" s="2" t="str">
        <f ca="1">IFERROR(__xludf.DUMMYFUNCTION("""COMPUTED_VALUE"""),"")</f>
        <v/>
      </c>
      <c r="AT277" s="2" t="str">
        <f ca="1">IFERROR(__xludf.DUMMYFUNCTION("""COMPUTED_VALUE"""),"")</f>
        <v/>
      </c>
      <c r="AU277" s="2" t="str">
        <f ca="1">IFERROR(__xludf.DUMMYFUNCTION("""COMPUTED_VALUE"""),"")</f>
        <v/>
      </c>
      <c r="AV277" s="2" t="str">
        <f ca="1">IFERROR(__xludf.DUMMYFUNCTION("""COMPUTED_VALUE"""),"")</f>
        <v/>
      </c>
      <c r="AW277" s="2" t="str">
        <f ca="1">IFERROR(__xludf.DUMMYFUNCTION("""COMPUTED_VALUE"""),"")</f>
        <v/>
      </c>
      <c r="AX277" s="2" t="str">
        <f ca="1">IFERROR(__xludf.DUMMYFUNCTION("""COMPUTED_VALUE"""),"")</f>
        <v/>
      </c>
      <c r="AY277" s="2" t="str">
        <f ca="1">IFERROR(__xludf.DUMMYFUNCTION("""COMPUTED_VALUE"""),"")</f>
        <v/>
      </c>
      <c r="AZ277" s="2" t="str">
        <f ca="1">IFERROR(__xludf.DUMMYFUNCTION("""COMPUTED_VALUE"""),"")</f>
        <v/>
      </c>
      <c r="BA277" s="2" t="str">
        <f ca="1">IFERROR(__xludf.DUMMYFUNCTION("""COMPUTED_VALUE"""),"")</f>
        <v/>
      </c>
      <c r="BB277" s="2" t="str">
        <f ca="1">IFERROR(__xludf.DUMMYFUNCTION("""COMPUTED_VALUE"""),"")</f>
        <v/>
      </c>
      <c r="BC277" s="2" t="str">
        <f ca="1">IFERROR(__xludf.DUMMYFUNCTION("""COMPUTED_VALUE"""),"")</f>
        <v/>
      </c>
      <c r="BD277" s="2" t="str">
        <f ca="1">IFERROR(__xludf.DUMMYFUNCTION("""COMPUTED_VALUE"""),"")</f>
        <v/>
      </c>
      <c r="BE277" s="2" t="str">
        <f ca="1">IFERROR(__xludf.DUMMYFUNCTION("""COMPUTED_VALUE"""),"")</f>
        <v/>
      </c>
      <c r="BF277" t="str">
        <f ca="1">IFERROR(__xludf.DUMMYFUNCTION("""COMPUTED_VALUE"""),"")</f>
        <v/>
      </c>
      <c r="BG277" t="str">
        <f ca="1">IFERROR(__xludf.DUMMYFUNCTION("""COMPUTED_VALUE"""),"")</f>
        <v/>
      </c>
      <c r="BH277" s="2">
        <f ca="1">IFERROR(__xludf.DUMMYFUNCTION("""COMPUTED_VALUE"""),-36.5195923)</f>
        <v>-36.519592299999999</v>
      </c>
      <c r="BI277" s="12">
        <f ca="1">IFERROR(__xludf.DUMMYFUNCTION("""COMPUTED_VALUE"""),174.2380676)</f>
        <v>174.23806759999999</v>
      </c>
      <c r="BJ277" s="9">
        <f ca="1">IFERROR(__xludf.DUMMYFUNCTION("""COMPUTED_VALUE"""),43382)</f>
        <v>43382</v>
      </c>
      <c r="BK277" s="4">
        <f ca="1">IFERROR(__xludf.DUMMYFUNCTION("""COMPUTED_VALUE"""),0.958518518516939)</f>
        <v>0.95851851851693903</v>
      </c>
    </row>
    <row r="278" spans="1:63" ht="12.5" x14ac:dyDescent="0.25">
      <c r="A278" s="7" t="str">
        <f ca="1">IFERROR(__xludf.DUMMYFUNCTION("""COMPUTED_VALUE"""),"")</f>
        <v/>
      </c>
      <c r="B278" s="8" t="str">
        <f ca="1">IFERROR(__xludf.DUMMYFUNCTION("""COMPUTED_VALUE"""),"Waikato")</f>
        <v>Waikato</v>
      </c>
      <c r="C278" s="2">
        <f ca="1">IFERROR(__xludf.DUMMYFUNCTION("""COMPUTED_VALUE"""),21)</f>
        <v>21</v>
      </c>
      <c r="D278" s="9" t="str">
        <f ca="1">IFERROR(__xludf.DUMMYFUNCTION("""COMPUTED_VALUE"""),"")</f>
        <v/>
      </c>
      <c r="E278" s="4" t="str">
        <f ca="1">IFERROR(__xludf.DUMMYFUNCTION("""COMPUTED_VALUE"""),"")</f>
        <v/>
      </c>
      <c r="F278" s="2" t="str">
        <f ca="1">IFERROR(__xludf.DUMMYFUNCTION("""COMPUTED_VALUE"""),"")</f>
        <v/>
      </c>
      <c r="G278" s="2" t="str">
        <f ca="1">IFERROR(__xludf.DUMMYFUNCTION("""COMPUTED_VALUE"""),"GPS: I converted data downloaded from ARGOS using Pinpoint software")</f>
        <v>GPS: I converted data downloaded from ARGOS using Pinpoint software</v>
      </c>
      <c r="H278" s="2" t="str">
        <f ca="1">IFERROR(__xludf.DUMMYFUNCTION("""COMPUTED_VALUE"""),"3D")</f>
        <v>3D</v>
      </c>
      <c r="I278" s="2" t="str">
        <f ca="1">IFERROR(__xludf.DUMMYFUNCTION("""COMPUTED_VALUE"""),"")</f>
        <v/>
      </c>
      <c r="J278" s="2" t="str">
        <f ca="1">IFERROR(__xludf.DUMMYFUNCTION("""COMPUTED_VALUE"""),"")</f>
        <v/>
      </c>
      <c r="K278" s="2" t="str">
        <f ca="1">IFERROR(__xludf.DUMMYFUNCTION("""COMPUTED_VALUE"""),"")</f>
        <v/>
      </c>
      <c r="L278" s="2" t="str">
        <f ca="1">IFERROR(__xludf.DUMMYFUNCTION("""COMPUTED_VALUE"""),"")</f>
        <v/>
      </c>
      <c r="M278" s="5" t="str">
        <f ca="1">IFERROR(__xludf.DUMMYFUNCTION("""COMPUTED_VALUE"""),"")</f>
        <v/>
      </c>
      <c r="N278" s="5" t="str">
        <f ca="1">IFERROR(__xludf.DUMMYFUNCTION("""COMPUTED_VALUE"""),"")</f>
        <v/>
      </c>
      <c r="O278" s="2" t="str">
        <f ca="1">IFERROR(__xludf.DUMMYFUNCTION("""COMPUTED_VALUE"""),"")</f>
        <v/>
      </c>
      <c r="P278" s="2" t="str">
        <f ca="1">IFERROR(__xludf.DUMMYFUNCTION("""COMPUTED_VALUE"""),"")</f>
        <v/>
      </c>
      <c r="Q278" s="2" t="str">
        <f ca="1">IFERROR(__xludf.DUMMYFUNCTION("""COMPUTED_VALUE"""),"")</f>
        <v/>
      </c>
      <c r="R278" s="2" t="str">
        <f ca="1">IFERROR(__xludf.DUMMYFUNCTION("""COMPUTED_VALUE"""),"")</f>
        <v/>
      </c>
      <c r="S278" s="2" t="str">
        <f ca="1">IFERROR(__xludf.DUMMYFUNCTION("""COMPUTED_VALUE"""),"")</f>
        <v/>
      </c>
      <c r="T278" s="2" t="str">
        <f ca="1">IFERROR(__xludf.DUMMYFUNCTION("""COMPUTED_VALUE"""),"")</f>
        <v/>
      </c>
      <c r="U278" s="2" t="str">
        <f ca="1">IFERROR(__xludf.DUMMYFUNCTION("""COMPUTED_VALUE"""),"")</f>
        <v/>
      </c>
      <c r="V278" s="2" t="str">
        <f ca="1">IFERROR(__xludf.DUMMYFUNCTION("""COMPUTED_VALUE"""),"")</f>
        <v/>
      </c>
      <c r="W278" s="2" t="str">
        <f ca="1">IFERROR(__xludf.DUMMYFUNCTION("""COMPUTED_VALUE"""),"")</f>
        <v/>
      </c>
      <c r="X278" s="2" t="str">
        <f ca="1">IFERROR(__xludf.DUMMYFUNCTION("""COMPUTED_VALUE"""),"")</f>
        <v/>
      </c>
      <c r="Y278" s="2" t="str">
        <f ca="1">IFERROR(__xludf.DUMMYFUNCTION("""COMPUTED_VALUE"""),"")</f>
        <v/>
      </c>
      <c r="Z278" s="2" t="str">
        <f ca="1">IFERROR(__xludf.DUMMYFUNCTION("""COMPUTED_VALUE"""),"")</f>
        <v/>
      </c>
      <c r="AA278" s="2" t="str">
        <f ca="1">IFERROR(__xludf.DUMMYFUNCTION("""COMPUTED_VALUE"""),"")</f>
        <v/>
      </c>
      <c r="AB278" s="2" t="str">
        <f ca="1">IFERROR(__xludf.DUMMYFUNCTION("""COMPUTED_VALUE"""),"")</f>
        <v/>
      </c>
      <c r="AC278" s="2" t="str">
        <f ca="1">IFERROR(__xludf.DUMMYFUNCTION("""COMPUTED_VALUE"""),"")</f>
        <v/>
      </c>
      <c r="AD278" s="2" t="str">
        <f ca="1">IFERROR(__xludf.DUMMYFUNCTION("""COMPUTED_VALUE"""),"")</f>
        <v/>
      </c>
      <c r="AE278" s="2" t="str">
        <f ca="1">IFERROR(__xludf.DUMMYFUNCTION("""COMPUTED_VALUE"""),"")</f>
        <v/>
      </c>
      <c r="AF278" s="2" t="str">
        <f ca="1">IFERROR(__xludf.DUMMYFUNCTION("""COMPUTED_VALUE"""),"")</f>
        <v/>
      </c>
      <c r="AG278" s="2" t="str">
        <f ca="1">IFERROR(__xludf.DUMMYFUNCTION("""COMPUTED_VALUE"""),"")</f>
        <v/>
      </c>
      <c r="AH278" s="2" t="str">
        <f ca="1">IFERROR(__xludf.DUMMYFUNCTION("""COMPUTED_VALUE"""),"")</f>
        <v/>
      </c>
      <c r="AI278" s="2" t="str">
        <f ca="1">IFERROR(__xludf.DUMMYFUNCTION("""COMPUTED_VALUE"""),"")</f>
        <v/>
      </c>
      <c r="AJ278" s="2" t="str">
        <f ca="1">IFERROR(__xludf.DUMMYFUNCTION("""COMPUTED_VALUE"""),"")</f>
        <v/>
      </c>
      <c r="AK278" s="2" t="str">
        <f ca="1">IFERROR(__xludf.DUMMYFUNCTION("""COMPUTED_VALUE"""),"")</f>
        <v/>
      </c>
      <c r="AL278" s="2" t="str">
        <f ca="1">IFERROR(__xludf.DUMMYFUNCTION("""COMPUTED_VALUE"""),"")</f>
        <v/>
      </c>
      <c r="AM278" s="2" t="str">
        <f ca="1">IFERROR(__xludf.DUMMYFUNCTION("""COMPUTED_VALUE"""),"")</f>
        <v/>
      </c>
      <c r="AN278" s="2" t="str">
        <f ca="1">IFERROR(__xludf.DUMMYFUNCTION("""COMPUTED_VALUE"""),"")</f>
        <v/>
      </c>
      <c r="AO278" s="2" t="str">
        <f ca="1">IFERROR(__xludf.DUMMYFUNCTION("""COMPUTED_VALUE"""),"")</f>
        <v/>
      </c>
      <c r="AP278" s="2" t="str">
        <f ca="1">IFERROR(__xludf.DUMMYFUNCTION("""COMPUTED_VALUE"""),"")</f>
        <v/>
      </c>
      <c r="AQ278" s="2" t="str">
        <f ca="1">IFERROR(__xludf.DUMMYFUNCTION("""COMPUTED_VALUE"""),"")</f>
        <v/>
      </c>
      <c r="AR278" s="2" t="str">
        <f ca="1">IFERROR(__xludf.DUMMYFUNCTION("""COMPUTED_VALUE"""),"")</f>
        <v/>
      </c>
      <c r="AS278" s="2" t="str">
        <f ca="1">IFERROR(__xludf.DUMMYFUNCTION("""COMPUTED_VALUE"""),"")</f>
        <v/>
      </c>
      <c r="AT278" s="2" t="str">
        <f ca="1">IFERROR(__xludf.DUMMYFUNCTION("""COMPUTED_VALUE"""),"")</f>
        <v/>
      </c>
      <c r="AU278" s="2" t="str">
        <f ca="1">IFERROR(__xludf.DUMMYFUNCTION("""COMPUTED_VALUE"""),"")</f>
        <v/>
      </c>
      <c r="AV278" s="2" t="str">
        <f ca="1">IFERROR(__xludf.DUMMYFUNCTION("""COMPUTED_VALUE"""),"")</f>
        <v/>
      </c>
      <c r="AW278" s="2" t="str">
        <f ca="1">IFERROR(__xludf.DUMMYFUNCTION("""COMPUTED_VALUE"""),"")</f>
        <v/>
      </c>
      <c r="AX278" s="2" t="str">
        <f ca="1">IFERROR(__xludf.DUMMYFUNCTION("""COMPUTED_VALUE"""),"")</f>
        <v/>
      </c>
      <c r="AY278" s="2" t="str">
        <f ca="1">IFERROR(__xludf.DUMMYFUNCTION("""COMPUTED_VALUE"""),"")</f>
        <v/>
      </c>
      <c r="AZ278" s="2" t="str">
        <f ca="1">IFERROR(__xludf.DUMMYFUNCTION("""COMPUTED_VALUE"""),"")</f>
        <v/>
      </c>
      <c r="BA278" s="2" t="str">
        <f ca="1">IFERROR(__xludf.DUMMYFUNCTION("""COMPUTED_VALUE"""),"")</f>
        <v/>
      </c>
      <c r="BB278" s="2" t="str">
        <f ca="1">IFERROR(__xludf.DUMMYFUNCTION("""COMPUTED_VALUE"""),"")</f>
        <v/>
      </c>
      <c r="BC278" s="2" t="str">
        <f ca="1">IFERROR(__xludf.DUMMYFUNCTION("""COMPUTED_VALUE"""),"")</f>
        <v/>
      </c>
      <c r="BD278" s="2" t="str">
        <f ca="1">IFERROR(__xludf.DUMMYFUNCTION("""COMPUTED_VALUE"""),"")</f>
        <v/>
      </c>
      <c r="BE278" s="2" t="str">
        <f ca="1">IFERROR(__xludf.DUMMYFUNCTION("""COMPUTED_VALUE"""),"")</f>
        <v/>
      </c>
      <c r="BF278" t="str">
        <f ca="1">IFERROR(__xludf.DUMMYFUNCTION("""COMPUTED_VALUE"""),"")</f>
        <v/>
      </c>
      <c r="BG278" t="str">
        <f ca="1">IFERROR(__xludf.DUMMYFUNCTION("""COMPUTED_VALUE"""),"")</f>
        <v/>
      </c>
      <c r="BH278" s="2">
        <f ca="1">IFERROR(__xludf.DUMMYFUNCTION("""COMPUTED_VALUE"""),-36.5905533)</f>
        <v>-36.590553300000003</v>
      </c>
      <c r="BI278" s="13">
        <f ca="1">IFERROR(__xludf.DUMMYFUNCTION("""COMPUTED_VALUE"""),174.2819214)</f>
        <v>174.28192139999999</v>
      </c>
      <c r="BJ278" s="9">
        <f ca="1">IFERROR(__xludf.DUMMYFUNCTION("""COMPUTED_VALUE"""),43384)</f>
        <v>43384</v>
      </c>
      <c r="BK278" s="4">
        <f ca="1">IFERROR(__xludf.DUMMYFUNCTION("""COMPUTED_VALUE"""),0.457777777777664)</f>
        <v>0.45777777777766399</v>
      </c>
    </row>
    <row r="279" spans="1:63" ht="12.5" x14ac:dyDescent="0.25">
      <c r="A279" s="7" t="str">
        <f ca="1">IFERROR(__xludf.DUMMYFUNCTION("""COMPUTED_VALUE"""),"")</f>
        <v/>
      </c>
      <c r="B279" s="8" t="str">
        <f ca="1">IFERROR(__xludf.DUMMYFUNCTION("""COMPUTED_VALUE"""),"Waikato")</f>
        <v>Waikato</v>
      </c>
      <c r="C279" s="2">
        <f ca="1">IFERROR(__xludf.DUMMYFUNCTION("""COMPUTED_VALUE"""),21)</f>
        <v>21</v>
      </c>
      <c r="D279" s="9" t="str">
        <f ca="1">IFERROR(__xludf.DUMMYFUNCTION("""COMPUTED_VALUE"""),"")</f>
        <v/>
      </c>
      <c r="E279" s="4" t="str">
        <f ca="1">IFERROR(__xludf.DUMMYFUNCTION("""COMPUTED_VALUE"""),"")</f>
        <v/>
      </c>
      <c r="F279" s="2" t="str">
        <f ca="1">IFERROR(__xludf.DUMMYFUNCTION("""COMPUTED_VALUE"""),"")</f>
        <v/>
      </c>
      <c r="G279" s="2" t="str">
        <f ca="1">IFERROR(__xludf.DUMMYFUNCTION("""COMPUTED_VALUE"""),"GPS: I converted data downloaded from ARGOS using Pinpoint software")</f>
        <v>GPS: I converted data downloaded from ARGOS using Pinpoint software</v>
      </c>
      <c r="H279" s="2" t="str">
        <f ca="1">IFERROR(__xludf.DUMMYFUNCTION("""COMPUTED_VALUE"""),"2D")</f>
        <v>2D</v>
      </c>
      <c r="I279" s="2" t="str">
        <f ca="1">IFERROR(__xludf.DUMMYFUNCTION("""COMPUTED_VALUE"""),"")</f>
        <v/>
      </c>
      <c r="J279" s="2" t="str">
        <f ca="1">IFERROR(__xludf.DUMMYFUNCTION("""COMPUTED_VALUE"""),"")</f>
        <v/>
      </c>
      <c r="K279" s="2" t="str">
        <f ca="1">IFERROR(__xludf.DUMMYFUNCTION("""COMPUTED_VALUE"""),"")</f>
        <v/>
      </c>
      <c r="L279" s="2" t="str">
        <f ca="1">IFERROR(__xludf.DUMMYFUNCTION("""COMPUTED_VALUE"""),"")</f>
        <v/>
      </c>
      <c r="M279" s="5" t="str">
        <f ca="1">IFERROR(__xludf.DUMMYFUNCTION("""COMPUTED_VALUE"""),"")</f>
        <v/>
      </c>
      <c r="N279" s="5" t="str">
        <f ca="1">IFERROR(__xludf.DUMMYFUNCTION("""COMPUTED_VALUE"""),"")</f>
        <v/>
      </c>
      <c r="O279" s="2" t="str">
        <f ca="1">IFERROR(__xludf.DUMMYFUNCTION("""COMPUTED_VALUE"""),"")</f>
        <v/>
      </c>
      <c r="P279" s="2" t="str">
        <f ca="1">IFERROR(__xludf.DUMMYFUNCTION("""COMPUTED_VALUE"""),"")</f>
        <v/>
      </c>
      <c r="Q279" s="2" t="str">
        <f ca="1">IFERROR(__xludf.DUMMYFUNCTION("""COMPUTED_VALUE"""),"")</f>
        <v/>
      </c>
      <c r="R279" s="2" t="str">
        <f ca="1">IFERROR(__xludf.DUMMYFUNCTION("""COMPUTED_VALUE"""),"")</f>
        <v/>
      </c>
      <c r="S279" s="2" t="str">
        <f ca="1">IFERROR(__xludf.DUMMYFUNCTION("""COMPUTED_VALUE"""),"")</f>
        <v/>
      </c>
      <c r="T279" s="2" t="str">
        <f ca="1">IFERROR(__xludf.DUMMYFUNCTION("""COMPUTED_VALUE"""),"")</f>
        <v/>
      </c>
      <c r="U279" s="2" t="str">
        <f ca="1">IFERROR(__xludf.DUMMYFUNCTION("""COMPUTED_VALUE"""),"")</f>
        <v/>
      </c>
      <c r="V279" s="2" t="str">
        <f ca="1">IFERROR(__xludf.DUMMYFUNCTION("""COMPUTED_VALUE"""),"")</f>
        <v/>
      </c>
      <c r="W279" s="2" t="str">
        <f ca="1">IFERROR(__xludf.DUMMYFUNCTION("""COMPUTED_VALUE"""),"")</f>
        <v/>
      </c>
      <c r="X279" s="2" t="str">
        <f ca="1">IFERROR(__xludf.DUMMYFUNCTION("""COMPUTED_VALUE"""),"")</f>
        <v/>
      </c>
      <c r="Y279" s="2" t="str">
        <f ca="1">IFERROR(__xludf.DUMMYFUNCTION("""COMPUTED_VALUE"""),"")</f>
        <v/>
      </c>
      <c r="Z279" s="2" t="str">
        <f ca="1">IFERROR(__xludf.DUMMYFUNCTION("""COMPUTED_VALUE"""),"")</f>
        <v/>
      </c>
      <c r="AA279" s="2" t="str">
        <f ca="1">IFERROR(__xludf.DUMMYFUNCTION("""COMPUTED_VALUE"""),"")</f>
        <v/>
      </c>
      <c r="AB279" s="2" t="str">
        <f ca="1">IFERROR(__xludf.DUMMYFUNCTION("""COMPUTED_VALUE"""),"")</f>
        <v/>
      </c>
      <c r="AC279" s="2" t="str">
        <f ca="1">IFERROR(__xludf.DUMMYFUNCTION("""COMPUTED_VALUE"""),"")</f>
        <v/>
      </c>
      <c r="AD279" s="2" t="str">
        <f ca="1">IFERROR(__xludf.DUMMYFUNCTION("""COMPUTED_VALUE"""),"")</f>
        <v/>
      </c>
      <c r="AE279" s="2" t="str">
        <f ca="1">IFERROR(__xludf.DUMMYFUNCTION("""COMPUTED_VALUE"""),"")</f>
        <v/>
      </c>
      <c r="AF279" s="2" t="str">
        <f ca="1">IFERROR(__xludf.DUMMYFUNCTION("""COMPUTED_VALUE"""),"")</f>
        <v/>
      </c>
      <c r="AG279" s="2" t="str">
        <f ca="1">IFERROR(__xludf.DUMMYFUNCTION("""COMPUTED_VALUE"""),"")</f>
        <v/>
      </c>
      <c r="AH279" s="2" t="str">
        <f ca="1">IFERROR(__xludf.DUMMYFUNCTION("""COMPUTED_VALUE"""),"")</f>
        <v/>
      </c>
      <c r="AI279" s="2" t="str">
        <f ca="1">IFERROR(__xludf.DUMMYFUNCTION("""COMPUTED_VALUE"""),"")</f>
        <v/>
      </c>
      <c r="AJ279" s="2" t="str">
        <f ca="1">IFERROR(__xludf.DUMMYFUNCTION("""COMPUTED_VALUE"""),"")</f>
        <v/>
      </c>
      <c r="AK279" s="2" t="str">
        <f ca="1">IFERROR(__xludf.DUMMYFUNCTION("""COMPUTED_VALUE"""),"")</f>
        <v/>
      </c>
      <c r="AL279" s="2" t="str">
        <f ca="1">IFERROR(__xludf.DUMMYFUNCTION("""COMPUTED_VALUE"""),"")</f>
        <v/>
      </c>
      <c r="AM279" s="2" t="str">
        <f ca="1">IFERROR(__xludf.DUMMYFUNCTION("""COMPUTED_VALUE"""),"")</f>
        <v/>
      </c>
      <c r="AN279" s="2" t="str">
        <f ca="1">IFERROR(__xludf.DUMMYFUNCTION("""COMPUTED_VALUE"""),"")</f>
        <v/>
      </c>
      <c r="AO279" s="2" t="str">
        <f ca="1">IFERROR(__xludf.DUMMYFUNCTION("""COMPUTED_VALUE"""),"")</f>
        <v/>
      </c>
      <c r="AP279" s="2" t="str">
        <f ca="1">IFERROR(__xludf.DUMMYFUNCTION("""COMPUTED_VALUE"""),"")</f>
        <v/>
      </c>
      <c r="AQ279" s="2" t="str">
        <f ca="1">IFERROR(__xludf.DUMMYFUNCTION("""COMPUTED_VALUE"""),"")</f>
        <v/>
      </c>
      <c r="AR279" s="2" t="str">
        <f ca="1">IFERROR(__xludf.DUMMYFUNCTION("""COMPUTED_VALUE"""),"")</f>
        <v/>
      </c>
      <c r="AS279" s="2" t="str">
        <f ca="1">IFERROR(__xludf.DUMMYFUNCTION("""COMPUTED_VALUE"""),"")</f>
        <v/>
      </c>
      <c r="AT279" s="2" t="str">
        <f ca="1">IFERROR(__xludf.DUMMYFUNCTION("""COMPUTED_VALUE"""),"")</f>
        <v/>
      </c>
      <c r="AU279" s="2" t="str">
        <f ca="1">IFERROR(__xludf.DUMMYFUNCTION("""COMPUTED_VALUE"""),"")</f>
        <v/>
      </c>
      <c r="AV279" s="2" t="str">
        <f ca="1">IFERROR(__xludf.DUMMYFUNCTION("""COMPUTED_VALUE"""),"")</f>
        <v/>
      </c>
      <c r="AW279" s="2" t="str">
        <f ca="1">IFERROR(__xludf.DUMMYFUNCTION("""COMPUTED_VALUE"""),"")</f>
        <v/>
      </c>
      <c r="AX279" s="2" t="str">
        <f ca="1">IFERROR(__xludf.DUMMYFUNCTION("""COMPUTED_VALUE"""),"")</f>
        <v/>
      </c>
      <c r="AY279" s="2" t="str">
        <f ca="1">IFERROR(__xludf.DUMMYFUNCTION("""COMPUTED_VALUE"""),"")</f>
        <v/>
      </c>
      <c r="AZ279" s="2" t="str">
        <f ca="1">IFERROR(__xludf.DUMMYFUNCTION("""COMPUTED_VALUE"""),"")</f>
        <v/>
      </c>
      <c r="BA279" s="2" t="str">
        <f ca="1">IFERROR(__xludf.DUMMYFUNCTION("""COMPUTED_VALUE"""),"")</f>
        <v/>
      </c>
      <c r="BB279" s="2" t="str">
        <f ca="1">IFERROR(__xludf.DUMMYFUNCTION("""COMPUTED_VALUE"""),"")</f>
        <v/>
      </c>
      <c r="BC279" s="2" t="str">
        <f ca="1">IFERROR(__xludf.DUMMYFUNCTION("""COMPUTED_VALUE"""),"")</f>
        <v/>
      </c>
      <c r="BD279" s="2" t="str">
        <f ca="1">IFERROR(__xludf.DUMMYFUNCTION("""COMPUTED_VALUE"""),"")</f>
        <v/>
      </c>
      <c r="BE279" s="2" t="str">
        <f ca="1">IFERROR(__xludf.DUMMYFUNCTION("""COMPUTED_VALUE"""),"")</f>
        <v/>
      </c>
      <c r="BF279" t="str">
        <f ca="1">IFERROR(__xludf.DUMMYFUNCTION("""COMPUTED_VALUE"""),"")</f>
        <v/>
      </c>
      <c r="BG279" t="str">
        <f ca="1">IFERROR(__xludf.DUMMYFUNCTION("""COMPUTED_VALUE"""),"")</f>
        <v/>
      </c>
      <c r="BH279" s="2">
        <f ca="1">IFERROR(__xludf.DUMMYFUNCTION("""COMPUTED_VALUE"""),-36.5772667)</f>
        <v>-36.577266700000003</v>
      </c>
      <c r="BI279" s="12">
        <f ca="1">IFERROR(__xludf.DUMMYFUNCTION("""COMPUTED_VALUE"""),174.2902069)</f>
        <v>174.29020689999999</v>
      </c>
      <c r="BJ279" s="9">
        <f ca="1">IFERROR(__xludf.DUMMYFUNCTION("""COMPUTED_VALUE"""),43384)</f>
        <v>43384</v>
      </c>
      <c r="BK279" s="4">
        <f ca="1">IFERROR(__xludf.DUMMYFUNCTION("""COMPUTED_VALUE"""),0.958518518516939)</f>
        <v>0.95851851851693903</v>
      </c>
    </row>
    <row r="280" spans="1:63" ht="12.5" x14ac:dyDescent="0.25">
      <c r="A280" s="7" t="str">
        <f ca="1">IFERROR(__xludf.DUMMYFUNCTION("""COMPUTED_VALUE"""),"")</f>
        <v/>
      </c>
      <c r="B280" s="8" t="str">
        <f ca="1">IFERROR(__xludf.DUMMYFUNCTION("""COMPUTED_VALUE"""),"Waikato")</f>
        <v>Waikato</v>
      </c>
      <c r="C280" s="2">
        <f ca="1">IFERROR(__xludf.DUMMYFUNCTION("""COMPUTED_VALUE"""),21)</f>
        <v>21</v>
      </c>
      <c r="D280" s="9" t="str">
        <f ca="1">IFERROR(__xludf.DUMMYFUNCTION("""COMPUTED_VALUE"""),"")</f>
        <v/>
      </c>
      <c r="E280" s="4" t="str">
        <f ca="1">IFERROR(__xludf.DUMMYFUNCTION("""COMPUTED_VALUE"""),"")</f>
        <v/>
      </c>
      <c r="F280" s="2" t="str">
        <f ca="1">IFERROR(__xludf.DUMMYFUNCTION("""COMPUTED_VALUE"""),"")</f>
        <v/>
      </c>
      <c r="G280" s="2" t="str">
        <f ca="1">IFERROR(__xludf.DUMMYFUNCTION("""COMPUTED_VALUE"""),"GPS: I converted data downloaded from ARGOS using Pinpoint software")</f>
        <v>GPS: I converted data downloaded from ARGOS using Pinpoint software</v>
      </c>
      <c r="H280" s="2" t="str">
        <f ca="1">IFERROR(__xludf.DUMMYFUNCTION("""COMPUTED_VALUE"""),"3D")</f>
        <v>3D</v>
      </c>
      <c r="I280" s="2" t="str">
        <f ca="1">IFERROR(__xludf.DUMMYFUNCTION("""COMPUTED_VALUE"""),"")</f>
        <v/>
      </c>
      <c r="J280" s="2" t="str">
        <f ca="1">IFERROR(__xludf.DUMMYFUNCTION("""COMPUTED_VALUE"""),"")</f>
        <v/>
      </c>
      <c r="K280" s="2" t="str">
        <f ca="1">IFERROR(__xludf.DUMMYFUNCTION("""COMPUTED_VALUE"""),"")</f>
        <v/>
      </c>
      <c r="L280" s="2" t="str">
        <f ca="1">IFERROR(__xludf.DUMMYFUNCTION("""COMPUTED_VALUE"""),"")</f>
        <v/>
      </c>
      <c r="M280" s="5" t="str">
        <f ca="1">IFERROR(__xludf.DUMMYFUNCTION("""COMPUTED_VALUE"""),"")</f>
        <v/>
      </c>
      <c r="N280" s="5" t="str">
        <f ca="1">IFERROR(__xludf.DUMMYFUNCTION("""COMPUTED_VALUE"""),"")</f>
        <v/>
      </c>
      <c r="O280" s="2" t="str">
        <f ca="1">IFERROR(__xludf.DUMMYFUNCTION("""COMPUTED_VALUE"""),"")</f>
        <v/>
      </c>
      <c r="P280" s="2" t="str">
        <f ca="1">IFERROR(__xludf.DUMMYFUNCTION("""COMPUTED_VALUE"""),"")</f>
        <v/>
      </c>
      <c r="Q280" s="2" t="str">
        <f ca="1">IFERROR(__xludf.DUMMYFUNCTION("""COMPUTED_VALUE"""),"")</f>
        <v/>
      </c>
      <c r="R280" s="2" t="str">
        <f ca="1">IFERROR(__xludf.DUMMYFUNCTION("""COMPUTED_VALUE"""),"")</f>
        <v/>
      </c>
      <c r="S280" s="2" t="str">
        <f ca="1">IFERROR(__xludf.DUMMYFUNCTION("""COMPUTED_VALUE"""),"")</f>
        <v/>
      </c>
      <c r="T280" s="2" t="str">
        <f ca="1">IFERROR(__xludf.DUMMYFUNCTION("""COMPUTED_VALUE"""),"")</f>
        <v/>
      </c>
      <c r="U280" s="2" t="str">
        <f ca="1">IFERROR(__xludf.DUMMYFUNCTION("""COMPUTED_VALUE"""),"")</f>
        <v/>
      </c>
      <c r="V280" s="2" t="str">
        <f ca="1">IFERROR(__xludf.DUMMYFUNCTION("""COMPUTED_VALUE"""),"")</f>
        <v/>
      </c>
      <c r="W280" s="2" t="str">
        <f ca="1">IFERROR(__xludf.DUMMYFUNCTION("""COMPUTED_VALUE"""),"")</f>
        <v/>
      </c>
      <c r="X280" s="2" t="str">
        <f ca="1">IFERROR(__xludf.DUMMYFUNCTION("""COMPUTED_VALUE"""),"")</f>
        <v/>
      </c>
      <c r="Y280" s="2" t="str">
        <f ca="1">IFERROR(__xludf.DUMMYFUNCTION("""COMPUTED_VALUE"""),"")</f>
        <v/>
      </c>
      <c r="Z280" s="2" t="str">
        <f ca="1">IFERROR(__xludf.DUMMYFUNCTION("""COMPUTED_VALUE"""),"")</f>
        <v/>
      </c>
      <c r="AA280" s="2" t="str">
        <f ca="1">IFERROR(__xludf.DUMMYFUNCTION("""COMPUTED_VALUE"""),"")</f>
        <v/>
      </c>
      <c r="AB280" s="2" t="str">
        <f ca="1">IFERROR(__xludf.DUMMYFUNCTION("""COMPUTED_VALUE"""),"")</f>
        <v/>
      </c>
      <c r="AC280" s="2" t="str">
        <f ca="1">IFERROR(__xludf.DUMMYFUNCTION("""COMPUTED_VALUE"""),"")</f>
        <v/>
      </c>
      <c r="AD280" s="2" t="str">
        <f ca="1">IFERROR(__xludf.DUMMYFUNCTION("""COMPUTED_VALUE"""),"")</f>
        <v/>
      </c>
      <c r="AE280" s="2" t="str">
        <f ca="1">IFERROR(__xludf.DUMMYFUNCTION("""COMPUTED_VALUE"""),"")</f>
        <v/>
      </c>
      <c r="AF280" s="2" t="str">
        <f ca="1">IFERROR(__xludf.DUMMYFUNCTION("""COMPUTED_VALUE"""),"")</f>
        <v/>
      </c>
      <c r="AG280" s="2" t="str">
        <f ca="1">IFERROR(__xludf.DUMMYFUNCTION("""COMPUTED_VALUE"""),"")</f>
        <v/>
      </c>
      <c r="AH280" s="2" t="str">
        <f ca="1">IFERROR(__xludf.DUMMYFUNCTION("""COMPUTED_VALUE"""),"")</f>
        <v/>
      </c>
      <c r="AI280" s="2" t="str">
        <f ca="1">IFERROR(__xludf.DUMMYFUNCTION("""COMPUTED_VALUE"""),"")</f>
        <v/>
      </c>
      <c r="AJ280" s="2" t="str">
        <f ca="1">IFERROR(__xludf.DUMMYFUNCTION("""COMPUTED_VALUE"""),"")</f>
        <v/>
      </c>
      <c r="AK280" s="2" t="str">
        <f ca="1">IFERROR(__xludf.DUMMYFUNCTION("""COMPUTED_VALUE"""),"")</f>
        <v/>
      </c>
      <c r="AL280" s="2" t="str">
        <f ca="1">IFERROR(__xludf.DUMMYFUNCTION("""COMPUTED_VALUE"""),"")</f>
        <v/>
      </c>
      <c r="AM280" s="2" t="str">
        <f ca="1">IFERROR(__xludf.DUMMYFUNCTION("""COMPUTED_VALUE"""),"")</f>
        <v/>
      </c>
      <c r="AN280" s="2" t="str">
        <f ca="1">IFERROR(__xludf.DUMMYFUNCTION("""COMPUTED_VALUE"""),"")</f>
        <v/>
      </c>
      <c r="AO280" s="2" t="str">
        <f ca="1">IFERROR(__xludf.DUMMYFUNCTION("""COMPUTED_VALUE"""),"")</f>
        <v/>
      </c>
      <c r="AP280" s="2" t="str">
        <f ca="1">IFERROR(__xludf.DUMMYFUNCTION("""COMPUTED_VALUE"""),"")</f>
        <v/>
      </c>
      <c r="AQ280" s="2" t="str">
        <f ca="1">IFERROR(__xludf.DUMMYFUNCTION("""COMPUTED_VALUE"""),"")</f>
        <v/>
      </c>
      <c r="AR280" s="2" t="str">
        <f ca="1">IFERROR(__xludf.DUMMYFUNCTION("""COMPUTED_VALUE"""),"")</f>
        <v/>
      </c>
      <c r="AS280" s="2" t="str">
        <f ca="1">IFERROR(__xludf.DUMMYFUNCTION("""COMPUTED_VALUE"""),"")</f>
        <v/>
      </c>
      <c r="AT280" s="2" t="str">
        <f ca="1">IFERROR(__xludf.DUMMYFUNCTION("""COMPUTED_VALUE"""),"")</f>
        <v/>
      </c>
      <c r="AU280" s="2" t="str">
        <f ca="1">IFERROR(__xludf.DUMMYFUNCTION("""COMPUTED_VALUE"""),"")</f>
        <v/>
      </c>
      <c r="AV280" s="2" t="str">
        <f ca="1">IFERROR(__xludf.DUMMYFUNCTION("""COMPUTED_VALUE"""),"")</f>
        <v/>
      </c>
      <c r="AW280" s="2" t="str">
        <f ca="1">IFERROR(__xludf.DUMMYFUNCTION("""COMPUTED_VALUE"""),"")</f>
        <v/>
      </c>
      <c r="AX280" s="2" t="str">
        <f ca="1">IFERROR(__xludf.DUMMYFUNCTION("""COMPUTED_VALUE"""),"")</f>
        <v/>
      </c>
      <c r="AY280" s="2" t="str">
        <f ca="1">IFERROR(__xludf.DUMMYFUNCTION("""COMPUTED_VALUE"""),"")</f>
        <v/>
      </c>
      <c r="AZ280" s="2" t="str">
        <f ca="1">IFERROR(__xludf.DUMMYFUNCTION("""COMPUTED_VALUE"""),"")</f>
        <v/>
      </c>
      <c r="BA280" s="2" t="str">
        <f ca="1">IFERROR(__xludf.DUMMYFUNCTION("""COMPUTED_VALUE"""),"")</f>
        <v/>
      </c>
      <c r="BB280" s="2" t="str">
        <f ca="1">IFERROR(__xludf.DUMMYFUNCTION("""COMPUTED_VALUE"""),"")</f>
        <v/>
      </c>
      <c r="BC280" s="2" t="str">
        <f ca="1">IFERROR(__xludf.DUMMYFUNCTION("""COMPUTED_VALUE"""),"")</f>
        <v/>
      </c>
      <c r="BD280" s="2" t="str">
        <f ca="1">IFERROR(__xludf.DUMMYFUNCTION("""COMPUTED_VALUE"""),"")</f>
        <v/>
      </c>
      <c r="BE280" s="2" t="str">
        <f ca="1">IFERROR(__xludf.DUMMYFUNCTION("""COMPUTED_VALUE"""),"")</f>
        <v/>
      </c>
      <c r="BF280" t="str">
        <f ca="1">IFERROR(__xludf.DUMMYFUNCTION("""COMPUTED_VALUE"""),"")</f>
        <v/>
      </c>
      <c r="BG280" t="str">
        <f ca="1">IFERROR(__xludf.DUMMYFUNCTION("""COMPUTED_VALUE"""),"")</f>
        <v/>
      </c>
      <c r="BH280" s="2">
        <f ca="1">IFERROR(__xludf.DUMMYFUNCTION("""COMPUTED_VALUE"""),-36.5993843)</f>
        <v>-36.599384299999997</v>
      </c>
      <c r="BI280" s="13">
        <f ca="1">IFERROR(__xludf.DUMMYFUNCTION("""COMPUTED_VALUE"""),174.2870941)</f>
        <v>174.28709409999999</v>
      </c>
      <c r="BJ280" s="9">
        <f ca="1">IFERROR(__xludf.DUMMYFUNCTION("""COMPUTED_VALUE"""),43385)</f>
        <v>43385</v>
      </c>
      <c r="BK280" s="4">
        <f ca="1">IFERROR(__xludf.DUMMYFUNCTION("""COMPUTED_VALUE"""),0.874074074072268)</f>
        <v>0.874074074072268</v>
      </c>
    </row>
    <row r="281" spans="1:63" ht="12.5" x14ac:dyDescent="0.25">
      <c r="A281" s="7" t="str">
        <f ca="1">IFERROR(__xludf.DUMMYFUNCTION("""COMPUTED_VALUE"""),"")</f>
        <v/>
      </c>
      <c r="B281" s="8" t="str">
        <f ca="1">IFERROR(__xludf.DUMMYFUNCTION("""COMPUTED_VALUE"""),"Waikato")</f>
        <v>Waikato</v>
      </c>
      <c r="C281" s="2">
        <f ca="1">IFERROR(__xludf.DUMMYFUNCTION("""COMPUTED_VALUE"""),21)</f>
        <v>21</v>
      </c>
      <c r="D281" s="9" t="str">
        <f ca="1">IFERROR(__xludf.DUMMYFUNCTION("""COMPUTED_VALUE"""),"")</f>
        <v/>
      </c>
      <c r="E281" s="4" t="str">
        <f ca="1">IFERROR(__xludf.DUMMYFUNCTION("""COMPUTED_VALUE"""),"")</f>
        <v/>
      </c>
      <c r="F281" s="2" t="str">
        <f ca="1">IFERROR(__xludf.DUMMYFUNCTION("""COMPUTED_VALUE"""),"")</f>
        <v/>
      </c>
      <c r="G281" s="2" t="str">
        <f ca="1">IFERROR(__xludf.DUMMYFUNCTION("""COMPUTED_VALUE"""),"GPS: I converted data downloaded from ARGOS using Pinpoint software")</f>
        <v>GPS: I converted data downloaded from ARGOS using Pinpoint software</v>
      </c>
      <c r="H281" s="2" t="str">
        <f ca="1">IFERROR(__xludf.DUMMYFUNCTION("""COMPUTED_VALUE"""),"3D")</f>
        <v>3D</v>
      </c>
      <c r="I281" s="2" t="str">
        <f ca="1">IFERROR(__xludf.DUMMYFUNCTION("""COMPUTED_VALUE"""),"")</f>
        <v/>
      </c>
      <c r="J281" s="2" t="str">
        <f ca="1">IFERROR(__xludf.DUMMYFUNCTION("""COMPUTED_VALUE"""),"")</f>
        <v/>
      </c>
      <c r="K281" s="2" t="str">
        <f ca="1">IFERROR(__xludf.DUMMYFUNCTION("""COMPUTED_VALUE"""),"")</f>
        <v/>
      </c>
      <c r="L281" s="2" t="str">
        <f ca="1">IFERROR(__xludf.DUMMYFUNCTION("""COMPUTED_VALUE"""),"")</f>
        <v/>
      </c>
      <c r="M281" s="5" t="str">
        <f ca="1">IFERROR(__xludf.DUMMYFUNCTION("""COMPUTED_VALUE"""),"")</f>
        <v/>
      </c>
      <c r="N281" s="5" t="str">
        <f ca="1">IFERROR(__xludf.DUMMYFUNCTION("""COMPUTED_VALUE"""),"")</f>
        <v/>
      </c>
      <c r="O281" s="2" t="str">
        <f ca="1">IFERROR(__xludf.DUMMYFUNCTION("""COMPUTED_VALUE"""),"")</f>
        <v/>
      </c>
      <c r="P281" s="2" t="str">
        <f ca="1">IFERROR(__xludf.DUMMYFUNCTION("""COMPUTED_VALUE"""),"")</f>
        <v/>
      </c>
      <c r="Q281" s="2" t="str">
        <f ca="1">IFERROR(__xludf.DUMMYFUNCTION("""COMPUTED_VALUE"""),"")</f>
        <v/>
      </c>
      <c r="R281" s="2" t="str">
        <f ca="1">IFERROR(__xludf.DUMMYFUNCTION("""COMPUTED_VALUE"""),"")</f>
        <v/>
      </c>
      <c r="S281" s="2" t="str">
        <f ca="1">IFERROR(__xludf.DUMMYFUNCTION("""COMPUTED_VALUE"""),"")</f>
        <v/>
      </c>
      <c r="T281" s="2" t="str">
        <f ca="1">IFERROR(__xludf.DUMMYFUNCTION("""COMPUTED_VALUE"""),"")</f>
        <v/>
      </c>
      <c r="U281" s="2" t="str">
        <f ca="1">IFERROR(__xludf.DUMMYFUNCTION("""COMPUTED_VALUE"""),"")</f>
        <v/>
      </c>
      <c r="V281" s="2" t="str">
        <f ca="1">IFERROR(__xludf.DUMMYFUNCTION("""COMPUTED_VALUE"""),"")</f>
        <v/>
      </c>
      <c r="W281" s="2" t="str">
        <f ca="1">IFERROR(__xludf.DUMMYFUNCTION("""COMPUTED_VALUE"""),"")</f>
        <v/>
      </c>
      <c r="X281" s="2" t="str">
        <f ca="1">IFERROR(__xludf.DUMMYFUNCTION("""COMPUTED_VALUE"""),"")</f>
        <v/>
      </c>
      <c r="Y281" s="2" t="str">
        <f ca="1">IFERROR(__xludf.DUMMYFUNCTION("""COMPUTED_VALUE"""),"")</f>
        <v/>
      </c>
      <c r="Z281" s="2" t="str">
        <f ca="1">IFERROR(__xludf.DUMMYFUNCTION("""COMPUTED_VALUE"""),"")</f>
        <v/>
      </c>
      <c r="AA281" s="2" t="str">
        <f ca="1">IFERROR(__xludf.DUMMYFUNCTION("""COMPUTED_VALUE"""),"")</f>
        <v/>
      </c>
      <c r="AB281" s="2" t="str">
        <f ca="1">IFERROR(__xludf.DUMMYFUNCTION("""COMPUTED_VALUE"""),"")</f>
        <v/>
      </c>
      <c r="AC281" s="2" t="str">
        <f ca="1">IFERROR(__xludf.DUMMYFUNCTION("""COMPUTED_VALUE"""),"")</f>
        <v/>
      </c>
      <c r="AD281" s="2" t="str">
        <f ca="1">IFERROR(__xludf.DUMMYFUNCTION("""COMPUTED_VALUE"""),"")</f>
        <v/>
      </c>
      <c r="AE281" s="2" t="str">
        <f ca="1">IFERROR(__xludf.DUMMYFUNCTION("""COMPUTED_VALUE"""),"")</f>
        <v/>
      </c>
      <c r="AF281" s="2" t="str">
        <f ca="1">IFERROR(__xludf.DUMMYFUNCTION("""COMPUTED_VALUE"""),"")</f>
        <v/>
      </c>
      <c r="AG281" s="2" t="str">
        <f ca="1">IFERROR(__xludf.DUMMYFUNCTION("""COMPUTED_VALUE"""),"")</f>
        <v/>
      </c>
      <c r="AH281" s="2" t="str">
        <f ca="1">IFERROR(__xludf.DUMMYFUNCTION("""COMPUTED_VALUE"""),"")</f>
        <v/>
      </c>
      <c r="AI281" s="2" t="str">
        <f ca="1">IFERROR(__xludf.DUMMYFUNCTION("""COMPUTED_VALUE"""),"")</f>
        <v/>
      </c>
      <c r="AJ281" s="2" t="str">
        <f ca="1">IFERROR(__xludf.DUMMYFUNCTION("""COMPUTED_VALUE"""),"")</f>
        <v/>
      </c>
      <c r="AK281" s="2" t="str">
        <f ca="1">IFERROR(__xludf.DUMMYFUNCTION("""COMPUTED_VALUE"""),"")</f>
        <v/>
      </c>
      <c r="AL281" s="2" t="str">
        <f ca="1">IFERROR(__xludf.DUMMYFUNCTION("""COMPUTED_VALUE"""),"")</f>
        <v/>
      </c>
      <c r="AM281" s="2" t="str">
        <f ca="1">IFERROR(__xludf.DUMMYFUNCTION("""COMPUTED_VALUE"""),"")</f>
        <v/>
      </c>
      <c r="AN281" s="2" t="str">
        <f ca="1">IFERROR(__xludf.DUMMYFUNCTION("""COMPUTED_VALUE"""),"")</f>
        <v/>
      </c>
      <c r="AO281" s="2" t="str">
        <f ca="1">IFERROR(__xludf.DUMMYFUNCTION("""COMPUTED_VALUE"""),"")</f>
        <v/>
      </c>
      <c r="AP281" s="2" t="str">
        <f ca="1">IFERROR(__xludf.DUMMYFUNCTION("""COMPUTED_VALUE"""),"")</f>
        <v/>
      </c>
      <c r="AQ281" s="2" t="str">
        <f ca="1">IFERROR(__xludf.DUMMYFUNCTION("""COMPUTED_VALUE"""),"")</f>
        <v/>
      </c>
      <c r="AR281" s="2" t="str">
        <f ca="1">IFERROR(__xludf.DUMMYFUNCTION("""COMPUTED_VALUE"""),"")</f>
        <v/>
      </c>
      <c r="AS281" s="2" t="str">
        <f ca="1">IFERROR(__xludf.DUMMYFUNCTION("""COMPUTED_VALUE"""),"")</f>
        <v/>
      </c>
      <c r="AT281" s="2" t="str">
        <f ca="1">IFERROR(__xludf.DUMMYFUNCTION("""COMPUTED_VALUE"""),"")</f>
        <v/>
      </c>
      <c r="AU281" s="2" t="str">
        <f ca="1">IFERROR(__xludf.DUMMYFUNCTION("""COMPUTED_VALUE"""),"")</f>
        <v/>
      </c>
      <c r="AV281" s="2" t="str">
        <f ca="1">IFERROR(__xludf.DUMMYFUNCTION("""COMPUTED_VALUE"""),"")</f>
        <v/>
      </c>
      <c r="AW281" s="2" t="str">
        <f ca="1">IFERROR(__xludf.DUMMYFUNCTION("""COMPUTED_VALUE"""),"")</f>
        <v/>
      </c>
      <c r="AX281" s="2" t="str">
        <f ca="1">IFERROR(__xludf.DUMMYFUNCTION("""COMPUTED_VALUE"""),"")</f>
        <v/>
      </c>
      <c r="AY281" s="2" t="str">
        <f ca="1">IFERROR(__xludf.DUMMYFUNCTION("""COMPUTED_VALUE"""),"")</f>
        <v/>
      </c>
      <c r="AZ281" s="2" t="str">
        <f ca="1">IFERROR(__xludf.DUMMYFUNCTION("""COMPUTED_VALUE"""),"")</f>
        <v/>
      </c>
      <c r="BA281" s="2" t="str">
        <f ca="1">IFERROR(__xludf.DUMMYFUNCTION("""COMPUTED_VALUE"""),"")</f>
        <v/>
      </c>
      <c r="BB281" s="2" t="str">
        <f ca="1">IFERROR(__xludf.DUMMYFUNCTION("""COMPUTED_VALUE"""),"")</f>
        <v/>
      </c>
      <c r="BC281" s="2" t="str">
        <f ca="1">IFERROR(__xludf.DUMMYFUNCTION("""COMPUTED_VALUE"""),"")</f>
        <v/>
      </c>
      <c r="BD281" s="2" t="str">
        <f ca="1">IFERROR(__xludf.DUMMYFUNCTION("""COMPUTED_VALUE"""),"")</f>
        <v/>
      </c>
      <c r="BE281" s="2" t="str">
        <f ca="1">IFERROR(__xludf.DUMMYFUNCTION("""COMPUTED_VALUE"""),"")</f>
        <v/>
      </c>
      <c r="BF281" t="str">
        <f ca="1">IFERROR(__xludf.DUMMYFUNCTION("""COMPUTED_VALUE"""),"")</f>
        <v/>
      </c>
      <c r="BG281" t="str">
        <f ca="1">IFERROR(__xludf.DUMMYFUNCTION("""COMPUTED_VALUE"""),"")</f>
        <v/>
      </c>
      <c r="BH281" s="2">
        <f ca="1">IFERROR(__xludf.DUMMYFUNCTION("""COMPUTED_VALUE"""),-36.5964661)</f>
        <v>-36.596466100000001</v>
      </c>
      <c r="BI281" s="12">
        <f ca="1">IFERROR(__xludf.DUMMYFUNCTION("""COMPUTED_VALUE"""),174.2836914)</f>
        <v>174.28369140000001</v>
      </c>
      <c r="BJ281" s="9">
        <f ca="1">IFERROR(__xludf.DUMMYFUNCTION("""COMPUTED_VALUE"""),43386)</f>
        <v>43386</v>
      </c>
      <c r="BK281" s="4">
        <f ca="1">IFERROR(__xludf.DUMMYFUNCTION("""COMPUTED_VALUE"""),0.457777777777664)</f>
        <v>0.45777777777766399</v>
      </c>
    </row>
    <row r="282" spans="1:63" ht="12.5" x14ac:dyDescent="0.25">
      <c r="A282" s="7" t="str">
        <f ca="1">IFERROR(__xludf.DUMMYFUNCTION("""COMPUTED_VALUE"""),"")</f>
        <v/>
      </c>
      <c r="B282" s="8" t="str">
        <f ca="1">IFERROR(__xludf.DUMMYFUNCTION("""COMPUTED_VALUE"""),"Waikato")</f>
        <v>Waikato</v>
      </c>
      <c r="C282" s="2">
        <f ca="1">IFERROR(__xludf.DUMMYFUNCTION("""COMPUTED_VALUE"""),21)</f>
        <v>21</v>
      </c>
      <c r="D282" s="9" t="str">
        <f ca="1">IFERROR(__xludf.DUMMYFUNCTION("""COMPUTED_VALUE"""),"")</f>
        <v/>
      </c>
      <c r="E282" s="4" t="str">
        <f ca="1">IFERROR(__xludf.DUMMYFUNCTION("""COMPUTED_VALUE"""),"")</f>
        <v/>
      </c>
      <c r="F282" s="2" t="str">
        <f ca="1">IFERROR(__xludf.DUMMYFUNCTION("""COMPUTED_VALUE"""),"")</f>
        <v/>
      </c>
      <c r="G282" s="2" t="str">
        <f ca="1">IFERROR(__xludf.DUMMYFUNCTION("""COMPUTED_VALUE"""),"GPS: I converted data downloaded from ARGOS using Pinpoint software")</f>
        <v>GPS: I converted data downloaded from ARGOS using Pinpoint software</v>
      </c>
      <c r="H282" s="2" t="str">
        <f ca="1">IFERROR(__xludf.DUMMYFUNCTION("""COMPUTED_VALUE"""),"3D")</f>
        <v>3D</v>
      </c>
      <c r="I282" s="2" t="str">
        <f ca="1">IFERROR(__xludf.DUMMYFUNCTION("""COMPUTED_VALUE"""),"")</f>
        <v/>
      </c>
      <c r="J282" s="2" t="str">
        <f ca="1">IFERROR(__xludf.DUMMYFUNCTION("""COMPUTED_VALUE"""),"")</f>
        <v/>
      </c>
      <c r="K282" s="2" t="str">
        <f ca="1">IFERROR(__xludf.DUMMYFUNCTION("""COMPUTED_VALUE"""),"")</f>
        <v/>
      </c>
      <c r="L282" s="2" t="str">
        <f ca="1">IFERROR(__xludf.DUMMYFUNCTION("""COMPUTED_VALUE"""),"")</f>
        <v/>
      </c>
      <c r="M282" s="5" t="str">
        <f ca="1">IFERROR(__xludf.DUMMYFUNCTION("""COMPUTED_VALUE"""),"")</f>
        <v/>
      </c>
      <c r="N282" s="5" t="str">
        <f ca="1">IFERROR(__xludf.DUMMYFUNCTION("""COMPUTED_VALUE"""),"")</f>
        <v/>
      </c>
      <c r="O282" s="2" t="str">
        <f ca="1">IFERROR(__xludf.DUMMYFUNCTION("""COMPUTED_VALUE"""),"")</f>
        <v/>
      </c>
      <c r="P282" s="2" t="str">
        <f ca="1">IFERROR(__xludf.DUMMYFUNCTION("""COMPUTED_VALUE"""),"")</f>
        <v/>
      </c>
      <c r="Q282" s="2" t="str">
        <f ca="1">IFERROR(__xludf.DUMMYFUNCTION("""COMPUTED_VALUE"""),"")</f>
        <v/>
      </c>
      <c r="R282" s="2" t="str">
        <f ca="1">IFERROR(__xludf.DUMMYFUNCTION("""COMPUTED_VALUE"""),"")</f>
        <v/>
      </c>
      <c r="S282" s="2" t="str">
        <f ca="1">IFERROR(__xludf.DUMMYFUNCTION("""COMPUTED_VALUE"""),"")</f>
        <v/>
      </c>
      <c r="T282" s="2" t="str">
        <f ca="1">IFERROR(__xludf.DUMMYFUNCTION("""COMPUTED_VALUE"""),"")</f>
        <v/>
      </c>
      <c r="U282" s="2" t="str">
        <f ca="1">IFERROR(__xludf.DUMMYFUNCTION("""COMPUTED_VALUE"""),"")</f>
        <v/>
      </c>
      <c r="V282" s="2" t="str">
        <f ca="1">IFERROR(__xludf.DUMMYFUNCTION("""COMPUTED_VALUE"""),"")</f>
        <v/>
      </c>
      <c r="W282" s="2" t="str">
        <f ca="1">IFERROR(__xludf.DUMMYFUNCTION("""COMPUTED_VALUE"""),"")</f>
        <v/>
      </c>
      <c r="X282" s="2" t="str">
        <f ca="1">IFERROR(__xludf.DUMMYFUNCTION("""COMPUTED_VALUE"""),"")</f>
        <v/>
      </c>
      <c r="Y282" s="2" t="str">
        <f ca="1">IFERROR(__xludf.DUMMYFUNCTION("""COMPUTED_VALUE"""),"")</f>
        <v/>
      </c>
      <c r="Z282" s="2" t="str">
        <f ca="1">IFERROR(__xludf.DUMMYFUNCTION("""COMPUTED_VALUE"""),"")</f>
        <v/>
      </c>
      <c r="AA282" s="2" t="str">
        <f ca="1">IFERROR(__xludf.DUMMYFUNCTION("""COMPUTED_VALUE"""),"")</f>
        <v/>
      </c>
      <c r="AB282" s="2" t="str">
        <f ca="1">IFERROR(__xludf.DUMMYFUNCTION("""COMPUTED_VALUE"""),"")</f>
        <v/>
      </c>
      <c r="AC282" s="2" t="str">
        <f ca="1">IFERROR(__xludf.DUMMYFUNCTION("""COMPUTED_VALUE"""),"")</f>
        <v/>
      </c>
      <c r="AD282" s="2" t="str">
        <f ca="1">IFERROR(__xludf.DUMMYFUNCTION("""COMPUTED_VALUE"""),"")</f>
        <v/>
      </c>
      <c r="AE282" s="2" t="str">
        <f ca="1">IFERROR(__xludf.DUMMYFUNCTION("""COMPUTED_VALUE"""),"")</f>
        <v/>
      </c>
      <c r="AF282" s="2" t="str">
        <f ca="1">IFERROR(__xludf.DUMMYFUNCTION("""COMPUTED_VALUE"""),"")</f>
        <v/>
      </c>
      <c r="AG282" s="2" t="str">
        <f ca="1">IFERROR(__xludf.DUMMYFUNCTION("""COMPUTED_VALUE"""),"")</f>
        <v/>
      </c>
      <c r="AH282" s="2" t="str">
        <f ca="1">IFERROR(__xludf.DUMMYFUNCTION("""COMPUTED_VALUE"""),"")</f>
        <v/>
      </c>
      <c r="AI282" s="2" t="str">
        <f ca="1">IFERROR(__xludf.DUMMYFUNCTION("""COMPUTED_VALUE"""),"")</f>
        <v/>
      </c>
      <c r="AJ282" s="2" t="str">
        <f ca="1">IFERROR(__xludf.DUMMYFUNCTION("""COMPUTED_VALUE"""),"")</f>
        <v/>
      </c>
      <c r="AK282" s="2" t="str">
        <f ca="1">IFERROR(__xludf.DUMMYFUNCTION("""COMPUTED_VALUE"""),"")</f>
        <v/>
      </c>
      <c r="AL282" s="2" t="str">
        <f ca="1">IFERROR(__xludf.DUMMYFUNCTION("""COMPUTED_VALUE"""),"")</f>
        <v/>
      </c>
      <c r="AM282" s="2" t="str">
        <f ca="1">IFERROR(__xludf.DUMMYFUNCTION("""COMPUTED_VALUE"""),"")</f>
        <v/>
      </c>
      <c r="AN282" s="2" t="str">
        <f ca="1">IFERROR(__xludf.DUMMYFUNCTION("""COMPUTED_VALUE"""),"")</f>
        <v/>
      </c>
      <c r="AO282" s="2" t="str">
        <f ca="1">IFERROR(__xludf.DUMMYFUNCTION("""COMPUTED_VALUE"""),"")</f>
        <v/>
      </c>
      <c r="AP282" s="2" t="str">
        <f ca="1">IFERROR(__xludf.DUMMYFUNCTION("""COMPUTED_VALUE"""),"")</f>
        <v/>
      </c>
      <c r="AQ282" s="2" t="str">
        <f ca="1">IFERROR(__xludf.DUMMYFUNCTION("""COMPUTED_VALUE"""),"")</f>
        <v/>
      </c>
      <c r="AR282" s="2" t="str">
        <f ca="1">IFERROR(__xludf.DUMMYFUNCTION("""COMPUTED_VALUE"""),"")</f>
        <v/>
      </c>
      <c r="AS282" s="2" t="str">
        <f ca="1">IFERROR(__xludf.DUMMYFUNCTION("""COMPUTED_VALUE"""),"")</f>
        <v/>
      </c>
      <c r="AT282" s="2" t="str">
        <f ca="1">IFERROR(__xludf.DUMMYFUNCTION("""COMPUTED_VALUE"""),"")</f>
        <v/>
      </c>
      <c r="AU282" s="2" t="str">
        <f ca="1">IFERROR(__xludf.DUMMYFUNCTION("""COMPUTED_VALUE"""),"")</f>
        <v/>
      </c>
      <c r="AV282" s="2" t="str">
        <f ca="1">IFERROR(__xludf.DUMMYFUNCTION("""COMPUTED_VALUE"""),"")</f>
        <v/>
      </c>
      <c r="AW282" s="2" t="str">
        <f ca="1">IFERROR(__xludf.DUMMYFUNCTION("""COMPUTED_VALUE"""),"")</f>
        <v/>
      </c>
      <c r="AX282" s="2" t="str">
        <f ca="1">IFERROR(__xludf.DUMMYFUNCTION("""COMPUTED_VALUE"""),"")</f>
        <v/>
      </c>
      <c r="AY282" s="2" t="str">
        <f ca="1">IFERROR(__xludf.DUMMYFUNCTION("""COMPUTED_VALUE"""),"")</f>
        <v/>
      </c>
      <c r="AZ282" s="2" t="str">
        <f ca="1">IFERROR(__xludf.DUMMYFUNCTION("""COMPUTED_VALUE"""),"")</f>
        <v/>
      </c>
      <c r="BA282" s="2" t="str">
        <f ca="1">IFERROR(__xludf.DUMMYFUNCTION("""COMPUTED_VALUE"""),"")</f>
        <v/>
      </c>
      <c r="BB282" s="2" t="str">
        <f ca="1">IFERROR(__xludf.DUMMYFUNCTION("""COMPUTED_VALUE"""),"")</f>
        <v/>
      </c>
      <c r="BC282" s="2" t="str">
        <f ca="1">IFERROR(__xludf.DUMMYFUNCTION("""COMPUTED_VALUE"""),"")</f>
        <v/>
      </c>
      <c r="BD282" s="2" t="str">
        <f ca="1">IFERROR(__xludf.DUMMYFUNCTION("""COMPUTED_VALUE"""),"")</f>
        <v/>
      </c>
      <c r="BE282" s="2" t="str">
        <f ca="1">IFERROR(__xludf.DUMMYFUNCTION("""COMPUTED_VALUE"""),"")</f>
        <v/>
      </c>
      <c r="BF282" t="str">
        <f ca="1">IFERROR(__xludf.DUMMYFUNCTION("""COMPUTED_VALUE"""),"")</f>
        <v/>
      </c>
      <c r="BG282" t="str">
        <f ca="1">IFERROR(__xludf.DUMMYFUNCTION("""COMPUTED_VALUE"""),"")</f>
        <v/>
      </c>
      <c r="BH282" s="2">
        <f ca="1">IFERROR(__xludf.DUMMYFUNCTION("""COMPUTED_VALUE"""),-36.5238152)</f>
        <v>-36.523815200000001</v>
      </c>
      <c r="BI282" s="13">
        <f ca="1">IFERROR(__xludf.DUMMYFUNCTION("""COMPUTED_VALUE"""),174.2438507)</f>
        <v>174.2438507</v>
      </c>
      <c r="BJ282" s="9">
        <f ca="1">IFERROR(__xludf.DUMMYFUNCTION("""COMPUTED_VALUE"""),43386)</f>
        <v>43386</v>
      </c>
      <c r="BK282" s="4">
        <f ca="1">IFERROR(__xludf.DUMMYFUNCTION("""COMPUTED_VALUE"""),0.958518518516939)</f>
        <v>0.95851851851693903</v>
      </c>
    </row>
    <row r="283" spans="1:63" ht="12.5" x14ac:dyDescent="0.25">
      <c r="A283" s="7" t="str">
        <f ca="1">IFERROR(__xludf.DUMMYFUNCTION("""COMPUTED_VALUE"""),"")</f>
        <v/>
      </c>
      <c r="B283" s="8" t="str">
        <f ca="1">IFERROR(__xludf.DUMMYFUNCTION("""COMPUTED_VALUE"""),"Waikato")</f>
        <v>Waikato</v>
      </c>
      <c r="C283" s="2">
        <f ca="1">IFERROR(__xludf.DUMMYFUNCTION("""COMPUTED_VALUE"""),21)</f>
        <v>21</v>
      </c>
      <c r="D283" s="9" t="str">
        <f ca="1">IFERROR(__xludf.DUMMYFUNCTION("""COMPUTED_VALUE"""),"")</f>
        <v/>
      </c>
      <c r="E283" s="4" t="str">
        <f ca="1">IFERROR(__xludf.DUMMYFUNCTION("""COMPUTED_VALUE"""),"")</f>
        <v/>
      </c>
      <c r="F283" s="2" t="str">
        <f ca="1">IFERROR(__xludf.DUMMYFUNCTION("""COMPUTED_VALUE"""),"")</f>
        <v/>
      </c>
      <c r="G283" s="2" t="str">
        <f ca="1">IFERROR(__xludf.DUMMYFUNCTION("""COMPUTED_VALUE"""),"GPS: I converted data downloaded from ARGOS using Pinpoint software")</f>
        <v>GPS: I converted data downloaded from ARGOS using Pinpoint software</v>
      </c>
      <c r="H283" s="2" t="str">
        <f ca="1">IFERROR(__xludf.DUMMYFUNCTION("""COMPUTED_VALUE"""),"3D")</f>
        <v>3D</v>
      </c>
      <c r="I283" s="2" t="str">
        <f ca="1">IFERROR(__xludf.DUMMYFUNCTION("""COMPUTED_VALUE"""),"")</f>
        <v/>
      </c>
      <c r="J283" s="2" t="str">
        <f ca="1">IFERROR(__xludf.DUMMYFUNCTION("""COMPUTED_VALUE"""),"")</f>
        <v/>
      </c>
      <c r="K283" s="2" t="str">
        <f ca="1">IFERROR(__xludf.DUMMYFUNCTION("""COMPUTED_VALUE"""),"")</f>
        <v/>
      </c>
      <c r="L283" s="2" t="str">
        <f ca="1">IFERROR(__xludf.DUMMYFUNCTION("""COMPUTED_VALUE"""),"")</f>
        <v/>
      </c>
      <c r="M283" s="5" t="str">
        <f ca="1">IFERROR(__xludf.DUMMYFUNCTION("""COMPUTED_VALUE"""),"")</f>
        <v/>
      </c>
      <c r="N283" s="5" t="str">
        <f ca="1">IFERROR(__xludf.DUMMYFUNCTION("""COMPUTED_VALUE"""),"")</f>
        <v/>
      </c>
      <c r="O283" s="2" t="str">
        <f ca="1">IFERROR(__xludf.DUMMYFUNCTION("""COMPUTED_VALUE"""),"")</f>
        <v/>
      </c>
      <c r="P283" s="2" t="str">
        <f ca="1">IFERROR(__xludf.DUMMYFUNCTION("""COMPUTED_VALUE"""),"")</f>
        <v/>
      </c>
      <c r="Q283" s="2" t="str">
        <f ca="1">IFERROR(__xludf.DUMMYFUNCTION("""COMPUTED_VALUE"""),"")</f>
        <v/>
      </c>
      <c r="R283" s="2" t="str">
        <f ca="1">IFERROR(__xludf.DUMMYFUNCTION("""COMPUTED_VALUE"""),"")</f>
        <v/>
      </c>
      <c r="S283" s="2" t="str">
        <f ca="1">IFERROR(__xludf.DUMMYFUNCTION("""COMPUTED_VALUE"""),"")</f>
        <v/>
      </c>
      <c r="T283" s="2" t="str">
        <f ca="1">IFERROR(__xludf.DUMMYFUNCTION("""COMPUTED_VALUE"""),"")</f>
        <v/>
      </c>
      <c r="U283" s="2" t="str">
        <f ca="1">IFERROR(__xludf.DUMMYFUNCTION("""COMPUTED_VALUE"""),"")</f>
        <v/>
      </c>
      <c r="V283" s="2" t="str">
        <f ca="1">IFERROR(__xludf.DUMMYFUNCTION("""COMPUTED_VALUE"""),"")</f>
        <v/>
      </c>
      <c r="W283" s="2" t="str">
        <f ca="1">IFERROR(__xludf.DUMMYFUNCTION("""COMPUTED_VALUE"""),"")</f>
        <v/>
      </c>
      <c r="X283" s="2" t="str">
        <f ca="1">IFERROR(__xludf.DUMMYFUNCTION("""COMPUTED_VALUE"""),"")</f>
        <v/>
      </c>
      <c r="Y283" s="2" t="str">
        <f ca="1">IFERROR(__xludf.DUMMYFUNCTION("""COMPUTED_VALUE"""),"")</f>
        <v/>
      </c>
      <c r="Z283" s="2" t="str">
        <f ca="1">IFERROR(__xludf.DUMMYFUNCTION("""COMPUTED_VALUE"""),"")</f>
        <v/>
      </c>
      <c r="AA283" s="2" t="str">
        <f ca="1">IFERROR(__xludf.DUMMYFUNCTION("""COMPUTED_VALUE"""),"")</f>
        <v/>
      </c>
      <c r="AB283" s="2" t="str">
        <f ca="1">IFERROR(__xludf.DUMMYFUNCTION("""COMPUTED_VALUE"""),"")</f>
        <v/>
      </c>
      <c r="AC283" s="2" t="str">
        <f ca="1">IFERROR(__xludf.DUMMYFUNCTION("""COMPUTED_VALUE"""),"")</f>
        <v/>
      </c>
      <c r="AD283" s="2" t="str">
        <f ca="1">IFERROR(__xludf.DUMMYFUNCTION("""COMPUTED_VALUE"""),"")</f>
        <v/>
      </c>
      <c r="AE283" s="2" t="str">
        <f ca="1">IFERROR(__xludf.DUMMYFUNCTION("""COMPUTED_VALUE"""),"")</f>
        <v/>
      </c>
      <c r="AF283" s="2" t="str">
        <f ca="1">IFERROR(__xludf.DUMMYFUNCTION("""COMPUTED_VALUE"""),"")</f>
        <v/>
      </c>
      <c r="AG283" s="2" t="str">
        <f ca="1">IFERROR(__xludf.DUMMYFUNCTION("""COMPUTED_VALUE"""),"")</f>
        <v/>
      </c>
      <c r="AH283" s="2" t="str">
        <f ca="1">IFERROR(__xludf.DUMMYFUNCTION("""COMPUTED_VALUE"""),"")</f>
        <v/>
      </c>
      <c r="AI283" s="2" t="str">
        <f ca="1">IFERROR(__xludf.DUMMYFUNCTION("""COMPUTED_VALUE"""),"")</f>
        <v/>
      </c>
      <c r="AJ283" s="2" t="str">
        <f ca="1">IFERROR(__xludf.DUMMYFUNCTION("""COMPUTED_VALUE"""),"")</f>
        <v/>
      </c>
      <c r="AK283" s="2" t="str">
        <f ca="1">IFERROR(__xludf.DUMMYFUNCTION("""COMPUTED_VALUE"""),"")</f>
        <v/>
      </c>
      <c r="AL283" s="2" t="str">
        <f ca="1">IFERROR(__xludf.DUMMYFUNCTION("""COMPUTED_VALUE"""),"")</f>
        <v/>
      </c>
      <c r="AM283" s="2" t="str">
        <f ca="1">IFERROR(__xludf.DUMMYFUNCTION("""COMPUTED_VALUE"""),"")</f>
        <v/>
      </c>
      <c r="AN283" s="2" t="str">
        <f ca="1">IFERROR(__xludf.DUMMYFUNCTION("""COMPUTED_VALUE"""),"")</f>
        <v/>
      </c>
      <c r="AO283" s="2" t="str">
        <f ca="1">IFERROR(__xludf.DUMMYFUNCTION("""COMPUTED_VALUE"""),"")</f>
        <v/>
      </c>
      <c r="AP283" s="2" t="str">
        <f ca="1">IFERROR(__xludf.DUMMYFUNCTION("""COMPUTED_VALUE"""),"")</f>
        <v/>
      </c>
      <c r="AQ283" s="2" t="str">
        <f ca="1">IFERROR(__xludf.DUMMYFUNCTION("""COMPUTED_VALUE"""),"")</f>
        <v/>
      </c>
      <c r="AR283" s="2" t="str">
        <f ca="1">IFERROR(__xludf.DUMMYFUNCTION("""COMPUTED_VALUE"""),"")</f>
        <v/>
      </c>
      <c r="AS283" s="2" t="str">
        <f ca="1">IFERROR(__xludf.DUMMYFUNCTION("""COMPUTED_VALUE"""),"")</f>
        <v/>
      </c>
      <c r="AT283" s="2" t="str">
        <f ca="1">IFERROR(__xludf.DUMMYFUNCTION("""COMPUTED_VALUE"""),"")</f>
        <v/>
      </c>
      <c r="AU283" s="2" t="str">
        <f ca="1">IFERROR(__xludf.DUMMYFUNCTION("""COMPUTED_VALUE"""),"")</f>
        <v/>
      </c>
      <c r="AV283" s="2" t="str">
        <f ca="1">IFERROR(__xludf.DUMMYFUNCTION("""COMPUTED_VALUE"""),"")</f>
        <v/>
      </c>
      <c r="AW283" s="2" t="str">
        <f ca="1">IFERROR(__xludf.DUMMYFUNCTION("""COMPUTED_VALUE"""),"")</f>
        <v/>
      </c>
      <c r="AX283" s="2" t="str">
        <f ca="1">IFERROR(__xludf.DUMMYFUNCTION("""COMPUTED_VALUE"""),"")</f>
        <v/>
      </c>
      <c r="AY283" s="2" t="str">
        <f ca="1">IFERROR(__xludf.DUMMYFUNCTION("""COMPUTED_VALUE"""),"")</f>
        <v/>
      </c>
      <c r="AZ283" s="2" t="str">
        <f ca="1">IFERROR(__xludf.DUMMYFUNCTION("""COMPUTED_VALUE"""),"")</f>
        <v/>
      </c>
      <c r="BA283" s="2" t="str">
        <f ca="1">IFERROR(__xludf.DUMMYFUNCTION("""COMPUTED_VALUE"""),"")</f>
        <v/>
      </c>
      <c r="BB283" s="2" t="str">
        <f ca="1">IFERROR(__xludf.DUMMYFUNCTION("""COMPUTED_VALUE"""),"")</f>
        <v/>
      </c>
      <c r="BC283" s="2" t="str">
        <f ca="1">IFERROR(__xludf.DUMMYFUNCTION("""COMPUTED_VALUE"""),"")</f>
        <v/>
      </c>
      <c r="BD283" s="2" t="str">
        <f ca="1">IFERROR(__xludf.DUMMYFUNCTION("""COMPUTED_VALUE"""),"")</f>
        <v/>
      </c>
      <c r="BE283" s="2" t="str">
        <f ca="1">IFERROR(__xludf.DUMMYFUNCTION("""COMPUTED_VALUE"""),"")</f>
        <v/>
      </c>
      <c r="BF283" t="str">
        <f ca="1">IFERROR(__xludf.DUMMYFUNCTION("""COMPUTED_VALUE"""),"")</f>
        <v/>
      </c>
      <c r="BG283" t="str">
        <f ca="1">IFERROR(__xludf.DUMMYFUNCTION("""COMPUTED_VALUE"""),"")</f>
        <v/>
      </c>
      <c r="BH283" s="2">
        <f ca="1">IFERROR(__xludf.DUMMYFUNCTION("""COMPUTED_VALUE"""),-36.5141907)</f>
        <v>-36.5141907</v>
      </c>
      <c r="BI283" s="12">
        <f ca="1">IFERROR(__xludf.DUMMYFUNCTION("""COMPUTED_VALUE"""),174.2325897)</f>
        <v>174.23258970000001</v>
      </c>
      <c r="BJ283" s="9">
        <f ca="1">IFERROR(__xludf.DUMMYFUNCTION("""COMPUTED_VALUE"""),43388)</f>
        <v>43388</v>
      </c>
      <c r="BK283" s="4">
        <f ca="1">IFERROR(__xludf.DUMMYFUNCTION("""COMPUTED_VALUE"""),0.457777777777664)</f>
        <v>0.45777777777766399</v>
      </c>
    </row>
    <row r="284" spans="1:63" ht="12.5" x14ac:dyDescent="0.25">
      <c r="A284" s="7" t="str">
        <f ca="1">IFERROR(__xludf.DUMMYFUNCTION("""COMPUTED_VALUE"""),"")</f>
        <v/>
      </c>
      <c r="B284" s="8" t="str">
        <f ca="1">IFERROR(__xludf.DUMMYFUNCTION("""COMPUTED_VALUE"""),"Waikato")</f>
        <v>Waikato</v>
      </c>
      <c r="C284" s="2">
        <f ca="1">IFERROR(__xludf.DUMMYFUNCTION("""COMPUTED_VALUE"""),21)</f>
        <v>21</v>
      </c>
      <c r="D284" s="9" t="str">
        <f ca="1">IFERROR(__xludf.DUMMYFUNCTION("""COMPUTED_VALUE"""),"")</f>
        <v/>
      </c>
      <c r="E284" s="4" t="str">
        <f ca="1">IFERROR(__xludf.DUMMYFUNCTION("""COMPUTED_VALUE"""),"")</f>
        <v/>
      </c>
      <c r="F284" s="2" t="str">
        <f ca="1">IFERROR(__xludf.DUMMYFUNCTION("""COMPUTED_VALUE"""),"")</f>
        <v/>
      </c>
      <c r="G284" s="2" t="str">
        <f ca="1">IFERROR(__xludf.DUMMYFUNCTION("""COMPUTED_VALUE"""),"GPS: I converted data downloaded from ARGOS using Pinpoint software")</f>
        <v>GPS: I converted data downloaded from ARGOS using Pinpoint software</v>
      </c>
      <c r="H284" s="2" t="str">
        <f ca="1">IFERROR(__xludf.DUMMYFUNCTION("""COMPUTED_VALUE"""),"3D")</f>
        <v>3D</v>
      </c>
      <c r="I284" s="2" t="str">
        <f ca="1">IFERROR(__xludf.DUMMYFUNCTION("""COMPUTED_VALUE"""),"")</f>
        <v/>
      </c>
      <c r="J284" s="2" t="str">
        <f ca="1">IFERROR(__xludf.DUMMYFUNCTION("""COMPUTED_VALUE"""),"")</f>
        <v/>
      </c>
      <c r="K284" s="2" t="str">
        <f ca="1">IFERROR(__xludf.DUMMYFUNCTION("""COMPUTED_VALUE"""),"")</f>
        <v/>
      </c>
      <c r="L284" s="2" t="str">
        <f ca="1">IFERROR(__xludf.DUMMYFUNCTION("""COMPUTED_VALUE"""),"")</f>
        <v/>
      </c>
      <c r="M284" s="5" t="str">
        <f ca="1">IFERROR(__xludf.DUMMYFUNCTION("""COMPUTED_VALUE"""),"")</f>
        <v/>
      </c>
      <c r="N284" s="5" t="str">
        <f ca="1">IFERROR(__xludf.DUMMYFUNCTION("""COMPUTED_VALUE"""),"")</f>
        <v/>
      </c>
      <c r="O284" s="2" t="str">
        <f ca="1">IFERROR(__xludf.DUMMYFUNCTION("""COMPUTED_VALUE"""),"")</f>
        <v/>
      </c>
      <c r="P284" s="2" t="str">
        <f ca="1">IFERROR(__xludf.DUMMYFUNCTION("""COMPUTED_VALUE"""),"")</f>
        <v/>
      </c>
      <c r="Q284" s="2" t="str">
        <f ca="1">IFERROR(__xludf.DUMMYFUNCTION("""COMPUTED_VALUE"""),"")</f>
        <v/>
      </c>
      <c r="R284" s="2" t="str">
        <f ca="1">IFERROR(__xludf.DUMMYFUNCTION("""COMPUTED_VALUE"""),"")</f>
        <v/>
      </c>
      <c r="S284" s="2" t="str">
        <f ca="1">IFERROR(__xludf.DUMMYFUNCTION("""COMPUTED_VALUE"""),"")</f>
        <v/>
      </c>
      <c r="T284" s="2" t="str">
        <f ca="1">IFERROR(__xludf.DUMMYFUNCTION("""COMPUTED_VALUE"""),"")</f>
        <v/>
      </c>
      <c r="U284" s="2" t="str">
        <f ca="1">IFERROR(__xludf.DUMMYFUNCTION("""COMPUTED_VALUE"""),"")</f>
        <v/>
      </c>
      <c r="V284" s="2" t="str">
        <f ca="1">IFERROR(__xludf.DUMMYFUNCTION("""COMPUTED_VALUE"""),"")</f>
        <v/>
      </c>
      <c r="W284" s="2" t="str">
        <f ca="1">IFERROR(__xludf.DUMMYFUNCTION("""COMPUTED_VALUE"""),"")</f>
        <v/>
      </c>
      <c r="X284" s="2" t="str">
        <f ca="1">IFERROR(__xludf.DUMMYFUNCTION("""COMPUTED_VALUE"""),"")</f>
        <v/>
      </c>
      <c r="Y284" s="2" t="str">
        <f ca="1">IFERROR(__xludf.DUMMYFUNCTION("""COMPUTED_VALUE"""),"")</f>
        <v/>
      </c>
      <c r="Z284" s="2" t="str">
        <f ca="1">IFERROR(__xludf.DUMMYFUNCTION("""COMPUTED_VALUE"""),"")</f>
        <v/>
      </c>
      <c r="AA284" s="2" t="str">
        <f ca="1">IFERROR(__xludf.DUMMYFUNCTION("""COMPUTED_VALUE"""),"")</f>
        <v/>
      </c>
      <c r="AB284" s="2" t="str">
        <f ca="1">IFERROR(__xludf.DUMMYFUNCTION("""COMPUTED_VALUE"""),"")</f>
        <v/>
      </c>
      <c r="AC284" s="2" t="str">
        <f ca="1">IFERROR(__xludf.DUMMYFUNCTION("""COMPUTED_VALUE"""),"")</f>
        <v/>
      </c>
      <c r="AD284" s="2" t="str">
        <f ca="1">IFERROR(__xludf.DUMMYFUNCTION("""COMPUTED_VALUE"""),"")</f>
        <v/>
      </c>
      <c r="AE284" s="2" t="str">
        <f ca="1">IFERROR(__xludf.DUMMYFUNCTION("""COMPUTED_VALUE"""),"")</f>
        <v/>
      </c>
      <c r="AF284" s="2" t="str">
        <f ca="1">IFERROR(__xludf.DUMMYFUNCTION("""COMPUTED_VALUE"""),"")</f>
        <v/>
      </c>
      <c r="AG284" s="2" t="str">
        <f ca="1">IFERROR(__xludf.DUMMYFUNCTION("""COMPUTED_VALUE"""),"")</f>
        <v/>
      </c>
      <c r="AH284" s="2" t="str">
        <f ca="1">IFERROR(__xludf.DUMMYFUNCTION("""COMPUTED_VALUE"""),"")</f>
        <v/>
      </c>
      <c r="AI284" s="2" t="str">
        <f ca="1">IFERROR(__xludf.DUMMYFUNCTION("""COMPUTED_VALUE"""),"")</f>
        <v/>
      </c>
      <c r="AJ284" s="2" t="str">
        <f ca="1">IFERROR(__xludf.DUMMYFUNCTION("""COMPUTED_VALUE"""),"")</f>
        <v/>
      </c>
      <c r="AK284" s="2" t="str">
        <f ca="1">IFERROR(__xludf.DUMMYFUNCTION("""COMPUTED_VALUE"""),"")</f>
        <v/>
      </c>
      <c r="AL284" s="2" t="str">
        <f ca="1">IFERROR(__xludf.DUMMYFUNCTION("""COMPUTED_VALUE"""),"")</f>
        <v/>
      </c>
      <c r="AM284" s="2" t="str">
        <f ca="1">IFERROR(__xludf.DUMMYFUNCTION("""COMPUTED_VALUE"""),"")</f>
        <v/>
      </c>
      <c r="AN284" s="2" t="str">
        <f ca="1">IFERROR(__xludf.DUMMYFUNCTION("""COMPUTED_VALUE"""),"")</f>
        <v/>
      </c>
      <c r="AO284" s="2" t="str">
        <f ca="1">IFERROR(__xludf.DUMMYFUNCTION("""COMPUTED_VALUE"""),"")</f>
        <v/>
      </c>
      <c r="AP284" s="2" t="str">
        <f ca="1">IFERROR(__xludf.DUMMYFUNCTION("""COMPUTED_VALUE"""),"")</f>
        <v/>
      </c>
      <c r="AQ284" s="2" t="str">
        <f ca="1">IFERROR(__xludf.DUMMYFUNCTION("""COMPUTED_VALUE"""),"")</f>
        <v/>
      </c>
      <c r="AR284" s="2" t="str">
        <f ca="1">IFERROR(__xludf.DUMMYFUNCTION("""COMPUTED_VALUE"""),"")</f>
        <v/>
      </c>
      <c r="AS284" s="2" t="str">
        <f ca="1">IFERROR(__xludf.DUMMYFUNCTION("""COMPUTED_VALUE"""),"")</f>
        <v/>
      </c>
      <c r="AT284" s="2" t="str">
        <f ca="1">IFERROR(__xludf.DUMMYFUNCTION("""COMPUTED_VALUE"""),"")</f>
        <v/>
      </c>
      <c r="AU284" s="2" t="str">
        <f ca="1">IFERROR(__xludf.DUMMYFUNCTION("""COMPUTED_VALUE"""),"")</f>
        <v/>
      </c>
      <c r="AV284" s="2" t="str">
        <f ca="1">IFERROR(__xludf.DUMMYFUNCTION("""COMPUTED_VALUE"""),"")</f>
        <v/>
      </c>
      <c r="AW284" s="2" t="str">
        <f ca="1">IFERROR(__xludf.DUMMYFUNCTION("""COMPUTED_VALUE"""),"")</f>
        <v/>
      </c>
      <c r="AX284" s="2" t="str">
        <f ca="1">IFERROR(__xludf.DUMMYFUNCTION("""COMPUTED_VALUE"""),"")</f>
        <v/>
      </c>
      <c r="AY284" s="2" t="str">
        <f ca="1">IFERROR(__xludf.DUMMYFUNCTION("""COMPUTED_VALUE"""),"")</f>
        <v/>
      </c>
      <c r="AZ284" s="2" t="str">
        <f ca="1">IFERROR(__xludf.DUMMYFUNCTION("""COMPUTED_VALUE"""),"")</f>
        <v/>
      </c>
      <c r="BA284" s="2" t="str">
        <f ca="1">IFERROR(__xludf.DUMMYFUNCTION("""COMPUTED_VALUE"""),"")</f>
        <v/>
      </c>
      <c r="BB284" s="2" t="str">
        <f ca="1">IFERROR(__xludf.DUMMYFUNCTION("""COMPUTED_VALUE"""),"")</f>
        <v/>
      </c>
      <c r="BC284" s="2" t="str">
        <f ca="1">IFERROR(__xludf.DUMMYFUNCTION("""COMPUTED_VALUE"""),"")</f>
        <v/>
      </c>
      <c r="BD284" s="2" t="str">
        <f ca="1">IFERROR(__xludf.DUMMYFUNCTION("""COMPUTED_VALUE"""),"")</f>
        <v/>
      </c>
      <c r="BE284" s="2" t="str">
        <f ca="1">IFERROR(__xludf.DUMMYFUNCTION("""COMPUTED_VALUE"""),"")</f>
        <v/>
      </c>
      <c r="BF284" t="str">
        <f ca="1">IFERROR(__xludf.DUMMYFUNCTION("""COMPUTED_VALUE"""),"")</f>
        <v/>
      </c>
      <c r="BG284" t="str">
        <f ca="1">IFERROR(__xludf.DUMMYFUNCTION("""COMPUTED_VALUE"""),"")</f>
        <v/>
      </c>
      <c r="BH284" s="2">
        <f ca="1">IFERROR(__xludf.DUMMYFUNCTION("""COMPUTED_VALUE"""),-36.4614792)</f>
        <v>-36.461479199999999</v>
      </c>
      <c r="BI284" s="13">
        <f ca="1">IFERROR(__xludf.DUMMYFUNCTION("""COMPUTED_VALUE"""),174.197998)</f>
        <v>174.19799800000001</v>
      </c>
      <c r="BJ284" s="9">
        <f ca="1">IFERROR(__xludf.DUMMYFUNCTION("""COMPUTED_VALUE"""),43388)</f>
        <v>43388</v>
      </c>
      <c r="BK284" s="4">
        <f ca="1">IFERROR(__xludf.DUMMYFUNCTION("""COMPUTED_VALUE"""),0.958518518516939)</f>
        <v>0.95851851851693903</v>
      </c>
    </row>
    <row r="285" spans="1:63" ht="12.5" x14ac:dyDescent="0.25">
      <c r="A285" s="7" t="str">
        <f ca="1">IFERROR(__xludf.DUMMYFUNCTION("""COMPUTED_VALUE"""),"")</f>
        <v/>
      </c>
      <c r="B285" s="8" t="str">
        <f ca="1">IFERROR(__xludf.DUMMYFUNCTION("""COMPUTED_VALUE"""),"Waikato")</f>
        <v>Waikato</v>
      </c>
      <c r="C285" s="2">
        <f ca="1">IFERROR(__xludf.DUMMYFUNCTION("""COMPUTED_VALUE"""),21)</f>
        <v>21</v>
      </c>
      <c r="D285" s="9" t="str">
        <f ca="1">IFERROR(__xludf.DUMMYFUNCTION("""COMPUTED_VALUE"""),"")</f>
        <v/>
      </c>
      <c r="E285" s="4" t="str">
        <f ca="1">IFERROR(__xludf.DUMMYFUNCTION("""COMPUTED_VALUE"""),"")</f>
        <v/>
      </c>
      <c r="F285" s="2" t="str">
        <f ca="1">IFERROR(__xludf.DUMMYFUNCTION("""COMPUTED_VALUE"""),"")</f>
        <v/>
      </c>
      <c r="G285" s="2" t="str">
        <f ca="1">IFERROR(__xludf.DUMMYFUNCTION("""COMPUTED_VALUE"""),"GPS: I converted data downloaded from ARGOS using Pinpoint software")</f>
        <v>GPS: I converted data downloaded from ARGOS using Pinpoint software</v>
      </c>
      <c r="H285" s="2" t="str">
        <f ca="1">IFERROR(__xludf.DUMMYFUNCTION("""COMPUTED_VALUE"""),"3D")</f>
        <v>3D</v>
      </c>
      <c r="I285" s="2" t="str">
        <f ca="1">IFERROR(__xludf.DUMMYFUNCTION("""COMPUTED_VALUE"""),"")</f>
        <v/>
      </c>
      <c r="J285" s="2" t="str">
        <f ca="1">IFERROR(__xludf.DUMMYFUNCTION("""COMPUTED_VALUE"""),"")</f>
        <v/>
      </c>
      <c r="K285" s="2" t="str">
        <f ca="1">IFERROR(__xludf.DUMMYFUNCTION("""COMPUTED_VALUE"""),"")</f>
        <v/>
      </c>
      <c r="L285" s="2" t="str">
        <f ca="1">IFERROR(__xludf.DUMMYFUNCTION("""COMPUTED_VALUE"""),"")</f>
        <v/>
      </c>
      <c r="M285" s="5" t="str">
        <f ca="1">IFERROR(__xludf.DUMMYFUNCTION("""COMPUTED_VALUE"""),"")</f>
        <v/>
      </c>
      <c r="N285" s="5" t="str">
        <f ca="1">IFERROR(__xludf.DUMMYFUNCTION("""COMPUTED_VALUE"""),"")</f>
        <v/>
      </c>
      <c r="O285" s="2" t="str">
        <f ca="1">IFERROR(__xludf.DUMMYFUNCTION("""COMPUTED_VALUE"""),"")</f>
        <v/>
      </c>
      <c r="P285" s="2" t="str">
        <f ca="1">IFERROR(__xludf.DUMMYFUNCTION("""COMPUTED_VALUE"""),"")</f>
        <v/>
      </c>
      <c r="Q285" s="2" t="str">
        <f ca="1">IFERROR(__xludf.DUMMYFUNCTION("""COMPUTED_VALUE"""),"")</f>
        <v/>
      </c>
      <c r="R285" s="2" t="str">
        <f ca="1">IFERROR(__xludf.DUMMYFUNCTION("""COMPUTED_VALUE"""),"")</f>
        <v/>
      </c>
      <c r="S285" s="2" t="str">
        <f ca="1">IFERROR(__xludf.DUMMYFUNCTION("""COMPUTED_VALUE"""),"")</f>
        <v/>
      </c>
      <c r="T285" s="2" t="str">
        <f ca="1">IFERROR(__xludf.DUMMYFUNCTION("""COMPUTED_VALUE"""),"")</f>
        <v/>
      </c>
      <c r="U285" s="2" t="str">
        <f ca="1">IFERROR(__xludf.DUMMYFUNCTION("""COMPUTED_VALUE"""),"")</f>
        <v/>
      </c>
      <c r="V285" s="2" t="str">
        <f ca="1">IFERROR(__xludf.DUMMYFUNCTION("""COMPUTED_VALUE"""),"")</f>
        <v/>
      </c>
      <c r="W285" s="2" t="str">
        <f ca="1">IFERROR(__xludf.DUMMYFUNCTION("""COMPUTED_VALUE"""),"")</f>
        <v/>
      </c>
      <c r="X285" s="2" t="str">
        <f ca="1">IFERROR(__xludf.DUMMYFUNCTION("""COMPUTED_VALUE"""),"")</f>
        <v/>
      </c>
      <c r="Y285" s="2" t="str">
        <f ca="1">IFERROR(__xludf.DUMMYFUNCTION("""COMPUTED_VALUE"""),"")</f>
        <v/>
      </c>
      <c r="Z285" s="2" t="str">
        <f ca="1">IFERROR(__xludf.DUMMYFUNCTION("""COMPUTED_VALUE"""),"")</f>
        <v/>
      </c>
      <c r="AA285" s="2" t="str">
        <f ca="1">IFERROR(__xludf.DUMMYFUNCTION("""COMPUTED_VALUE"""),"")</f>
        <v/>
      </c>
      <c r="AB285" s="2" t="str">
        <f ca="1">IFERROR(__xludf.DUMMYFUNCTION("""COMPUTED_VALUE"""),"")</f>
        <v/>
      </c>
      <c r="AC285" s="2" t="str">
        <f ca="1">IFERROR(__xludf.DUMMYFUNCTION("""COMPUTED_VALUE"""),"")</f>
        <v/>
      </c>
      <c r="AD285" s="2" t="str">
        <f ca="1">IFERROR(__xludf.DUMMYFUNCTION("""COMPUTED_VALUE"""),"")</f>
        <v/>
      </c>
      <c r="AE285" s="2" t="str">
        <f ca="1">IFERROR(__xludf.DUMMYFUNCTION("""COMPUTED_VALUE"""),"")</f>
        <v/>
      </c>
      <c r="AF285" s="2" t="str">
        <f ca="1">IFERROR(__xludf.DUMMYFUNCTION("""COMPUTED_VALUE"""),"")</f>
        <v/>
      </c>
      <c r="AG285" s="2" t="str">
        <f ca="1">IFERROR(__xludf.DUMMYFUNCTION("""COMPUTED_VALUE"""),"")</f>
        <v/>
      </c>
      <c r="AH285" s="2" t="str">
        <f ca="1">IFERROR(__xludf.DUMMYFUNCTION("""COMPUTED_VALUE"""),"")</f>
        <v/>
      </c>
      <c r="AI285" s="2" t="str">
        <f ca="1">IFERROR(__xludf.DUMMYFUNCTION("""COMPUTED_VALUE"""),"")</f>
        <v/>
      </c>
      <c r="AJ285" s="2" t="str">
        <f ca="1">IFERROR(__xludf.DUMMYFUNCTION("""COMPUTED_VALUE"""),"")</f>
        <v/>
      </c>
      <c r="AK285" s="2" t="str">
        <f ca="1">IFERROR(__xludf.DUMMYFUNCTION("""COMPUTED_VALUE"""),"")</f>
        <v/>
      </c>
      <c r="AL285" s="2" t="str">
        <f ca="1">IFERROR(__xludf.DUMMYFUNCTION("""COMPUTED_VALUE"""),"")</f>
        <v/>
      </c>
      <c r="AM285" s="2" t="str">
        <f ca="1">IFERROR(__xludf.DUMMYFUNCTION("""COMPUTED_VALUE"""),"")</f>
        <v/>
      </c>
      <c r="AN285" s="2" t="str">
        <f ca="1">IFERROR(__xludf.DUMMYFUNCTION("""COMPUTED_VALUE"""),"")</f>
        <v/>
      </c>
      <c r="AO285" s="2" t="str">
        <f ca="1">IFERROR(__xludf.DUMMYFUNCTION("""COMPUTED_VALUE"""),"")</f>
        <v/>
      </c>
      <c r="AP285" s="2" t="str">
        <f ca="1">IFERROR(__xludf.DUMMYFUNCTION("""COMPUTED_VALUE"""),"")</f>
        <v/>
      </c>
      <c r="AQ285" s="2" t="str">
        <f ca="1">IFERROR(__xludf.DUMMYFUNCTION("""COMPUTED_VALUE"""),"")</f>
        <v/>
      </c>
      <c r="AR285" s="2" t="str">
        <f ca="1">IFERROR(__xludf.DUMMYFUNCTION("""COMPUTED_VALUE"""),"")</f>
        <v/>
      </c>
      <c r="AS285" s="2" t="str">
        <f ca="1">IFERROR(__xludf.DUMMYFUNCTION("""COMPUTED_VALUE"""),"")</f>
        <v/>
      </c>
      <c r="AT285" s="2" t="str">
        <f ca="1">IFERROR(__xludf.DUMMYFUNCTION("""COMPUTED_VALUE"""),"")</f>
        <v/>
      </c>
      <c r="AU285" s="2" t="str">
        <f ca="1">IFERROR(__xludf.DUMMYFUNCTION("""COMPUTED_VALUE"""),"")</f>
        <v/>
      </c>
      <c r="AV285" s="2" t="str">
        <f ca="1">IFERROR(__xludf.DUMMYFUNCTION("""COMPUTED_VALUE"""),"")</f>
        <v/>
      </c>
      <c r="AW285" s="2" t="str">
        <f ca="1">IFERROR(__xludf.DUMMYFUNCTION("""COMPUTED_VALUE"""),"")</f>
        <v/>
      </c>
      <c r="AX285" s="2" t="str">
        <f ca="1">IFERROR(__xludf.DUMMYFUNCTION("""COMPUTED_VALUE"""),"")</f>
        <v/>
      </c>
      <c r="AY285" s="2" t="str">
        <f ca="1">IFERROR(__xludf.DUMMYFUNCTION("""COMPUTED_VALUE"""),"")</f>
        <v/>
      </c>
      <c r="AZ285" s="2" t="str">
        <f ca="1">IFERROR(__xludf.DUMMYFUNCTION("""COMPUTED_VALUE"""),"")</f>
        <v/>
      </c>
      <c r="BA285" s="2" t="str">
        <f ca="1">IFERROR(__xludf.DUMMYFUNCTION("""COMPUTED_VALUE"""),"")</f>
        <v/>
      </c>
      <c r="BB285" s="2" t="str">
        <f ca="1">IFERROR(__xludf.DUMMYFUNCTION("""COMPUTED_VALUE"""),"")</f>
        <v/>
      </c>
      <c r="BC285" s="2" t="str">
        <f ca="1">IFERROR(__xludf.DUMMYFUNCTION("""COMPUTED_VALUE"""),"")</f>
        <v/>
      </c>
      <c r="BD285" s="2" t="str">
        <f ca="1">IFERROR(__xludf.DUMMYFUNCTION("""COMPUTED_VALUE"""),"")</f>
        <v/>
      </c>
      <c r="BE285" s="2" t="str">
        <f ca="1">IFERROR(__xludf.DUMMYFUNCTION("""COMPUTED_VALUE"""),"")</f>
        <v/>
      </c>
      <c r="BF285" t="str">
        <f ca="1">IFERROR(__xludf.DUMMYFUNCTION("""COMPUTED_VALUE"""),"")</f>
        <v/>
      </c>
      <c r="BG285" t="str">
        <f ca="1">IFERROR(__xludf.DUMMYFUNCTION("""COMPUTED_VALUE"""),"")</f>
        <v/>
      </c>
      <c r="BH285" s="2">
        <f ca="1">IFERROR(__xludf.DUMMYFUNCTION("""COMPUTED_VALUE"""),-36.4474258)</f>
        <v>-36.447425799999998</v>
      </c>
      <c r="BI285" s="12">
        <f ca="1">IFERROR(__xludf.DUMMYFUNCTION("""COMPUTED_VALUE"""),174.2218628)</f>
        <v>174.2218628</v>
      </c>
      <c r="BJ285" s="9">
        <f ca="1">IFERROR(__xludf.DUMMYFUNCTION("""COMPUTED_VALUE"""),43390)</f>
        <v>43390</v>
      </c>
      <c r="BK285" s="4">
        <f ca="1">IFERROR(__xludf.DUMMYFUNCTION("""COMPUTED_VALUE"""),0.457777777777664)</f>
        <v>0.45777777777766399</v>
      </c>
    </row>
    <row r="286" spans="1:63" ht="12.5" x14ac:dyDescent="0.25">
      <c r="A286" s="7" t="str">
        <f ca="1">IFERROR(__xludf.DUMMYFUNCTION("""COMPUTED_VALUE"""),"")</f>
        <v/>
      </c>
      <c r="B286" s="8" t="str">
        <f ca="1">IFERROR(__xludf.DUMMYFUNCTION("""COMPUTED_VALUE"""),"Waikato")</f>
        <v>Waikato</v>
      </c>
      <c r="C286" s="2">
        <f ca="1">IFERROR(__xludf.DUMMYFUNCTION("""COMPUTED_VALUE"""),21)</f>
        <v>21</v>
      </c>
      <c r="D286" s="9" t="str">
        <f ca="1">IFERROR(__xludf.DUMMYFUNCTION("""COMPUTED_VALUE"""),"")</f>
        <v/>
      </c>
      <c r="E286" s="4" t="str">
        <f ca="1">IFERROR(__xludf.DUMMYFUNCTION("""COMPUTED_VALUE"""),"")</f>
        <v/>
      </c>
      <c r="F286" s="2" t="str">
        <f ca="1">IFERROR(__xludf.DUMMYFUNCTION("""COMPUTED_VALUE"""),"")</f>
        <v/>
      </c>
      <c r="G286" s="2" t="str">
        <f ca="1">IFERROR(__xludf.DUMMYFUNCTION("""COMPUTED_VALUE"""),"GPS: I converted data downloaded from ARGOS using Pinpoint software")</f>
        <v>GPS: I converted data downloaded from ARGOS using Pinpoint software</v>
      </c>
      <c r="H286" s="2" t="str">
        <f ca="1">IFERROR(__xludf.DUMMYFUNCTION("""COMPUTED_VALUE"""),"3D")</f>
        <v>3D</v>
      </c>
      <c r="I286" s="2" t="str">
        <f ca="1">IFERROR(__xludf.DUMMYFUNCTION("""COMPUTED_VALUE"""),"")</f>
        <v/>
      </c>
      <c r="J286" s="2" t="str">
        <f ca="1">IFERROR(__xludf.DUMMYFUNCTION("""COMPUTED_VALUE"""),"")</f>
        <v/>
      </c>
      <c r="K286" s="2" t="str">
        <f ca="1">IFERROR(__xludf.DUMMYFUNCTION("""COMPUTED_VALUE"""),"")</f>
        <v/>
      </c>
      <c r="L286" s="2" t="str">
        <f ca="1">IFERROR(__xludf.DUMMYFUNCTION("""COMPUTED_VALUE"""),"")</f>
        <v/>
      </c>
      <c r="M286" s="5" t="str">
        <f ca="1">IFERROR(__xludf.DUMMYFUNCTION("""COMPUTED_VALUE"""),"")</f>
        <v/>
      </c>
      <c r="N286" s="5" t="str">
        <f ca="1">IFERROR(__xludf.DUMMYFUNCTION("""COMPUTED_VALUE"""),"")</f>
        <v/>
      </c>
      <c r="O286" s="2" t="str">
        <f ca="1">IFERROR(__xludf.DUMMYFUNCTION("""COMPUTED_VALUE"""),"")</f>
        <v/>
      </c>
      <c r="P286" s="2" t="str">
        <f ca="1">IFERROR(__xludf.DUMMYFUNCTION("""COMPUTED_VALUE"""),"")</f>
        <v/>
      </c>
      <c r="Q286" s="2" t="str">
        <f ca="1">IFERROR(__xludf.DUMMYFUNCTION("""COMPUTED_VALUE"""),"")</f>
        <v/>
      </c>
      <c r="R286" s="2" t="str">
        <f ca="1">IFERROR(__xludf.DUMMYFUNCTION("""COMPUTED_VALUE"""),"")</f>
        <v/>
      </c>
      <c r="S286" s="2" t="str">
        <f ca="1">IFERROR(__xludf.DUMMYFUNCTION("""COMPUTED_VALUE"""),"")</f>
        <v/>
      </c>
      <c r="T286" s="2" t="str">
        <f ca="1">IFERROR(__xludf.DUMMYFUNCTION("""COMPUTED_VALUE"""),"")</f>
        <v/>
      </c>
      <c r="U286" s="2" t="str">
        <f ca="1">IFERROR(__xludf.DUMMYFUNCTION("""COMPUTED_VALUE"""),"")</f>
        <v/>
      </c>
      <c r="V286" s="2" t="str">
        <f ca="1">IFERROR(__xludf.DUMMYFUNCTION("""COMPUTED_VALUE"""),"")</f>
        <v/>
      </c>
      <c r="W286" s="2" t="str">
        <f ca="1">IFERROR(__xludf.DUMMYFUNCTION("""COMPUTED_VALUE"""),"")</f>
        <v/>
      </c>
      <c r="X286" s="2" t="str">
        <f ca="1">IFERROR(__xludf.DUMMYFUNCTION("""COMPUTED_VALUE"""),"")</f>
        <v/>
      </c>
      <c r="Y286" s="2" t="str">
        <f ca="1">IFERROR(__xludf.DUMMYFUNCTION("""COMPUTED_VALUE"""),"")</f>
        <v/>
      </c>
      <c r="Z286" s="2" t="str">
        <f ca="1">IFERROR(__xludf.DUMMYFUNCTION("""COMPUTED_VALUE"""),"")</f>
        <v/>
      </c>
      <c r="AA286" s="2" t="str">
        <f ca="1">IFERROR(__xludf.DUMMYFUNCTION("""COMPUTED_VALUE"""),"")</f>
        <v/>
      </c>
      <c r="AB286" s="2" t="str">
        <f ca="1">IFERROR(__xludf.DUMMYFUNCTION("""COMPUTED_VALUE"""),"")</f>
        <v/>
      </c>
      <c r="AC286" s="2" t="str">
        <f ca="1">IFERROR(__xludf.DUMMYFUNCTION("""COMPUTED_VALUE"""),"")</f>
        <v/>
      </c>
      <c r="AD286" s="2" t="str">
        <f ca="1">IFERROR(__xludf.DUMMYFUNCTION("""COMPUTED_VALUE"""),"")</f>
        <v/>
      </c>
      <c r="AE286" s="2" t="str">
        <f ca="1">IFERROR(__xludf.DUMMYFUNCTION("""COMPUTED_VALUE"""),"")</f>
        <v/>
      </c>
      <c r="AF286" s="2" t="str">
        <f ca="1">IFERROR(__xludf.DUMMYFUNCTION("""COMPUTED_VALUE"""),"")</f>
        <v/>
      </c>
      <c r="AG286" s="2" t="str">
        <f ca="1">IFERROR(__xludf.DUMMYFUNCTION("""COMPUTED_VALUE"""),"")</f>
        <v/>
      </c>
      <c r="AH286" s="2" t="str">
        <f ca="1">IFERROR(__xludf.DUMMYFUNCTION("""COMPUTED_VALUE"""),"")</f>
        <v/>
      </c>
      <c r="AI286" s="2" t="str">
        <f ca="1">IFERROR(__xludf.DUMMYFUNCTION("""COMPUTED_VALUE"""),"")</f>
        <v/>
      </c>
      <c r="AJ286" s="2" t="str">
        <f ca="1">IFERROR(__xludf.DUMMYFUNCTION("""COMPUTED_VALUE"""),"")</f>
        <v/>
      </c>
      <c r="AK286" s="2" t="str">
        <f ca="1">IFERROR(__xludf.DUMMYFUNCTION("""COMPUTED_VALUE"""),"")</f>
        <v/>
      </c>
      <c r="AL286" s="2" t="str">
        <f ca="1">IFERROR(__xludf.DUMMYFUNCTION("""COMPUTED_VALUE"""),"")</f>
        <v/>
      </c>
      <c r="AM286" s="2" t="str">
        <f ca="1">IFERROR(__xludf.DUMMYFUNCTION("""COMPUTED_VALUE"""),"")</f>
        <v/>
      </c>
      <c r="AN286" s="2" t="str">
        <f ca="1">IFERROR(__xludf.DUMMYFUNCTION("""COMPUTED_VALUE"""),"")</f>
        <v/>
      </c>
      <c r="AO286" s="2" t="str">
        <f ca="1">IFERROR(__xludf.DUMMYFUNCTION("""COMPUTED_VALUE"""),"")</f>
        <v/>
      </c>
      <c r="AP286" s="2" t="str">
        <f ca="1">IFERROR(__xludf.DUMMYFUNCTION("""COMPUTED_VALUE"""),"")</f>
        <v/>
      </c>
      <c r="AQ286" s="2" t="str">
        <f ca="1">IFERROR(__xludf.DUMMYFUNCTION("""COMPUTED_VALUE"""),"")</f>
        <v/>
      </c>
      <c r="AR286" s="2" t="str">
        <f ca="1">IFERROR(__xludf.DUMMYFUNCTION("""COMPUTED_VALUE"""),"")</f>
        <v/>
      </c>
      <c r="AS286" s="2" t="str">
        <f ca="1">IFERROR(__xludf.DUMMYFUNCTION("""COMPUTED_VALUE"""),"")</f>
        <v/>
      </c>
      <c r="AT286" s="2" t="str">
        <f ca="1">IFERROR(__xludf.DUMMYFUNCTION("""COMPUTED_VALUE"""),"")</f>
        <v/>
      </c>
      <c r="AU286" s="2" t="str">
        <f ca="1">IFERROR(__xludf.DUMMYFUNCTION("""COMPUTED_VALUE"""),"")</f>
        <v/>
      </c>
      <c r="AV286" s="2" t="str">
        <f ca="1">IFERROR(__xludf.DUMMYFUNCTION("""COMPUTED_VALUE"""),"")</f>
        <v/>
      </c>
      <c r="AW286" s="2" t="str">
        <f ca="1">IFERROR(__xludf.DUMMYFUNCTION("""COMPUTED_VALUE"""),"")</f>
        <v/>
      </c>
      <c r="AX286" s="2" t="str">
        <f ca="1">IFERROR(__xludf.DUMMYFUNCTION("""COMPUTED_VALUE"""),"")</f>
        <v/>
      </c>
      <c r="AY286" s="2" t="str">
        <f ca="1">IFERROR(__xludf.DUMMYFUNCTION("""COMPUTED_VALUE"""),"")</f>
        <v/>
      </c>
      <c r="AZ286" s="2" t="str">
        <f ca="1">IFERROR(__xludf.DUMMYFUNCTION("""COMPUTED_VALUE"""),"")</f>
        <v/>
      </c>
      <c r="BA286" s="2" t="str">
        <f ca="1">IFERROR(__xludf.DUMMYFUNCTION("""COMPUTED_VALUE"""),"")</f>
        <v/>
      </c>
      <c r="BB286" s="2" t="str">
        <f ca="1">IFERROR(__xludf.DUMMYFUNCTION("""COMPUTED_VALUE"""),"")</f>
        <v/>
      </c>
      <c r="BC286" s="2" t="str">
        <f ca="1">IFERROR(__xludf.DUMMYFUNCTION("""COMPUTED_VALUE"""),"")</f>
        <v/>
      </c>
      <c r="BD286" s="2" t="str">
        <f ca="1">IFERROR(__xludf.DUMMYFUNCTION("""COMPUTED_VALUE"""),"")</f>
        <v/>
      </c>
      <c r="BE286" s="2" t="str">
        <f ca="1">IFERROR(__xludf.DUMMYFUNCTION("""COMPUTED_VALUE"""),"")</f>
        <v/>
      </c>
      <c r="BF286" t="str">
        <f ca="1">IFERROR(__xludf.DUMMYFUNCTION("""COMPUTED_VALUE"""),"")</f>
        <v/>
      </c>
      <c r="BG286" t="str">
        <f ca="1">IFERROR(__xludf.DUMMYFUNCTION("""COMPUTED_VALUE"""),"")</f>
        <v/>
      </c>
      <c r="BH286" s="2">
        <f ca="1">IFERROR(__xludf.DUMMYFUNCTION("""COMPUTED_VALUE"""),-36.4605064)</f>
        <v>-36.4605064</v>
      </c>
      <c r="BI286" s="13">
        <f ca="1">IFERROR(__xludf.DUMMYFUNCTION("""COMPUTED_VALUE"""),174.1986389)</f>
        <v>174.19863889999999</v>
      </c>
      <c r="BJ286" s="9">
        <f ca="1">IFERROR(__xludf.DUMMYFUNCTION("""COMPUTED_VALUE"""),43392)</f>
        <v>43392</v>
      </c>
      <c r="BK286" s="4">
        <f ca="1">IFERROR(__xludf.DUMMYFUNCTION("""COMPUTED_VALUE"""),0.457777777777664)</f>
        <v>0.45777777777766399</v>
      </c>
    </row>
    <row r="287" spans="1:63" ht="12.5" x14ac:dyDescent="0.25">
      <c r="A287" s="7" t="str">
        <f ca="1">IFERROR(__xludf.DUMMYFUNCTION("""COMPUTED_VALUE"""),"")</f>
        <v/>
      </c>
      <c r="B287" s="8" t="str">
        <f ca="1">IFERROR(__xludf.DUMMYFUNCTION("""COMPUTED_VALUE"""),"Waikato")</f>
        <v>Waikato</v>
      </c>
      <c r="C287" s="2">
        <f ca="1">IFERROR(__xludf.DUMMYFUNCTION("""COMPUTED_VALUE"""),21)</f>
        <v>21</v>
      </c>
      <c r="D287" s="9" t="str">
        <f ca="1">IFERROR(__xludf.DUMMYFUNCTION("""COMPUTED_VALUE"""),"")</f>
        <v/>
      </c>
      <c r="E287" s="4" t="str">
        <f ca="1">IFERROR(__xludf.DUMMYFUNCTION("""COMPUTED_VALUE"""),"")</f>
        <v/>
      </c>
      <c r="F287" s="2" t="str">
        <f ca="1">IFERROR(__xludf.DUMMYFUNCTION("""COMPUTED_VALUE"""),"")</f>
        <v/>
      </c>
      <c r="G287" s="2" t="str">
        <f ca="1">IFERROR(__xludf.DUMMYFUNCTION("""COMPUTED_VALUE"""),"GPS: I converted data downloaded from ARGOS using Pinpoint software")</f>
        <v>GPS: I converted data downloaded from ARGOS using Pinpoint software</v>
      </c>
      <c r="H287" s="2" t="str">
        <f ca="1">IFERROR(__xludf.DUMMYFUNCTION("""COMPUTED_VALUE"""),"3D")</f>
        <v>3D</v>
      </c>
      <c r="I287" s="2" t="str">
        <f ca="1">IFERROR(__xludf.DUMMYFUNCTION("""COMPUTED_VALUE"""),"")</f>
        <v/>
      </c>
      <c r="J287" s="2" t="str">
        <f ca="1">IFERROR(__xludf.DUMMYFUNCTION("""COMPUTED_VALUE"""),"")</f>
        <v/>
      </c>
      <c r="K287" s="2" t="str">
        <f ca="1">IFERROR(__xludf.DUMMYFUNCTION("""COMPUTED_VALUE"""),"")</f>
        <v/>
      </c>
      <c r="L287" s="2" t="str">
        <f ca="1">IFERROR(__xludf.DUMMYFUNCTION("""COMPUTED_VALUE"""),"")</f>
        <v/>
      </c>
      <c r="M287" s="5" t="str">
        <f ca="1">IFERROR(__xludf.DUMMYFUNCTION("""COMPUTED_VALUE"""),"")</f>
        <v/>
      </c>
      <c r="N287" s="5" t="str">
        <f ca="1">IFERROR(__xludf.DUMMYFUNCTION("""COMPUTED_VALUE"""),"")</f>
        <v/>
      </c>
      <c r="O287" s="2" t="str">
        <f ca="1">IFERROR(__xludf.DUMMYFUNCTION("""COMPUTED_VALUE"""),"")</f>
        <v/>
      </c>
      <c r="P287" s="2" t="str">
        <f ca="1">IFERROR(__xludf.DUMMYFUNCTION("""COMPUTED_VALUE"""),"")</f>
        <v/>
      </c>
      <c r="Q287" s="2" t="str">
        <f ca="1">IFERROR(__xludf.DUMMYFUNCTION("""COMPUTED_VALUE"""),"")</f>
        <v/>
      </c>
      <c r="R287" s="2" t="str">
        <f ca="1">IFERROR(__xludf.DUMMYFUNCTION("""COMPUTED_VALUE"""),"")</f>
        <v/>
      </c>
      <c r="S287" s="2" t="str">
        <f ca="1">IFERROR(__xludf.DUMMYFUNCTION("""COMPUTED_VALUE"""),"")</f>
        <v/>
      </c>
      <c r="T287" s="2" t="str">
        <f ca="1">IFERROR(__xludf.DUMMYFUNCTION("""COMPUTED_VALUE"""),"")</f>
        <v/>
      </c>
      <c r="U287" s="2" t="str">
        <f ca="1">IFERROR(__xludf.DUMMYFUNCTION("""COMPUTED_VALUE"""),"")</f>
        <v/>
      </c>
      <c r="V287" s="2" t="str">
        <f ca="1">IFERROR(__xludf.DUMMYFUNCTION("""COMPUTED_VALUE"""),"")</f>
        <v/>
      </c>
      <c r="W287" s="2" t="str">
        <f ca="1">IFERROR(__xludf.DUMMYFUNCTION("""COMPUTED_VALUE"""),"")</f>
        <v/>
      </c>
      <c r="X287" s="2" t="str">
        <f ca="1">IFERROR(__xludf.DUMMYFUNCTION("""COMPUTED_VALUE"""),"")</f>
        <v/>
      </c>
      <c r="Y287" s="2" t="str">
        <f ca="1">IFERROR(__xludf.DUMMYFUNCTION("""COMPUTED_VALUE"""),"")</f>
        <v/>
      </c>
      <c r="Z287" s="2" t="str">
        <f ca="1">IFERROR(__xludf.DUMMYFUNCTION("""COMPUTED_VALUE"""),"")</f>
        <v/>
      </c>
      <c r="AA287" s="2" t="str">
        <f ca="1">IFERROR(__xludf.DUMMYFUNCTION("""COMPUTED_VALUE"""),"")</f>
        <v/>
      </c>
      <c r="AB287" s="2" t="str">
        <f ca="1">IFERROR(__xludf.DUMMYFUNCTION("""COMPUTED_VALUE"""),"")</f>
        <v/>
      </c>
      <c r="AC287" s="2" t="str">
        <f ca="1">IFERROR(__xludf.DUMMYFUNCTION("""COMPUTED_VALUE"""),"")</f>
        <v/>
      </c>
      <c r="AD287" s="2" t="str">
        <f ca="1">IFERROR(__xludf.DUMMYFUNCTION("""COMPUTED_VALUE"""),"")</f>
        <v/>
      </c>
      <c r="AE287" s="2" t="str">
        <f ca="1">IFERROR(__xludf.DUMMYFUNCTION("""COMPUTED_VALUE"""),"")</f>
        <v/>
      </c>
      <c r="AF287" s="2" t="str">
        <f ca="1">IFERROR(__xludf.DUMMYFUNCTION("""COMPUTED_VALUE"""),"")</f>
        <v/>
      </c>
      <c r="AG287" s="2" t="str">
        <f ca="1">IFERROR(__xludf.DUMMYFUNCTION("""COMPUTED_VALUE"""),"")</f>
        <v/>
      </c>
      <c r="AH287" s="2" t="str">
        <f ca="1">IFERROR(__xludf.DUMMYFUNCTION("""COMPUTED_VALUE"""),"")</f>
        <v/>
      </c>
      <c r="AI287" s="2" t="str">
        <f ca="1">IFERROR(__xludf.DUMMYFUNCTION("""COMPUTED_VALUE"""),"")</f>
        <v/>
      </c>
      <c r="AJ287" s="2" t="str">
        <f ca="1">IFERROR(__xludf.DUMMYFUNCTION("""COMPUTED_VALUE"""),"")</f>
        <v/>
      </c>
      <c r="AK287" s="2" t="str">
        <f ca="1">IFERROR(__xludf.DUMMYFUNCTION("""COMPUTED_VALUE"""),"")</f>
        <v/>
      </c>
      <c r="AL287" s="2" t="str">
        <f ca="1">IFERROR(__xludf.DUMMYFUNCTION("""COMPUTED_VALUE"""),"")</f>
        <v/>
      </c>
      <c r="AM287" s="2" t="str">
        <f ca="1">IFERROR(__xludf.DUMMYFUNCTION("""COMPUTED_VALUE"""),"")</f>
        <v/>
      </c>
      <c r="AN287" s="2" t="str">
        <f ca="1">IFERROR(__xludf.DUMMYFUNCTION("""COMPUTED_VALUE"""),"")</f>
        <v/>
      </c>
      <c r="AO287" s="2" t="str">
        <f ca="1">IFERROR(__xludf.DUMMYFUNCTION("""COMPUTED_VALUE"""),"")</f>
        <v/>
      </c>
      <c r="AP287" s="2" t="str">
        <f ca="1">IFERROR(__xludf.DUMMYFUNCTION("""COMPUTED_VALUE"""),"")</f>
        <v/>
      </c>
      <c r="AQ287" s="2" t="str">
        <f ca="1">IFERROR(__xludf.DUMMYFUNCTION("""COMPUTED_VALUE"""),"")</f>
        <v/>
      </c>
      <c r="AR287" s="2" t="str">
        <f ca="1">IFERROR(__xludf.DUMMYFUNCTION("""COMPUTED_VALUE"""),"")</f>
        <v/>
      </c>
      <c r="AS287" s="2" t="str">
        <f ca="1">IFERROR(__xludf.DUMMYFUNCTION("""COMPUTED_VALUE"""),"")</f>
        <v/>
      </c>
      <c r="AT287" s="2" t="str">
        <f ca="1">IFERROR(__xludf.DUMMYFUNCTION("""COMPUTED_VALUE"""),"")</f>
        <v/>
      </c>
      <c r="AU287" s="2" t="str">
        <f ca="1">IFERROR(__xludf.DUMMYFUNCTION("""COMPUTED_VALUE"""),"")</f>
        <v/>
      </c>
      <c r="AV287" s="2" t="str">
        <f ca="1">IFERROR(__xludf.DUMMYFUNCTION("""COMPUTED_VALUE"""),"")</f>
        <v/>
      </c>
      <c r="AW287" s="2" t="str">
        <f ca="1">IFERROR(__xludf.DUMMYFUNCTION("""COMPUTED_VALUE"""),"")</f>
        <v/>
      </c>
      <c r="AX287" s="2" t="str">
        <f ca="1">IFERROR(__xludf.DUMMYFUNCTION("""COMPUTED_VALUE"""),"")</f>
        <v/>
      </c>
      <c r="AY287" s="2" t="str">
        <f ca="1">IFERROR(__xludf.DUMMYFUNCTION("""COMPUTED_VALUE"""),"")</f>
        <v/>
      </c>
      <c r="AZ287" s="2" t="str">
        <f ca="1">IFERROR(__xludf.DUMMYFUNCTION("""COMPUTED_VALUE"""),"")</f>
        <v/>
      </c>
      <c r="BA287" s="2" t="str">
        <f ca="1">IFERROR(__xludf.DUMMYFUNCTION("""COMPUTED_VALUE"""),"")</f>
        <v/>
      </c>
      <c r="BB287" s="2" t="str">
        <f ca="1">IFERROR(__xludf.DUMMYFUNCTION("""COMPUTED_VALUE"""),"")</f>
        <v/>
      </c>
      <c r="BC287" s="2" t="str">
        <f ca="1">IFERROR(__xludf.DUMMYFUNCTION("""COMPUTED_VALUE"""),"")</f>
        <v/>
      </c>
      <c r="BD287" s="2" t="str">
        <f ca="1">IFERROR(__xludf.DUMMYFUNCTION("""COMPUTED_VALUE"""),"")</f>
        <v/>
      </c>
      <c r="BE287" s="2" t="str">
        <f ca="1">IFERROR(__xludf.DUMMYFUNCTION("""COMPUTED_VALUE"""),"")</f>
        <v/>
      </c>
      <c r="BF287" t="str">
        <f ca="1">IFERROR(__xludf.DUMMYFUNCTION("""COMPUTED_VALUE"""),"")</f>
        <v/>
      </c>
      <c r="BG287" t="str">
        <f ca="1">IFERROR(__xludf.DUMMYFUNCTION("""COMPUTED_VALUE"""),"")</f>
        <v/>
      </c>
      <c r="BH287" s="2">
        <f ca="1">IFERROR(__xludf.DUMMYFUNCTION("""COMPUTED_VALUE"""),-36.4621696)</f>
        <v>-36.462169600000003</v>
      </c>
      <c r="BI287" s="12">
        <f ca="1">IFERROR(__xludf.DUMMYFUNCTION("""COMPUTED_VALUE"""),174.1979828)</f>
        <v>174.19798280000001</v>
      </c>
      <c r="BJ287" s="9">
        <f ca="1">IFERROR(__xludf.DUMMYFUNCTION("""COMPUTED_VALUE"""),43392)</f>
        <v>43392</v>
      </c>
      <c r="BK287" s="4">
        <f ca="1">IFERROR(__xludf.DUMMYFUNCTION("""COMPUTED_VALUE"""),0.875555555554456)</f>
        <v>0.87555555555445597</v>
      </c>
    </row>
    <row r="288" spans="1:63" ht="12.5" x14ac:dyDescent="0.25">
      <c r="A288" s="7" t="str">
        <f ca="1">IFERROR(__xludf.DUMMYFUNCTION("""COMPUTED_VALUE"""),"")</f>
        <v/>
      </c>
      <c r="B288" s="8" t="str">
        <f ca="1">IFERROR(__xludf.DUMMYFUNCTION("""COMPUTED_VALUE"""),"Waikato")</f>
        <v>Waikato</v>
      </c>
      <c r="C288" s="2">
        <f ca="1">IFERROR(__xludf.DUMMYFUNCTION("""COMPUTED_VALUE"""),21)</f>
        <v>21</v>
      </c>
      <c r="D288" s="9" t="str">
        <f ca="1">IFERROR(__xludf.DUMMYFUNCTION("""COMPUTED_VALUE"""),"")</f>
        <v/>
      </c>
      <c r="E288" s="4" t="str">
        <f ca="1">IFERROR(__xludf.DUMMYFUNCTION("""COMPUTED_VALUE"""),"")</f>
        <v/>
      </c>
      <c r="F288" s="2" t="str">
        <f ca="1">IFERROR(__xludf.DUMMYFUNCTION("""COMPUTED_VALUE"""),"")</f>
        <v/>
      </c>
      <c r="G288" s="2" t="str">
        <f ca="1">IFERROR(__xludf.DUMMYFUNCTION("""COMPUTED_VALUE"""),"GPS: I converted data downloaded from ARGOS using Pinpoint software")</f>
        <v>GPS: I converted data downloaded from ARGOS using Pinpoint software</v>
      </c>
      <c r="H288" s="2" t="str">
        <f ca="1">IFERROR(__xludf.DUMMYFUNCTION("""COMPUTED_VALUE"""),"3D")</f>
        <v>3D</v>
      </c>
      <c r="I288" s="2" t="str">
        <f ca="1">IFERROR(__xludf.DUMMYFUNCTION("""COMPUTED_VALUE"""),"")</f>
        <v/>
      </c>
      <c r="J288" s="2" t="str">
        <f ca="1">IFERROR(__xludf.DUMMYFUNCTION("""COMPUTED_VALUE"""),"")</f>
        <v/>
      </c>
      <c r="K288" s="2" t="str">
        <f ca="1">IFERROR(__xludf.DUMMYFUNCTION("""COMPUTED_VALUE"""),"")</f>
        <v/>
      </c>
      <c r="L288" s="2" t="str">
        <f ca="1">IFERROR(__xludf.DUMMYFUNCTION("""COMPUTED_VALUE"""),"")</f>
        <v/>
      </c>
      <c r="M288" s="5" t="str">
        <f ca="1">IFERROR(__xludf.DUMMYFUNCTION("""COMPUTED_VALUE"""),"")</f>
        <v/>
      </c>
      <c r="N288" s="5" t="str">
        <f ca="1">IFERROR(__xludf.DUMMYFUNCTION("""COMPUTED_VALUE"""),"")</f>
        <v/>
      </c>
      <c r="O288" s="2" t="str">
        <f ca="1">IFERROR(__xludf.DUMMYFUNCTION("""COMPUTED_VALUE"""),"")</f>
        <v/>
      </c>
      <c r="P288" s="2" t="str">
        <f ca="1">IFERROR(__xludf.DUMMYFUNCTION("""COMPUTED_VALUE"""),"")</f>
        <v/>
      </c>
      <c r="Q288" s="2" t="str">
        <f ca="1">IFERROR(__xludf.DUMMYFUNCTION("""COMPUTED_VALUE"""),"")</f>
        <v/>
      </c>
      <c r="R288" s="2" t="str">
        <f ca="1">IFERROR(__xludf.DUMMYFUNCTION("""COMPUTED_VALUE"""),"")</f>
        <v/>
      </c>
      <c r="S288" s="2" t="str">
        <f ca="1">IFERROR(__xludf.DUMMYFUNCTION("""COMPUTED_VALUE"""),"")</f>
        <v/>
      </c>
      <c r="T288" s="2" t="str">
        <f ca="1">IFERROR(__xludf.DUMMYFUNCTION("""COMPUTED_VALUE"""),"")</f>
        <v/>
      </c>
      <c r="U288" s="2" t="str">
        <f ca="1">IFERROR(__xludf.DUMMYFUNCTION("""COMPUTED_VALUE"""),"")</f>
        <v/>
      </c>
      <c r="V288" s="2" t="str">
        <f ca="1">IFERROR(__xludf.DUMMYFUNCTION("""COMPUTED_VALUE"""),"")</f>
        <v/>
      </c>
      <c r="W288" s="2" t="str">
        <f ca="1">IFERROR(__xludf.DUMMYFUNCTION("""COMPUTED_VALUE"""),"")</f>
        <v/>
      </c>
      <c r="X288" s="2" t="str">
        <f ca="1">IFERROR(__xludf.DUMMYFUNCTION("""COMPUTED_VALUE"""),"")</f>
        <v/>
      </c>
      <c r="Y288" s="2" t="str">
        <f ca="1">IFERROR(__xludf.DUMMYFUNCTION("""COMPUTED_VALUE"""),"")</f>
        <v/>
      </c>
      <c r="Z288" s="2" t="str">
        <f ca="1">IFERROR(__xludf.DUMMYFUNCTION("""COMPUTED_VALUE"""),"")</f>
        <v/>
      </c>
      <c r="AA288" s="2" t="str">
        <f ca="1">IFERROR(__xludf.DUMMYFUNCTION("""COMPUTED_VALUE"""),"")</f>
        <v/>
      </c>
      <c r="AB288" s="2" t="str">
        <f ca="1">IFERROR(__xludf.DUMMYFUNCTION("""COMPUTED_VALUE"""),"")</f>
        <v/>
      </c>
      <c r="AC288" s="2" t="str">
        <f ca="1">IFERROR(__xludf.DUMMYFUNCTION("""COMPUTED_VALUE"""),"")</f>
        <v/>
      </c>
      <c r="AD288" s="2" t="str">
        <f ca="1">IFERROR(__xludf.DUMMYFUNCTION("""COMPUTED_VALUE"""),"")</f>
        <v/>
      </c>
      <c r="AE288" s="2" t="str">
        <f ca="1">IFERROR(__xludf.DUMMYFUNCTION("""COMPUTED_VALUE"""),"")</f>
        <v/>
      </c>
      <c r="AF288" s="2" t="str">
        <f ca="1">IFERROR(__xludf.DUMMYFUNCTION("""COMPUTED_VALUE"""),"")</f>
        <v/>
      </c>
      <c r="AG288" s="2" t="str">
        <f ca="1">IFERROR(__xludf.DUMMYFUNCTION("""COMPUTED_VALUE"""),"")</f>
        <v/>
      </c>
      <c r="AH288" s="2" t="str">
        <f ca="1">IFERROR(__xludf.DUMMYFUNCTION("""COMPUTED_VALUE"""),"")</f>
        <v/>
      </c>
      <c r="AI288" s="2" t="str">
        <f ca="1">IFERROR(__xludf.DUMMYFUNCTION("""COMPUTED_VALUE"""),"")</f>
        <v/>
      </c>
      <c r="AJ288" s="2" t="str">
        <f ca="1">IFERROR(__xludf.DUMMYFUNCTION("""COMPUTED_VALUE"""),"")</f>
        <v/>
      </c>
      <c r="AK288" s="2" t="str">
        <f ca="1">IFERROR(__xludf.DUMMYFUNCTION("""COMPUTED_VALUE"""),"")</f>
        <v/>
      </c>
      <c r="AL288" s="2" t="str">
        <f ca="1">IFERROR(__xludf.DUMMYFUNCTION("""COMPUTED_VALUE"""),"")</f>
        <v/>
      </c>
      <c r="AM288" s="2" t="str">
        <f ca="1">IFERROR(__xludf.DUMMYFUNCTION("""COMPUTED_VALUE"""),"")</f>
        <v/>
      </c>
      <c r="AN288" s="2" t="str">
        <f ca="1">IFERROR(__xludf.DUMMYFUNCTION("""COMPUTED_VALUE"""),"")</f>
        <v/>
      </c>
      <c r="AO288" s="2" t="str">
        <f ca="1">IFERROR(__xludf.DUMMYFUNCTION("""COMPUTED_VALUE"""),"")</f>
        <v/>
      </c>
      <c r="AP288" s="2" t="str">
        <f ca="1">IFERROR(__xludf.DUMMYFUNCTION("""COMPUTED_VALUE"""),"")</f>
        <v/>
      </c>
      <c r="AQ288" s="2" t="str">
        <f ca="1">IFERROR(__xludf.DUMMYFUNCTION("""COMPUTED_VALUE"""),"")</f>
        <v/>
      </c>
      <c r="AR288" s="2" t="str">
        <f ca="1">IFERROR(__xludf.DUMMYFUNCTION("""COMPUTED_VALUE"""),"")</f>
        <v/>
      </c>
      <c r="AS288" s="2" t="str">
        <f ca="1">IFERROR(__xludf.DUMMYFUNCTION("""COMPUTED_VALUE"""),"")</f>
        <v/>
      </c>
      <c r="AT288" s="2" t="str">
        <f ca="1">IFERROR(__xludf.DUMMYFUNCTION("""COMPUTED_VALUE"""),"")</f>
        <v/>
      </c>
      <c r="AU288" s="2" t="str">
        <f ca="1">IFERROR(__xludf.DUMMYFUNCTION("""COMPUTED_VALUE"""),"")</f>
        <v/>
      </c>
      <c r="AV288" s="2" t="str">
        <f ca="1">IFERROR(__xludf.DUMMYFUNCTION("""COMPUTED_VALUE"""),"")</f>
        <v/>
      </c>
      <c r="AW288" s="2" t="str">
        <f ca="1">IFERROR(__xludf.DUMMYFUNCTION("""COMPUTED_VALUE"""),"")</f>
        <v/>
      </c>
      <c r="AX288" s="2" t="str">
        <f ca="1">IFERROR(__xludf.DUMMYFUNCTION("""COMPUTED_VALUE"""),"")</f>
        <v/>
      </c>
      <c r="AY288" s="2" t="str">
        <f ca="1">IFERROR(__xludf.DUMMYFUNCTION("""COMPUTED_VALUE"""),"")</f>
        <v/>
      </c>
      <c r="AZ288" s="2" t="str">
        <f ca="1">IFERROR(__xludf.DUMMYFUNCTION("""COMPUTED_VALUE"""),"")</f>
        <v/>
      </c>
      <c r="BA288" s="2" t="str">
        <f ca="1">IFERROR(__xludf.DUMMYFUNCTION("""COMPUTED_VALUE"""),"")</f>
        <v/>
      </c>
      <c r="BB288" s="2" t="str">
        <f ca="1">IFERROR(__xludf.DUMMYFUNCTION("""COMPUTED_VALUE"""),"")</f>
        <v/>
      </c>
      <c r="BC288" s="2" t="str">
        <f ca="1">IFERROR(__xludf.DUMMYFUNCTION("""COMPUTED_VALUE"""),"")</f>
        <v/>
      </c>
      <c r="BD288" s="2" t="str">
        <f ca="1">IFERROR(__xludf.DUMMYFUNCTION("""COMPUTED_VALUE"""),"")</f>
        <v/>
      </c>
      <c r="BE288" s="2" t="str">
        <f ca="1">IFERROR(__xludf.DUMMYFUNCTION("""COMPUTED_VALUE"""),"")</f>
        <v/>
      </c>
      <c r="BF288" t="str">
        <f ca="1">IFERROR(__xludf.DUMMYFUNCTION("""COMPUTED_VALUE"""),"")</f>
        <v/>
      </c>
      <c r="BG288" t="str">
        <f ca="1">IFERROR(__xludf.DUMMYFUNCTION("""COMPUTED_VALUE"""),"")</f>
        <v/>
      </c>
      <c r="BH288" s="2">
        <f ca="1">IFERROR(__xludf.DUMMYFUNCTION("""COMPUTED_VALUE"""),-36.4619141)</f>
        <v>-36.461914100000001</v>
      </c>
      <c r="BI288" s="13">
        <f ca="1">IFERROR(__xludf.DUMMYFUNCTION("""COMPUTED_VALUE"""),174.1979218)</f>
        <v>174.19792179999999</v>
      </c>
      <c r="BJ288" s="9">
        <f ca="1">IFERROR(__xludf.DUMMYFUNCTION("""COMPUTED_VALUE"""),43392)</f>
        <v>43392</v>
      </c>
      <c r="BK288" s="4">
        <f ca="1">IFERROR(__xludf.DUMMYFUNCTION("""COMPUTED_VALUE"""),0.958518518516939)</f>
        <v>0.95851851851693903</v>
      </c>
    </row>
    <row r="289" spans="1:63" ht="12.5" x14ac:dyDescent="0.25">
      <c r="A289" s="7" t="str">
        <f ca="1">IFERROR(__xludf.DUMMYFUNCTION("""COMPUTED_VALUE"""),"")</f>
        <v/>
      </c>
      <c r="B289" s="8" t="str">
        <f ca="1">IFERROR(__xludf.DUMMYFUNCTION("""COMPUTED_VALUE"""),"Waikato")</f>
        <v>Waikato</v>
      </c>
      <c r="C289" s="2">
        <f ca="1">IFERROR(__xludf.DUMMYFUNCTION("""COMPUTED_VALUE"""),21)</f>
        <v>21</v>
      </c>
      <c r="D289" s="9" t="str">
        <f ca="1">IFERROR(__xludf.DUMMYFUNCTION("""COMPUTED_VALUE"""),"")</f>
        <v/>
      </c>
      <c r="E289" s="4" t="str">
        <f ca="1">IFERROR(__xludf.DUMMYFUNCTION("""COMPUTED_VALUE"""),"")</f>
        <v/>
      </c>
      <c r="F289" s="2" t="str">
        <f ca="1">IFERROR(__xludf.DUMMYFUNCTION("""COMPUTED_VALUE"""),"")</f>
        <v/>
      </c>
      <c r="G289" s="2" t="str">
        <f ca="1">IFERROR(__xludf.DUMMYFUNCTION("""COMPUTED_VALUE"""),"GPS: I converted data downloaded from ARGOS using Pinpoint software")</f>
        <v>GPS: I converted data downloaded from ARGOS using Pinpoint software</v>
      </c>
      <c r="H289" s="2" t="str">
        <f ca="1">IFERROR(__xludf.DUMMYFUNCTION("""COMPUTED_VALUE"""),"3D")</f>
        <v>3D</v>
      </c>
      <c r="I289" s="2" t="str">
        <f ca="1">IFERROR(__xludf.DUMMYFUNCTION("""COMPUTED_VALUE"""),"")</f>
        <v/>
      </c>
      <c r="J289" s="2" t="str">
        <f ca="1">IFERROR(__xludf.DUMMYFUNCTION("""COMPUTED_VALUE"""),"")</f>
        <v/>
      </c>
      <c r="K289" s="2" t="str">
        <f ca="1">IFERROR(__xludf.DUMMYFUNCTION("""COMPUTED_VALUE"""),"")</f>
        <v/>
      </c>
      <c r="L289" s="2" t="str">
        <f ca="1">IFERROR(__xludf.DUMMYFUNCTION("""COMPUTED_VALUE"""),"")</f>
        <v/>
      </c>
      <c r="M289" s="5" t="str">
        <f ca="1">IFERROR(__xludf.DUMMYFUNCTION("""COMPUTED_VALUE"""),"")</f>
        <v/>
      </c>
      <c r="N289" s="5" t="str">
        <f ca="1">IFERROR(__xludf.DUMMYFUNCTION("""COMPUTED_VALUE"""),"")</f>
        <v/>
      </c>
      <c r="O289" s="2" t="str">
        <f ca="1">IFERROR(__xludf.DUMMYFUNCTION("""COMPUTED_VALUE"""),"")</f>
        <v/>
      </c>
      <c r="P289" s="2" t="str">
        <f ca="1">IFERROR(__xludf.DUMMYFUNCTION("""COMPUTED_VALUE"""),"")</f>
        <v/>
      </c>
      <c r="Q289" s="2" t="str">
        <f ca="1">IFERROR(__xludf.DUMMYFUNCTION("""COMPUTED_VALUE"""),"")</f>
        <v/>
      </c>
      <c r="R289" s="2" t="str">
        <f ca="1">IFERROR(__xludf.DUMMYFUNCTION("""COMPUTED_VALUE"""),"")</f>
        <v/>
      </c>
      <c r="S289" s="2" t="str">
        <f ca="1">IFERROR(__xludf.DUMMYFUNCTION("""COMPUTED_VALUE"""),"")</f>
        <v/>
      </c>
      <c r="T289" s="2" t="str">
        <f ca="1">IFERROR(__xludf.DUMMYFUNCTION("""COMPUTED_VALUE"""),"")</f>
        <v/>
      </c>
      <c r="U289" s="2" t="str">
        <f ca="1">IFERROR(__xludf.DUMMYFUNCTION("""COMPUTED_VALUE"""),"")</f>
        <v/>
      </c>
      <c r="V289" s="2" t="str">
        <f ca="1">IFERROR(__xludf.DUMMYFUNCTION("""COMPUTED_VALUE"""),"")</f>
        <v/>
      </c>
      <c r="W289" s="2" t="str">
        <f ca="1">IFERROR(__xludf.DUMMYFUNCTION("""COMPUTED_VALUE"""),"")</f>
        <v/>
      </c>
      <c r="X289" s="2" t="str">
        <f ca="1">IFERROR(__xludf.DUMMYFUNCTION("""COMPUTED_VALUE"""),"")</f>
        <v/>
      </c>
      <c r="Y289" s="2" t="str">
        <f ca="1">IFERROR(__xludf.DUMMYFUNCTION("""COMPUTED_VALUE"""),"")</f>
        <v/>
      </c>
      <c r="Z289" s="2" t="str">
        <f ca="1">IFERROR(__xludf.DUMMYFUNCTION("""COMPUTED_VALUE"""),"")</f>
        <v/>
      </c>
      <c r="AA289" s="2" t="str">
        <f ca="1">IFERROR(__xludf.DUMMYFUNCTION("""COMPUTED_VALUE"""),"")</f>
        <v/>
      </c>
      <c r="AB289" s="2" t="str">
        <f ca="1">IFERROR(__xludf.DUMMYFUNCTION("""COMPUTED_VALUE"""),"")</f>
        <v/>
      </c>
      <c r="AC289" s="2" t="str">
        <f ca="1">IFERROR(__xludf.DUMMYFUNCTION("""COMPUTED_VALUE"""),"")</f>
        <v/>
      </c>
      <c r="AD289" s="2" t="str">
        <f ca="1">IFERROR(__xludf.DUMMYFUNCTION("""COMPUTED_VALUE"""),"")</f>
        <v/>
      </c>
      <c r="AE289" s="2" t="str">
        <f ca="1">IFERROR(__xludf.DUMMYFUNCTION("""COMPUTED_VALUE"""),"")</f>
        <v/>
      </c>
      <c r="AF289" s="2" t="str">
        <f ca="1">IFERROR(__xludf.DUMMYFUNCTION("""COMPUTED_VALUE"""),"")</f>
        <v/>
      </c>
      <c r="AG289" s="2" t="str">
        <f ca="1">IFERROR(__xludf.DUMMYFUNCTION("""COMPUTED_VALUE"""),"")</f>
        <v/>
      </c>
      <c r="AH289" s="2" t="str">
        <f ca="1">IFERROR(__xludf.DUMMYFUNCTION("""COMPUTED_VALUE"""),"")</f>
        <v/>
      </c>
      <c r="AI289" s="2" t="str">
        <f ca="1">IFERROR(__xludf.DUMMYFUNCTION("""COMPUTED_VALUE"""),"")</f>
        <v/>
      </c>
      <c r="AJ289" s="2" t="str">
        <f ca="1">IFERROR(__xludf.DUMMYFUNCTION("""COMPUTED_VALUE"""),"")</f>
        <v/>
      </c>
      <c r="AK289" s="2" t="str">
        <f ca="1">IFERROR(__xludf.DUMMYFUNCTION("""COMPUTED_VALUE"""),"")</f>
        <v/>
      </c>
      <c r="AL289" s="2" t="str">
        <f ca="1">IFERROR(__xludf.DUMMYFUNCTION("""COMPUTED_VALUE"""),"")</f>
        <v/>
      </c>
      <c r="AM289" s="2" t="str">
        <f ca="1">IFERROR(__xludf.DUMMYFUNCTION("""COMPUTED_VALUE"""),"")</f>
        <v/>
      </c>
      <c r="AN289" s="2" t="str">
        <f ca="1">IFERROR(__xludf.DUMMYFUNCTION("""COMPUTED_VALUE"""),"")</f>
        <v/>
      </c>
      <c r="AO289" s="2" t="str">
        <f ca="1">IFERROR(__xludf.DUMMYFUNCTION("""COMPUTED_VALUE"""),"")</f>
        <v/>
      </c>
      <c r="AP289" s="2" t="str">
        <f ca="1">IFERROR(__xludf.DUMMYFUNCTION("""COMPUTED_VALUE"""),"")</f>
        <v/>
      </c>
      <c r="AQ289" s="2" t="str">
        <f ca="1">IFERROR(__xludf.DUMMYFUNCTION("""COMPUTED_VALUE"""),"")</f>
        <v/>
      </c>
      <c r="AR289" s="2" t="str">
        <f ca="1">IFERROR(__xludf.DUMMYFUNCTION("""COMPUTED_VALUE"""),"")</f>
        <v/>
      </c>
      <c r="AS289" s="2" t="str">
        <f ca="1">IFERROR(__xludf.DUMMYFUNCTION("""COMPUTED_VALUE"""),"")</f>
        <v/>
      </c>
      <c r="AT289" s="2" t="str">
        <f ca="1">IFERROR(__xludf.DUMMYFUNCTION("""COMPUTED_VALUE"""),"")</f>
        <v/>
      </c>
      <c r="AU289" s="2" t="str">
        <f ca="1">IFERROR(__xludf.DUMMYFUNCTION("""COMPUTED_VALUE"""),"")</f>
        <v/>
      </c>
      <c r="AV289" s="2" t="str">
        <f ca="1">IFERROR(__xludf.DUMMYFUNCTION("""COMPUTED_VALUE"""),"")</f>
        <v/>
      </c>
      <c r="AW289" s="2" t="str">
        <f ca="1">IFERROR(__xludf.DUMMYFUNCTION("""COMPUTED_VALUE"""),"")</f>
        <v/>
      </c>
      <c r="AX289" s="2" t="str">
        <f ca="1">IFERROR(__xludf.DUMMYFUNCTION("""COMPUTED_VALUE"""),"")</f>
        <v/>
      </c>
      <c r="AY289" s="2" t="str">
        <f ca="1">IFERROR(__xludf.DUMMYFUNCTION("""COMPUTED_VALUE"""),"")</f>
        <v/>
      </c>
      <c r="AZ289" s="2" t="str">
        <f ca="1">IFERROR(__xludf.DUMMYFUNCTION("""COMPUTED_VALUE"""),"")</f>
        <v/>
      </c>
      <c r="BA289" s="2" t="str">
        <f ca="1">IFERROR(__xludf.DUMMYFUNCTION("""COMPUTED_VALUE"""),"")</f>
        <v/>
      </c>
      <c r="BB289" s="2" t="str">
        <f ca="1">IFERROR(__xludf.DUMMYFUNCTION("""COMPUTED_VALUE"""),"")</f>
        <v/>
      </c>
      <c r="BC289" s="2" t="str">
        <f ca="1">IFERROR(__xludf.DUMMYFUNCTION("""COMPUTED_VALUE"""),"")</f>
        <v/>
      </c>
      <c r="BD289" s="2" t="str">
        <f ca="1">IFERROR(__xludf.DUMMYFUNCTION("""COMPUTED_VALUE"""),"")</f>
        <v/>
      </c>
      <c r="BE289" s="2" t="str">
        <f ca="1">IFERROR(__xludf.DUMMYFUNCTION("""COMPUTED_VALUE"""),"")</f>
        <v/>
      </c>
      <c r="BF289" t="str">
        <f ca="1">IFERROR(__xludf.DUMMYFUNCTION("""COMPUTED_VALUE"""),"")</f>
        <v/>
      </c>
      <c r="BG289" t="str">
        <f ca="1">IFERROR(__xludf.DUMMYFUNCTION("""COMPUTED_VALUE"""),"")</f>
        <v/>
      </c>
      <c r="BH289" s="2">
        <f ca="1">IFERROR(__xludf.DUMMYFUNCTION("""COMPUTED_VALUE"""),-36.5226898)</f>
        <v>-36.522689800000002</v>
      </c>
      <c r="BI289" s="12">
        <f ca="1">IFERROR(__xludf.DUMMYFUNCTION("""COMPUTED_VALUE"""),174.2449493)</f>
        <v>174.2449493</v>
      </c>
      <c r="BJ289" s="9">
        <f ca="1">IFERROR(__xludf.DUMMYFUNCTION("""COMPUTED_VALUE"""),43394)</f>
        <v>43394</v>
      </c>
      <c r="BK289" s="4">
        <f ca="1">IFERROR(__xludf.DUMMYFUNCTION("""COMPUTED_VALUE"""),0.457777777777664)</f>
        <v>0.45777777777766399</v>
      </c>
    </row>
    <row r="290" spans="1:63" ht="12.5" x14ac:dyDescent="0.25">
      <c r="A290" s="7" t="str">
        <f ca="1">IFERROR(__xludf.DUMMYFUNCTION("""COMPUTED_VALUE"""),"")</f>
        <v/>
      </c>
      <c r="B290" s="8" t="str">
        <f ca="1">IFERROR(__xludf.DUMMYFUNCTION("""COMPUTED_VALUE"""),"Waikato")</f>
        <v>Waikato</v>
      </c>
      <c r="C290" s="2">
        <f ca="1">IFERROR(__xludf.DUMMYFUNCTION("""COMPUTED_VALUE"""),21)</f>
        <v>21</v>
      </c>
      <c r="D290" s="9" t="str">
        <f ca="1">IFERROR(__xludf.DUMMYFUNCTION("""COMPUTED_VALUE"""),"")</f>
        <v/>
      </c>
      <c r="E290" s="4" t="str">
        <f ca="1">IFERROR(__xludf.DUMMYFUNCTION("""COMPUTED_VALUE"""),"")</f>
        <v/>
      </c>
      <c r="F290" s="2" t="str">
        <f ca="1">IFERROR(__xludf.DUMMYFUNCTION("""COMPUTED_VALUE"""),"")</f>
        <v/>
      </c>
      <c r="G290" s="2" t="str">
        <f ca="1">IFERROR(__xludf.DUMMYFUNCTION("""COMPUTED_VALUE"""),"GPS: I converted data downloaded from ARGOS using Pinpoint software")</f>
        <v>GPS: I converted data downloaded from ARGOS using Pinpoint software</v>
      </c>
      <c r="H290" s="2" t="str">
        <f ca="1">IFERROR(__xludf.DUMMYFUNCTION("""COMPUTED_VALUE"""),"3D")</f>
        <v>3D</v>
      </c>
      <c r="I290" s="2" t="str">
        <f ca="1">IFERROR(__xludf.DUMMYFUNCTION("""COMPUTED_VALUE"""),"")</f>
        <v/>
      </c>
      <c r="J290" s="2" t="str">
        <f ca="1">IFERROR(__xludf.DUMMYFUNCTION("""COMPUTED_VALUE"""),"")</f>
        <v/>
      </c>
      <c r="K290" s="2" t="str">
        <f ca="1">IFERROR(__xludf.DUMMYFUNCTION("""COMPUTED_VALUE"""),"")</f>
        <v/>
      </c>
      <c r="L290" s="2" t="str">
        <f ca="1">IFERROR(__xludf.DUMMYFUNCTION("""COMPUTED_VALUE"""),"")</f>
        <v/>
      </c>
      <c r="M290" s="5" t="str">
        <f ca="1">IFERROR(__xludf.DUMMYFUNCTION("""COMPUTED_VALUE"""),"")</f>
        <v/>
      </c>
      <c r="N290" s="5" t="str">
        <f ca="1">IFERROR(__xludf.DUMMYFUNCTION("""COMPUTED_VALUE"""),"")</f>
        <v/>
      </c>
      <c r="O290" s="2" t="str">
        <f ca="1">IFERROR(__xludf.DUMMYFUNCTION("""COMPUTED_VALUE"""),"")</f>
        <v/>
      </c>
      <c r="P290" s="2" t="str">
        <f ca="1">IFERROR(__xludf.DUMMYFUNCTION("""COMPUTED_VALUE"""),"")</f>
        <v/>
      </c>
      <c r="Q290" s="2" t="str">
        <f ca="1">IFERROR(__xludf.DUMMYFUNCTION("""COMPUTED_VALUE"""),"")</f>
        <v/>
      </c>
      <c r="R290" s="2" t="str">
        <f ca="1">IFERROR(__xludf.DUMMYFUNCTION("""COMPUTED_VALUE"""),"")</f>
        <v/>
      </c>
      <c r="S290" s="2" t="str">
        <f ca="1">IFERROR(__xludf.DUMMYFUNCTION("""COMPUTED_VALUE"""),"")</f>
        <v/>
      </c>
      <c r="T290" s="2" t="str">
        <f ca="1">IFERROR(__xludf.DUMMYFUNCTION("""COMPUTED_VALUE"""),"")</f>
        <v/>
      </c>
      <c r="U290" s="2" t="str">
        <f ca="1">IFERROR(__xludf.DUMMYFUNCTION("""COMPUTED_VALUE"""),"")</f>
        <v/>
      </c>
      <c r="V290" s="2" t="str">
        <f ca="1">IFERROR(__xludf.DUMMYFUNCTION("""COMPUTED_VALUE"""),"")</f>
        <v/>
      </c>
      <c r="W290" s="2" t="str">
        <f ca="1">IFERROR(__xludf.DUMMYFUNCTION("""COMPUTED_VALUE"""),"")</f>
        <v/>
      </c>
      <c r="X290" s="2" t="str">
        <f ca="1">IFERROR(__xludf.DUMMYFUNCTION("""COMPUTED_VALUE"""),"")</f>
        <v/>
      </c>
      <c r="Y290" s="2" t="str">
        <f ca="1">IFERROR(__xludf.DUMMYFUNCTION("""COMPUTED_VALUE"""),"")</f>
        <v/>
      </c>
      <c r="Z290" s="2" t="str">
        <f ca="1">IFERROR(__xludf.DUMMYFUNCTION("""COMPUTED_VALUE"""),"")</f>
        <v/>
      </c>
      <c r="AA290" s="2" t="str">
        <f ca="1">IFERROR(__xludf.DUMMYFUNCTION("""COMPUTED_VALUE"""),"")</f>
        <v/>
      </c>
      <c r="AB290" s="2" t="str">
        <f ca="1">IFERROR(__xludf.DUMMYFUNCTION("""COMPUTED_VALUE"""),"")</f>
        <v/>
      </c>
      <c r="AC290" s="2" t="str">
        <f ca="1">IFERROR(__xludf.DUMMYFUNCTION("""COMPUTED_VALUE"""),"")</f>
        <v/>
      </c>
      <c r="AD290" s="2" t="str">
        <f ca="1">IFERROR(__xludf.DUMMYFUNCTION("""COMPUTED_VALUE"""),"")</f>
        <v/>
      </c>
      <c r="AE290" s="2" t="str">
        <f ca="1">IFERROR(__xludf.DUMMYFUNCTION("""COMPUTED_VALUE"""),"")</f>
        <v/>
      </c>
      <c r="AF290" s="2" t="str">
        <f ca="1">IFERROR(__xludf.DUMMYFUNCTION("""COMPUTED_VALUE"""),"")</f>
        <v/>
      </c>
      <c r="AG290" s="2" t="str">
        <f ca="1">IFERROR(__xludf.DUMMYFUNCTION("""COMPUTED_VALUE"""),"")</f>
        <v/>
      </c>
      <c r="AH290" s="2" t="str">
        <f ca="1">IFERROR(__xludf.DUMMYFUNCTION("""COMPUTED_VALUE"""),"")</f>
        <v/>
      </c>
      <c r="AI290" s="2" t="str">
        <f ca="1">IFERROR(__xludf.DUMMYFUNCTION("""COMPUTED_VALUE"""),"")</f>
        <v/>
      </c>
      <c r="AJ290" s="2" t="str">
        <f ca="1">IFERROR(__xludf.DUMMYFUNCTION("""COMPUTED_VALUE"""),"")</f>
        <v/>
      </c>
      <c r="AK290" s="2" t="str">
        <f ca="1">IFERROR(__xludf.DUMMYFUNCTION("""COMPUTED_VALUE"""),"")</f>
        <v/>
      </c>
      <c r="AL290" s="2" t="str">
        <f ca="1">IFERROR(__xludf.DUMMYFUNCTION("""COMPUTED_VALUE"""),"")</f>
        <v/>
      </c>
      <c r="AM290" s="2" t="str">
        <f ca="1">IFERROR(__xludf.DUMMYFUNCTION("""COMPUTED_VALUE"""),"")</f>
        <v/>
      </c>
      <c r="AN290" s="2" t="str">
        <f ca="1">IFERROR(__xludf.DUMMYFUNCTION("""COMPUTED_VALUE"""),"")</f>
        <v/>
      </c>
      <c r="AO290" s="2" t="str">
        <f ca="1">IFERROR(__xludf.DUMMYFUNCTION("""COMPUTED_VALUE"""),"")</f>
        <v/>
      </c>
      <c r="AP290" s="2" t="str">
        <f ca="1">IFERROR(__xludf.DUMMYFUNCTION("""COMPUTED_VALUE"""),"")</f>
        <v/>
      </c>
      <c r="AQ290" s="2" t="str">
        <f ca="1">IFERROR(__xludf.DUMMYFUNCTION("""COMPUTED_VALUE"""),"")</f>
        <v/>
      </c>
      <c r="AR290" s="2" t="str">
        <f ca="1">IFERROR(__xludf.DUMMYFUNCTION("""COMPUTED_VALUE"""),"")</f>
        <v/>
      </c>
      <c r="AS290" s="2" t="str">
        <f ca="1">IFERROR(__xludf.DUMMYFUNCTION("""COMPUTED_VALUE"""),"")</f>
        <v/>
      </c>
      <c r="AT290" s="2" t="str">
        <f ca="1">IFERROR(__xludf.DUMMYFUNCTION("""COMPUTED_VALUE"""),"")</f>
        <v/>
      </c>
      <c r="AU290" s="2" t="str">
        <f ca="1">IFERROR(__xludf.DUMMYFUNCTION("""COMPUTED_VALUE"""),"")</f>
        <v/>
      </c>
      <c r="AV290" s="2" t="str">
        <f ca="1">IFERROR(__xludf.DUMMYFUNCTION("""COMPUTED_VALUE"""),"")</f>
        <v/>
      </c>
      <c r="AW290" s="2" t="str">
        <f ca="1">IFERROR(__xludf.DUMMYFUNCTION("""COMPUTED_VALUE"""),"")</f>
        <v/>
      </c>
      <c r="AX290" s="2" t="str">
        <f ca="1">IFERROR(__xludf.DUMMYFUNCTION("""COMPUTED_VALUE"""),"")</f>
        <v/>
      </c>
      <c r="AY290" s="2" t="str">
        <f ca="1">IFERROR(__xludf.DUMMYFUNCTION("""COMPUTED_VALUE"""),"")</f>
        <v/>
      </c>
      <c r="AZ290" s="2" t="str">
        <f ca="1">IFERROR(__xludf.DUMMYFUNCTION("""COMPUTED_VALUE"""),"")</f>
        <v/>
      </c>
      <c r="BA290" s="2" t="str">
        <f ca="1">IFERROR(__xludf.DUMMYFUNCTION("""COMPUTED_VALUE"""),"")</f>
        <v/>
      </c>
      <c r="BB290" s="2" t="str">
        <f ca="1">IFERROR(__xludf.DUMMYFUNCTION("""COMPUTED_VALUE"""),"")</f>
        <v/>
      </c>
      <c r="BC290" s="2" t="str">
        <f ca="1">IFERROR(__xludf.DUMMYFUNCTION("""COMPUTED_VALUE"""),"")</f>
        <v/>
      </c>
      <c r="BD290" s="2" t="str">
        <f ca="1">IFERROR(__xludf.DUMMYFUNCTION("""COMPUTED_VALUE"""),"")</f>
        <v/>
      </c>
      <c r="BE290" s="2" t="str">
        <f ca="1">IFERROR(__xludf.DUMMYFUNCTION("""COMPUTED_VALUE"""),"")</f>
        <v/>
      </c>
      <c r="BF290" t="str">
        <f ca="1">IFERROR(__xludf.DUMMYFUNCTION("""COMPUTED_VALUE"""),"")</f>
        <v/>
      </c>
      <c r="BG290" t="str">
        <f ca="1">IFERROR(__xludf.DUMMYFUNCTION("""COMPUTED_VALUE"""),"")</f>
        <v/>
      </c>
      <c r="BH290" s="2">
        <f ca="1">IFERROR(__xludf.DUMMYFUNCTION("""COMPUTED_VALUE"""),-36.5270157)</f>
        <v>-36.5270157</v>
      </c>
      <c r="BI290" s="13">
        <f ca="1">IFERROR(__xludf.DUMMYFUNCTION("""COMPUTED_VALUE"""),174.2445984)</f>
        <v>174.2445984</v>
      </c>
      <c r="BJ290" s="9">
        <f ca="1">IFERROR(__xludf.DUMMYFUNCTION("""COMPUTED_VALUE"""),43394)</f>
        <v>43394</v>
      </c>
      <c r="BK290" s="4">
        <f ca="1">IFERROR(__xludf.DUMMYFUNCTION("""COMPUTED_VALUE"""),0.958518518516939)</f>
        <v>0.95851851851693903</v>
      </c>
    </row>
    <row r="291" spans="1:63" ht="12.5" x14ac:dyDescent="0.25">
      <c r="A291" s="7" t="str">
        <f ca="1">IFERROR(__xludf.DUMMYFUNCTION("""COMPUTED_VALUE"""),"")</f>
        <v/>
      </c>
      <c r="B291" s="8" t="str">
        <f ca="1">IFERROR(__xludf.DUMMYFUNCTION("""COMPUTED_VALUE"""),"Waikato")</f>
        <v>Waikato</v>
      </c>
      <c r="C291" s="2">
        <f ca="1">IFERROR(__xludf.DUMMYFUNCTION("""COMPUTED_VALUE"""),21)</f>
        <v>21</v>
      </c>
      <c r="D291" s="9" t="str">
        <f ca="1">IFERROR(__xludf.DUMMYFUNCTION("""COMPUTED_VALUE"""),"")</f>
        <v/>
      </c>
      <c r="E291" s="4" t="str">
        <f ca="1">IFERROR(__xludf.DUMMYFUNCTION("""COMPUTED_VALUE"""),"")</f>
        <v/>
      </c>
      <c r="F291" s="2" t="str">
        <f ca="1">IFERROR(__xludf.DUMMYFUNCTION("""COMPUTED_VALUE"""),"")</f>
        <v/>
      </c>
      <c r="G291" s="2" t="str">
        <f ca="1">IFERROR(__xludf.DUMMYFUNCTION("""COMPUTED_VALUE"""),"GPS: I converted data downloaded from ARGOS using Pinpoint software")</f>
        <v>GPS: I converted data downloaded from ARGOS using Pinpoint software</v>
      </c>
      <c r="H291" s="2" t="str">
        <f ca="1">IFERROR(__xludf.DUMMYFUNCTION("""COMPUTED_VALUE"""),"3D")</f>
        <v>3D</v>
      </c>
      <c r="I291" s="2" t="str">
        <f ca="1">IFERROR(__xludf.DUMMYFUNCTION("""COMPUTED_VALUE"""),"")</f>
        <v/>
      </c>
      <c r="J291" s="2" t="str">
        <f ca="1">IFERROR(__xludf.DUMMYFUNCTION("""COMPUTED_VALUE"""),"")</f>
        <v/>
      </c>
      <c r="K291" s="2" t="str">
        <f ca="1">IFERROR(__xludf.DUMMYFUNCTION("""COMPUTED_VALUE"""),"")</f>
        <v/>
      </c>
      <c r="L291" s="2" t="str">
        <f ca="1">IFERROR(__xludf.DUMMYFUNCTION("""COMPUTED_VALUE"""),"")</f>
        <v/>
      </c>
      <c r="M291" s="5" t="str">
        <f ca="1">IFERROR(__xludf.DUMMYFUNCTION("""COMPUTED_VALUE"""),"")</f>
        <v/>
      </c>
      <c r="N291" s="5" t="str">
        <f ca="1">IFERROR(__xludf.DUMMYFUNCTION("""COMPUTED_VALUE"""),"")</f>
        <v/>
      </c>
      <c r="O291" s="2" t="str">
        <f ca="1">IFERROR(__xludf.DUMMYFUNCTION("""COMPUTED_VALUE"""),"")</f>
        <v/>
      </c>
      <c r="P291" s="2" t="str">
        <f ca="1">IFERROR(__xludf.DUMMYFUNCTION("""COMPUTED_VALUE"""),"")</f>
        <v/>
      </c>
      <c r="Q291" s="2" t="str">
        <f ca="1">IFERROR(__xludf.DUMMYFUNCTION("""COMPUTED_VALUE"""),"")</f>
        <v/>
      </c>
      <c r="R291" s="2" t="str">
        <f ca="1">IFERROR(__xludf.DUMMYFUNCTION("""COMPUTED_VALUE"""),"")</f>
        <v/>
      </c>
      <c r="S291" s="2" t="str">
        <f ca="1">IFERROR(__xludf.DUMMYFUNCTION("""COMPUTED_VALUE"""),"")</f>
        <v/>
      </c>
      <c r="T291" s="2" t="str">
        <f ca="1">IFERROR(__xludf.DUMMYFUNCTION("""COMPUTED_VALUE"""),"")</f>
        <v/>
      </c>
      <c r="U291" s="2" t="str">
        <f ca="1">IFERROR(__xludf.DUMMYFUNCTION("""COMPUTED_VALUE"""),"")</f>
        <v/>
      </c>
      <c r="V291" s="2" t="str">
        <f ca="1">IFERROR(__xludf.DUMMYFUNCTION("""COMPUTED_VALUE"""),"")</f>
        <v/>
      </c>
      <c r="W291" s="2" t="str">
        <f ca="1">IFERROR(__xludf.DUMMYFUNCTION("""COMPUTED_VALUE"""),"")</f>
        <v/>
      </c>
      <c r="X291" s="2" t="str">
        <f ca="1">IFERROR(__xludf.DUMMYFUNCTION("""COMPUTED_VALUE"""),"")</f>
        <v/>
      </c>
      <c r="Y291" s="2" t="str">
        <f ca="1">IFERROR(__xludf.DUMMYFUNCTION("""COMPUTED_VALUE"""),"")</f>
        <v/>
      </c>
      <c r="Z291" s="2" t="str">
        <f ca="1">IFERROR(__xludf.DUMMYFUNCTION("""COMPUTED_VALUE"""),"")</f>
        <v/>
      </c>
      <c r="AA291" s="2" t="str">
        <f ca="1">IFERROR(__xludf.DUMMYFUNCTION("""COMPUTED_VALUE"""),"")</f>
        <v/>
      </c>
      <c r="AB291" s="2" t="str">
        <f ca="1">IFERROR(__xludf.DUMMYFUNCTION("""COMPUTED_VALUE"""),"")</f>
        <v/>
      </c>
      <c r="AC291" s="2" t="str">
        <f ca="1">IFERROR(__xludf.DUMMYFUNCTION("""COMPUTED_VALUE"""),"")</f>
        <v/>
      </c>
      <c r="AD291" s="2" t="str">
        <f ca="1">IFERROR(__xludf.DUMMYFUNCTION("""COMPUTED_VALUE"""),"")</f>
        <v/>
      </c>
      <c r="AE291" s="2" t="str">
        <f ca="1">IFERROR(__xludf.DUMMYFUNCTION("""COMPUTED_VALUE"""),"")</f>
        <v/>
      </c>
      <c r="AF291" s="2" t="str">
        <f ca="1">IFERROR(__xludf.DUMMYFUNCTION("""COMPUTED_VALUE"""),"")</f>
        <v/>
      </c>
      <c r="AG291" s="2" t="str">
        <f ca="1">IFERROR(__xludf.DUMMYFUNCTION("""COMPUTED_VALUE"""),"")</f>
        <v/>
      </c>
      <c r="AH291" s="2" t="str">
        <f ca="1">IFERROR(__xludf.DUMMYFUNCTION("""COMPUTED_VALUE"""),"")</f>
        <v/>
      </c>
      <c r="AI291" s="2" t="str">
        <f ca="1">IFERROR(__xludf.DUMMYFUNCTION("""COMPUTED_VALUE"""),"")</f>
        <v/>
      </c>
      <c r="AJ291" s="2" t="str">
        <f ca="1">IFERROR(__xludf.DUMMYFUNCTION("""COMPUTED_VALUE"""),"")</f>
        <v/>
      </c>
      <c r="AK291" s="2" t="str">
        <f ca="1">IFERROR(__xludf.DUMMYFUNCTION("""COMPUTED_VALUE"""),"")</f>
        <v/>
      </c>
      <c r="AL291" s="2" t="str">
        <f ca="1">IFERROR(__xludf.DUMMYFUNCTION("""COMPUTED_VALUE"""),"")</f>
        <v/>
      </c>
      <c r="AM291" s="2" t="str">
        <f ca="1">IFERROR(__xludf.DUMMYFUNCTION("""COMPUTED_VALUE"""),"")</f>
        <v/>
      </c>
      <c r="AN291" s="2" t="str">
        <f ca="1">IFERROR(__xludf.DUMMYFUNCTION("""COMPUTED_VALUE"""),"")</f>
        <v/>
      </c>
      <c r="AO291" s="2" t="str">
        <f ca="1">IFERROR(__xludf.DUMMYFUNCTION("""COMPUTED_VALUE"""),"")</f>
        <v/>
      </c>
      <c r="AP291" s="2" t="str">
        <f ca="1">IFERROR(__xludf.DUMMYFUNCTION("""COMPUTED_VALUE"""),"")</f>
        <v/>
      </c>
      <c r="AQ291" s="2" t="str">
        <f ca="1">IFERROR(__xludf.DUMMYFUNCTION("""COMPUTED_VALUE"""),"")</f>
        <v/>
      </c>
      <c r="AR291" s="2" t="str">
        <f ca="1">IFERROR(__xludf.DUMMYFUNCTION("""COMPUTED_VALUE"""),"")</f>
        <v/>
      </c>
      <c r="AS291" s="2" t="str">
        <f ca="1">IFERROR(__xludf.DUMMYFUNCTION("""COMPUTED_VALUE"""),"")</f>
        <v/>
      </c>
      <c r="AT291" s="2" t="str">
        <f ca="1">IFERROR(__xludf.DUMMYFUNCTION("""COMPUTED_VALUE"""),"")</f>
        <v/>
      </c>
      <c r="AU291" s="2" t="str">
        <f ca="1">IFERROR(__xludf.DUMMYFUNCTION("""COMPUTED_VALUE"""),"")</f>
        <v/>
      </c>
      <c r="AV291" s="2" t="str">
        <f ca="1">IFERROR(__xludf.DUMMYFUNCTION("""COMPUTED_VALUE"""),"")</f>
        <v/>
      </c>
      <c r="AW291" s="2" t="str">
        <f ca="1">IFERROR(__xludf.DUMMYFUNCTION("""COMPUTED_VALUE"""),"")</f>
        <v/>
      </c>
      <c r="AX291" s="2" t="str">
        <f ca="1">IFERROR(__xludf.DUMMYFUNCTION("""COMPUTED_VALUE"""),"")</f>
        <v/>
      </c>
      <c r="AY291" s="2" t="str">
        <f ca="1">IFERROR(__xludf.DUMMYFUNCTION("""COMPUTED_VALUE"""),"")</f>
        <v/>
      </c>
      <c r="AZ291" s="2" t="str">
        <f ca="1">IFERROR(__xludf.DUMMYFUNCTION("""COMPUTED_VALUE"""),"")</f>
        <v/>
      </c>
      <c r="BA291" s="2" t="str">
        <f ca="1">IFERROR(__xludf.DUMMYFUNCTION("""COMPUTED_VALUE"""),"")</f>
        <v/>
      </c>
      <c r="BB291" s="2" t="str">
        <f ca="1">IFERROR(__xludf.DUMMYFUNCTION("""COMPUTED_VALUE"""),"")</f>
        <v/>
      </c>
      <c r="BC291" s="2" t="str">
        <f ca="1">IFERROR(__xludf.DUMMYFUNCTION("""COMPUTED_VALUE"""),"")</f>
        <v/>
      </c>
      <c r="BD291" s="2" t="str">
        <f ca="1">IFERROR(__xludf.DUMMYFUNCTION("""COMPUTED_VALUE"""),"")</f>
        <v/>
      </c>
      <c r="BE291" s="2" t="str">
        <f ca="1">IFERROR(__xludf.DUMMYFUNCTION("""COMPUTED_VALUE"""),"")</f>
        <v/>
      </c>
      <c r="BF291" t="str">
        <f ca="1">IFERROR(__xludf.DUMMYFUNCTION("""COMPUTED_VALUE"""),"")</f>
        <v/>
      </c>
      <c r="BG291" t="str">
        <f ca="1">IFERROR(__xludf.DUMMYFUNCTION("""COMPUTED_VALUE"""),"")</f>
        <v/>
      </c>
      <c r="BH291" s="2">
        <f ca="1">IFERROR(__xludf.DUMMYFUNCTION("""COMPUTED_VALUE"""),-36.516571)</f>
        <v>-36.516570999999999</v>
      </c>
      <c r="BI291" s="12">
        <f ca="1">IFERROR(__xludf.DUMMYFUNCTION("""COMPUTED_VALUE"""),174.2427063)</f>
        <v>174.24270630000001</v>
      </c>
      <c r="BJ291" s="9">
        <f ca="1">IFERROR(__xludf.DUMMYFUNCTION("""COMPUTED_VALUE"""),43396)</f>
        <v>43396</v>
      </c>
      <c r="BK291" s="4">
        <f ca="1">IFERROR(__xludf.DUMMYFUNCTION("""COMPUTED_VALUE"""),0.457777777777664)</f>
        <v>0.45777777777766399</v>
      </c>
    </row>
    <row r="292" spans="1:63" ht="12.5" x14ac:dyDescent="0.25">
      <c r="A292" s="7" t="str">
        <f ca="1">IFERROR(__xludf.DUMMYFUNCTION("""COMPUTED_VALUE"""),"")</f>
        <v/>
      </c>
      <c r="B292" s="8" t="str">
        <f ca="1">IFERROR(__xludf.DUMMYFUNCTION("""COMPUTED_VALUE"""),"Waikato")</f>
        <v>Waikato</v>
      </c>
      <c r="C292" s="2">
        <f ca="1">IFERROR(__xludf.DUMMYFUNCTION("""COMPUTED_VALUE"""),21)</f>
        <v>21</v>
      </c>
      <c r="D292" s="9" t="str">
        <f ca="1">IFERROR(__xludf.DUMMYFUNCTION("""COMPUTED_VALUE"""),"")</f>
        <v/>
      </c>
      <c r="E292" s="4" t="str">
        <f ca="1">IFERROR(__xludf.DUMMYFUNCTION("""COMPUTED_VALUE"""),"")</f>
        <v/>
      </c>
      <c r="F292" s="2" t="str">
        <f ca="1">IFERROR(__xludf.DUMMYFUNCTION("""COMPUTED_VALUE"""),"")</f>
        <v/>
      </c>
      <c r="G292" s="2" t="str">
        <f ca="1">IFERROR(__xludf.DUMMYFUNCTION("""COMPUTED_VALUE"""),"GPS: I converted data downloaded from ARGOS using Pinpoint software")</f>
        <v>GPS: I converted data downloaded from ARGOS using Pinpoint software</v>
      </c>
      <c r="H292" s="2" t="str">
        <f ca="1">IFERROR(__xludf.DUMMYFUNCTION("""COMPUTED_VALUE"""),"3D")</f>
        <v>3D</v>
      </c>
      <c r="I292" s="2" t="str">
        <f ca="1">IFERROR(__xludf.DUMMYFUNCTION("""COMPUTED_VALUE"""),"")</f>
        <v/>
      </c>
      <c r="J292" s="2" t="str">
        <f ca="1">IFERROR(__xludf.DUMMYFUNCTION("""COMPUTED_VALUE"""),"")</f>
        <v/>
      </c>
      <c r="K292" s="2" t="str">
        <f ca="1">IFERROR(__xludf.DUMMYFUNCTION("""COMPUTED_VALUE"""),"")</f>
        <v/>
      </c>
      <c r="L292" s="2" t="str">
        <f ca="1">IFERROR(__xludf.DUMMYFUNCTION("""COMPUTED_VALUE"""),"")</f>
        <v/>
      </c>
      <c r="M292" s="5" t="str">
        <f ca="1">IFERROR(__xludf.DUMMYFUNCTION("""COMPUTED_VALUE"""),"")</f>
        <v/>
      </c>
      <c r="N292" s="5" t="str">
        <f ca="1">IFERROR(__xludf.DUMMYFUNCTION("""COMPUTED_VALUE"""),"")</f>
        <v/>
      </c>
      <c r="O292" s="2" t="str">
        <f ca="1">IFERROR(__xludf.DUMMYFUNCTION("""COMPUTED_VALUE"""),"")</f>
        <v/>
      </c>
      <c r="P292" s="2" t="str">
        <f ca="1">IFERROR(__xludf.DUMMYFUNCTION("""COMPUTED_VALUE"""),"")</f>
        <v/>
      </c>
      <c r="Q292" s="2" t="str">
        <f ca="1">IFERROR(__xludf.DUMMYFUNCTION("""COMPUTED_VALUE"""),"")</f>
        <v/>
      </c>
      <c r="R292" s="2" t="str">
        <f ca="1">IFERROR(__xludf.DUMMYFUNCTION("""COMPUTED_VALUE"""),"")</f>
        <v/>
      </c>
      <c r="S292" s="2" t="str">
        <f ca="1">IFERROR(__xludf.DUMMYFUNCTION("""COMPUTED_VALUE"""),"")</f>
        <v/>
      </c>
      <c r="T292" s="2" t="str">
        <f ca="1">IFERROR(__xludf.DUMMYFUNCTION("""COMPUTED_VALUE"""),"")</f>
        <v/>
      </c>
      <c r="U292" s="2" t="str">
        <f ca="1">IFERROR(__xludf.DUMMYFUNCTION("""COMPUTED_VALUE"""),"")</f>
        <v/>
      </c>
      <c r="V292" s="2" t="str">
        <f ca="1">IFERROR(__xludf.DUMMYFUNCTION("""COMPUTED_VALUE"""),"")</f>
        <v/>
      </c>
      <c r="W292" s="2" t="str">
        <f ca="1">IFERROR(__xludf.DUMMYFUNCTION("""COMPUTED_VALUE"""),"")</f>
        <v/>
      </c>
      <c r="X292" s="2" t="str">
        <f ca="1">IFERROR(__xludf.DUMMYFUNCTION("""COMPUTED_VALUE"""),"")</f>
        <v/>
      </c>
      <c r="Y292" s="2" t="str">
        <f ca="1">IFERROR(__xludf.DUMMYFUNCTION("""COMPUTED_VALUE"""),"")</f>
        <v/>
      </c>
      <c r="Z292" s="2" t="str">
        <f ca="1">IFERROR(__xludf.DUMMYFUNCTION("""COMPUTED_VALUE"""),"")</f>
        <v/>
      </c>
      <c r="AA292" s="2" t="str">
        <f ca="1">IFERROR(__xludf.DUMMYFUNCTION("""COMPUTED_VALUE"""),"")</f>
        <v/>
      </c>
      <c r="AB292" s="2" t="str">
        <f ca="1">IFERROR(__xludf.DUMMYFUNCTION("""COMPUTED_VALUE"""),"")</f>
        <v/>
      </c>
      <c r="AC292" s="2" t="str">
        <f ca="1">IFERROR(__xludf.DUMMYFUNCTION("""COMPUTED_VALUE"""),"")</f>
        <v/>
      </c>
      <c r="AD292" s="2" t="str">
        <f ca="1">IFERROR(__xludf.DUMMYFUNCTION("""COMPUTED_VALUE"""),"")</f>
        <v/>
      </c>
      <c r="AE292" s="2" t="str">
        <f ca="1">IFERROR(__xludf.DUMMYFUNCTION("""COMPUTED_VALUE"""),"")</f>
        <v/>
      </c>
      <c r="AF292" s="2" t="str">
        <f ca="1">IFERROR(__xludf.DUMMYFUNCTION("""COMPUTED_VALUE"""),"")</f>
        <v/>
      </c>
      <c r="AG292" s="2" t="str">
        <f ca="1">IFERROR(__xludf.DUMMYFUNCTION("""COMPUTED_VALUE"""),"")</f>
        <v/>
      </c>
      <c r="AH292" s="2" t="str">
        <f ca="1">IFERROR(__xludf.DUMMYFUNCTION("""COMPUTED_VALUE"""),"")</f>
        <v/>
      </c>
      <c r="AI292" s="2" t="str">
        <f ca="1">IFERROR(__xludf.DUMMYFUNCTION("""COMPUTED_VALUE"""),"")</f>
        <v/>
      </c>
      <c r="AJ292" s="2" t="str">
        <f ca="1">IFERROR(__xludf.DUMMYFUNCTION("""COMPUTED_VALUE"""),"")</f>
        <v/>
      </c>
      <c r="AK292" s="2" t="str">
        <f ca="1">IFERROR(__xludf.DUMMYFUNCTION("""COMPUTED_VALUE"""),"")</f>
        <v/>
      </c>
      <c r="AL292" s="2" t="str">
        <f ca="1">IFERROR(__xludf.DUMMYFUNCTION("""COMPUTED_VALUE"""),"")</f>
        <v/>
      </c>
      <c r="AM292" s="2" t="str">
        <f ca="1">IFERROR(__xludf.DUMMYFUNCTION("""COMPUTED_VALUE"""),"")</f>
        <v/>
      </c>
      <c r="AN292" s="2" t="str">
        <f ca="1">IFERROR(__xludf.DUMMYFUNCTION("""COMPUTED_VALUE"""),"")</f>
        <v/>
      </c>
      <c r="AO292" s="2" t="str">
        <f ca="1">IFERROR(__xludf.DUMMYFUNCTION("""COMPUTED_VALUE"""),"")</f>
        <v/>
      </c>
      <c r="AP292" s="2" t="str">
        <f ca="1">IFERROR(__xludf.DUMMYFUNCTION("""COMPUTED_VALUE"""),"")</f>
        <v/>
      </c>
      <c r="AQ292" s="2" t="str">
        <f ca="1">IFERROR(__xludf.DUMMYFUNCTION("""COMPUTED_VALUE"""),"")</f>
        <v/>
      </c>
      <c r="AR292" s="2" t="str">
        <f ca="1">IFERROR(__xludf.DUMMYFUNCTION("""COMPUTED_VALUE"""),"")</f>
        <v/>
      </c>
      <c r="AS292" s="2" t="str">
        <f ca="1">IFERROR(__xludf.DUMMYFUNCTION("""COMPUTED_VALUE"""),"")</f>
        <v/>
      </c>
      <c r="AT292" s="2" t="str">
        <f ca="1">IFERROR(__xludf.DUMMYFUNCTION("""COMPUTED_VALUE"""),"")</f>
        <v/>
      </c>
      <c r="AU292" s="2" t="str">
        <f ca="1">IFERROR(__xludf.DUMMYFUNCTION("""COMPUTED_VALUE"""),"")</f>
        <v/>
      </c>
      <c r="AV292" s="2" t="str">
        <f ca="1">IFERROR(__xludf.DUMMYFUNCTION("""COMPUTED_VALUE"""),"")</f>
        <v/>
      </c>
      <c r="AW292" s="2" t="str">
        <f ca="1">IFERROR(__xludf.DUMMYFUNCTION("""COMPUTED_VALUE"""),"")</f>
        <v/>
      </c>
      <c r="AX292" s="2" t="str">
        <f ca="1">IFERROR(__xludf.DUMMYFUNCTION("""COMPUTED_VALUE"""),"")</f>
        <v/>
      </c>
      <c r="AY292" s="2" t="str">
        <f ca="1">IFERROR(__xludf.DUMMYFUNCTION("""COMPUTED_VALUE"""),"")</f>
        <v/>
      </c>
      <c r="AZ292" s="2" t="str">
        <f ca="1">IFERROR(__xludf.DUMMYFUNCTION("""COMPUTED_VALUE"""),"")</f>
        <v/>
      </c>
      <c r="BA292" s="2" t="str">
        <f ca="1">IFERROR(__xludf.DUMMYFUNCTION("""COMPUTED_VALUE"""),"")</f>
        <v/>
      </c>
      <c r="BB292" s="2" t="str">
        <f ca="1">IFERROR(__xludf.DUMMYFUNCTION("""COMPUTED_VALUE"""),"")</f>
        <v/>
      </c>
      <c r="BC292" s="2" t="str">
        <f ca="1">IFERROR(__xludf.DUMMYFUNCTION("""COMPUTED_VALUE"""),"")</f>
        <v/>
      </c>
      <c r="BD292" s="2" t="str">
        <f ca="1">IFERROR(__xludf.DUMMYFUNCTION("""COMPUTED_VALUE"""),"")</f>
        <v/>
      </c>
      <c r="BE292" s="2" t="str">
        <f ca="1">IFERROR(__xludf.DUMMYFUNCTION("""COMPUTED_VALUE"""),"")</f>
        <v/>
      </c>
      <c r="BF292" t="str">
        <f ca="1">IFERROR(__xludf.DUMMYFUNCTION("""COMPUTED_VALUE"""),"")</f>
        <v/>
      </c>
      <c r="BG292" t="str">
        <f ca="1">IFERROR(__xludf.DUMMYFUNCTION("""COMPUTED_VALUE"""),"")</f>
        <v/>
      </c>
      <c r="BH292" s="2">
        <f ca="1">IFERROR(__xludf.DUMMYFUNCTION("""COMPUTED_VALUE"""),-36.6939774)</f>
        <v>-36.693977400000001</v>
      </c>
      <c r="BI292" s="13">
        <f ca="1">IFERROR(__xludf.DUMMYFUNCTION("""COMPUTED_VALUE"""),174.4446564)</f>
        <v>174.44465640000001</v>
      </c>
      <c r="BJ292" s="9">
        <f ca="1">IFERROR(__xludf.DUMMYFUNCTION("""COMPUTED_VALUE"""),43396)</f>
        <v>43396</v>
      </c>
      <c r="BK292" s="4">
        <f ca="1">IFERROR(__xludf.DUMMYFUNCTION("""COMPUTED_VALUE"""),0.958518518516939)</f>
        <v>0.95851851851693903</v>
      </c>
    </row>
    <row r="293" spans="1:63" ht="12.5" x14ac:dyDescent="0.25">
      <c r="A293" s="7" t="str">
        <f ca="1">IFERROR(__xludf.DUMMYFUNCTION("""COMPUTED_VALUE"""),"")</f>
        <v/>
      </c>
      <c r="B293" s="8" t="str">
        <f ca="1">IFERROR(__xludf.DUMMYFUNCTION("""COMPUTED_VALUE"""),"Waikato")</f>
        <v>Waikato</v>
      </c>
      <c r="C293" s="2">
        <f ca="1">IFERROR(__xludf.DUMMYFUNCTION("""COMPUTED_VALUE"""),21)</f>
        <v>21</v>
      </c>
      <c r="D293" s="9" t="str">
        <f ca="1">IFERROR(__xludf.DUMMYFUNCTION("""COMPUTED_VALUE"""),"")</f>
        <v/>
      </c>
      <c r="E293" s="4" t="str">
        <f ca="1">IFERROR(__xludf.DUMMYFUNCTION("""COMPUTED_VALUE"""),"")</f>
        <v/>
      </c>
      <c r="F293" s="2" t="str">
        <f ca="1">IFERROR(__xludf.DUMMYFUNCTION("""COMPUTED_VALUE"""),"")</f>
        <v/>
      </c>
      <c r="G293" s="2" t="str">
        <f ca="1">IFERROR(__xludf.DUMMYFUNCTION("""COMPUTED_VALUE"""),"GPS: I converted data downloaded from ARGOS using Pinpoint software")</f>
        <v>GPS: I converted data downloaded from ARGOS using Pinpoint software</v>
      </c>
      <c r="H293" s="2" t="str">
        <f ca="1">IFERROR(__xludf.DUMMYFUNCTION("""COMPUTED_VALUE"""),"3D")</f>
        <v>3D</v>
      </c>
      <c r="I293" s="2" t="str">
        <f ca="1">IFERROR(__xludf.DUMMYFUNCTION("""COMPUTED_VALUE"""),"")</f>
        <v/>
      </c>
      <c r="J293" s="2" t="str">
        <f ca="1">IFERROR(__xludf.DUMMYFUNCTION("""COMPUTED_VALUE"""),"")</f>
        <v/>
      </c>
      <c r="K293" s="2" t="str">
        <f ca="1">IFERROR(__xludf.DUMMYFUNCTION("""COMPUTED_VALUE"""),"")</f>
        <v/>
      </c>
      <c r="L293" s="2" t="str">
        <f ca="1">IFERROR(__xludf.DUMMYFUNCTION("""COMPUTED_VALUE"""),"")</f>
        <v/>
      </c>
      <c r="M293" s="5" t="str">
        <f ca="1">IFERROR(__xludf.DUMMYFUNCTION("""COMPUTED_VALUE"""),"")</f>
        <v/>
      </c>
      <c r="N293" s="5" t="str">
        <f ca="1">IFERROR(__xludf.DUMMYFUNCTION("""COMPUTED_VALUE"""),"")</f>
        <v/>
      </c>
      <c r="O293" s="2" t="str">
        <f ca="1">IFERROR(__xludf.DUMMYFUNCTION("""COMPUTED_VALUE"""),"")</f>
        <v/>
      </c>
      <c r="P293" s="2" t="str">
        <f ca="1">IFERROR(__xludf.DUMMYFUNCTION("""COMPUTED_VALUE"""),"")</f>
        <v/>
      </c>
      <c r="Q293" s="2" t="str">
        <f ca="1">IFERROR(__xludf.DUMMYFUNCTION("""COMPUTED_VALUE"""),"")</f>
        <v/>
      </c>
      <c r="R293" s="2" t="str">
        <f ca="1">IFERROR(__xludf.DUMMYFUNCTION("""COMPUTED_VALUE"""),"")</f>
        <v/>
      </c>
      <c r="S293" s="2" t="str">
        <f ca="1">IFERROR(__xludf.DUMMYFUNCTION("""COMPUTED_VALUE"""),"")</f>
        <v/>
      </c>
      <c r="T293" s="2" t="str">
        <f ca="1">IFERROR(__xludf.DUMMYFUNCTION("""COMPUTED_VALUE"""),"")</f>
        <v/>
      </c>
      <c r="U293" s="2" t="str">
        <f ca="1">IFERROR(__xludf.DUMMYFUNCTION("""COMPUTED_VALUE"""),"")</f>
        <v/>
      </c>
      <c r="V293" s="2" t="str">
        <f ca="1">IFERROR(__xludf.DUMMYFUNCTION("""COMPUTED_VALUE"""),"")</f>
        <v/>
      </c>
      <c r="W293" s="2" t="str">
        <f ca="1">IFERROR(__xludf.DUMMYFUNCTION("""COMPUTED_VALUE"""),"")</f>
        <v/>
      </c>
      <c r="X293" s="2" t="str">
        <f ca="1">IFERROR(__xludf.DUMMYFUNCTION("""COMPUTED_VALUE"""),"")</f>
        <v/>
      </c>
      <c r="Y293" s="2" t="str">
        <f ca="1">IFERROR(__xludf.DUMMYFUNCTION("""COMPUTED_VALUE"""),"")</f>
        <v/>
      </c>
      <c r="Z293" s="2" t="str">
        <f ca="1">IFERROR(__xludf.DUMMYFUNCTION("""COMPUTED_VALUE"""),"")</f>
        <v/>
      </c>
      <c r="AA293" s="2" t="str">
        <f ca="1">IFERROR(__xludf.DUMMYFUNCTION("""COMPUTED_VALUE"""),"")</f>
        <v/>
      </c>
      <c r="AB293" s="2" t="str">
        <f ca="1">IFERROR(__xludf.DUMMYFUNCTION("""COMPUTED_VALUE"""),"")</f>
        <v/>
      </c>
      <c r="AC293" s="2" t="str">
        <f ca="1">IFERROR(__xludf.DUMMYFUNCTION("""COMPUTED_VALUE"""),"")</f>
        <v/>
      </c>
      <c r="AD293" s="2" t="str">
        <f ca="1">IFERROR(__xludf.DUMMYFUNCTION("""COMPUTED_VALUE"""),"")</f>
        <v/>
      </c>
      <c r="AE293" s="2" t="str">
        <f ca="1">IFERROR(__xludf.DUMMYFUNCTION("""COMPUTED_VALUE"""),"")</f>
        <v/>
      </c>
      <c r="AF293" s="2" t="str">
        <f ca="1">IFERROR(__xludf.DUMMYFUNCTION("""COMPUTED_VALUE"""),"")</f>
        <v/>
      </c>
      <c r="AG293" s="2" t="str">
        <f ca="1">IFERROR(__xludf.DUMMYFUNCTION("""COMPUTED_VALUE"""),"")</f>
        <v/>
      </c>
      <c r="AH293" s="2" t="str">
        <f ca="1">IFERROR(__xludf.DUMMYFUNCTION("""COMPUTED_VALUE"""),"")</f>
        <v/>
      </c>
      <c r="AI293" s="2" t="str">
        <f ca="1">IFERROR(__xludf.DUMMYFUNCTION("""COMPUTED_VALUE"""),"")</f>
        <v/>
      </c>
      <c r="AJ293" s="2" t="str">
        <f ca="1">IFERROR(__xludf.DUMMYFUNCTION("""COMPUTED_VALUE"""),"")</f>
        <v/>
      </c>
      <c r="AK293" s="2" t="str">
        <f ca="1">IFERROR(__xludf.DUMMYFUNCTION("""COMPUTED_VALUE"""),"")</f>
        <v/>
      </c>
      <c r="AL293" s="2" t="str">
        <f ca="1">IFERROR(__xludf.DUMMYFUNCTION("""COMPUTED_VALUE"""),"")</f>
        <v/>
      </c>
      <c r="AM293" s="2" t="str">
        <f ca="1">IFERROR(__xludf.DUMMYFUNCTION("""COMPUTED_VALUE"""),"")</f>
        <v/>
      </c>
      <c r="AN293" s="2" t="str">
        <f ca="1">IFERROR(__xludf.DUMMYFUNCTION("""COMPUTED_VALUE"""),"")</f>
        <v/>
      </c>
      <c r="AO293" s="2" t="str">
        <f ca="1">IFERROR(__xludf.DUMMYFUNCTION("""COMPUTED_VALUE"""),"")</f>
        <v/>
      </c>
      <c r="AP293" s="2" t="str">
        <f ca="1">IFERROR(__xludf.DUMMYFUNCTION("""COMPUTED_VALUE"""),"")</f>
        <v/>
      </c>
      <c r="AQ293" s="2" t="str">
        <f ca="1">IFERROR(__xludf.DUMMYFUNCTION("""COMPUTED_VALUE"""),"")</f>
        <v/>
      </c>
      <c r="AR293" s="2" t="str">
        <f ca="1">IFERROR(__xludf.DUMMYFUNCTION("""COMPUTED_VALUE"""),"")</f>
        <v/>
      </c>
      <c r="AS293" s="2" t="str">
        <f ca="1">IFERROR(__xludf.DUMMYFUNCTION("""COMPUTED_VALUE"""),"")</f>
        <v/>
      </c>
      <c r="AT293" s="2" t="str">
        <f ca="1">IFERROR(__xludf.DUMMYFUNCTION("""COMPUTED_VALUE"""),"")</f>
        <v/>
      </c>
      <c r="AU293" s="2" t="str">
        <f ca="1">IFERROR(__xludf.DUMMYFUNCTION("""COMPUTED_VALUE"""),"")</f>
        <v/>
      </c>
      <c r="AV293" s="2" t="str">
        <f ca="1">IFERROR(__xludf.DUMMYFUNCTION("""COMPUTED_VALUE"""),"")</f>
        <v/>
      </c>
      <c r="AW293" s="2" t="str">
        <f ca="1">IFERROR(__xludf.DUMMYFUNCTION("""COMPUTED_VALUE"""),"")</f>
        <v/>
      </c>
      <c r="AX293" s="2" t="str">
        <f ca="1">IFERROR(__xludf.DUMMYFUNCTION("""COMPUTED_VALUE"""),"")</f>
        <v/>
      </c>
      <c r="AY293" s="2" t="str">
        <f ca="1">IFERROR(__xludf.DUMMYFUNCTION("""COMPUTED_VALUE"""),"")</f>
        <v/>
      </c>
      <c r="AZ293" s="2" t="str">
        <f ca="1">IFERROR(__xludf.DUMMYFUNCTION("""COMPUTED_VALUE"""),"")</f>
        <v/>
      </c>
      <c r="BA293" s="2" t="str">
        <f ca="1">IFERROR(__xludf.DUMMYFUNCTION("""COMPUTED_VALUE"""),"")</f>
        <v/>
      </c>
      <c r="BB293" s="2" t="str">
        <f ca="1">IFERROR(__xludf.DUMMYFUNCTION("""COMPUTED_VALUE"""),"")</f>
        <v/>
      </c>
      <c r="BC293" s="2" t="str">
        <f ca="1">IFERROR(__xludf.DUMMYFUNCTION("""COMPUTED_VALUE"""),"")</f>
        <v/>
      </c>
      <c r="BD293" s="2" t="str">
        <f ca="1">IFERROR(__xludf.DUMMYFUNCTION("""COMPUTED_VALUE"""),"")</f>
        <v/>
      </c>
      <c r="BE293" s="2" t="str">
        <f ca="1">IFERROR(__xludf.DUMMYFUNCTION("""COMPUTED_VALUE"""),"")</f>
        <v/>
      </c>
      <c r="BF293" t="str">
        <f ca="1">IFERROR(__xludf.DUMMYFUNCTION("""COMPUTED_VALUE"""),"")</f>
        <v/>
      </c>
      <c r="BG293" t="str">
        <f ca="1">IFERROR(__xludf.DUMMYFUNCTION("""COMPUTED_VALUE"""),"")</f>
        <v/>
      </c>
      <c r="BH293" s="2">
        <f ca="1">IFERROR(__xludf.DUMMYFUNCTION("""COMPUTED_VALUE"""),-37.2928658)</f>
        <v>-37.292865800000001</v>
      </c>
      <c r="BI293" s="12">
        <f ca="1">IFERROR(__xludf.DUMMYFUNCTION("""COMPUTED_VALUE"""),175.1139221)</f>
        <v>175.1139221</v>
      </c>
      <c r="BJ293" s="9">
        <f ca="1">IFERROR(__xludf.DUMMYFUNCTION("""COMPUTED_VALUE"""),43398)</f>
        <v>43398</v>
      </c>
      <c r="BK293" s="4">
        <f ca="1">IFERROR(__xludf.DUMMYFUNCTION("""COMPUTED_VALUE"""),0.457777777777664)</f>
        <v>0.45777777777766399</v>
      </c>
    </row>
    <row r="294" spans="1:63" ht="12.5" x14ac:dyDescent="0.25">
      <c r="A294" s="7" t="str">
        <f ca="1">IFERROR(__xludf.DUMMYFUNCTION("""COMPUTED_VALUE"""),"")</f>
        <v/>
      </c>
      <c r="B294" s="8" t="str">
        <f ca="1">IFERROR(__xludf.DUMMYFUNCTION("""COMPUTED_VALUE"""),"Waikato")</f>
        <v>Waikato</v>
      </c>
      <c r="C294" s="2">
        <f ca="1">IFERROR(__xludf.DUMMYFUNCTION("""COMPUTED_VALUE"""),21)</f>
        <v>21</v>
      </c>
      <c r="D294" s="9" t="str">
        <f ca="1">IFERROR(__xludf.DUMMYFUNCTION("""COMPUTED_VALUE"""),"")</f>
        <v/>
      </c>
      <c r="E294" s="4" t="str">
        <f ca="1">IFERROR(__xludf.DUMMYFUNCTION("""COMPUTED_VALUE"""),"")</f>
        <v/>
      </c>
      <c r="F294" s="2" t="str">
        <f ca="1">IFERROR(__xludf.DUMMYFUNCTION("""COMPUTED_VALUE"""),"")</f>
        <v/>
      </c>
      <c r="G294" s="2" t="str">
        <f ca="1">IFERROR(__xludf.DUMMYFUNCTION("""COMPUTED_VALUE"""),"GPS: I converted data downloaded from ARGOS using Pinpoint software")</f>
        <v>GPS: I converted data downloaded from ARGOS using Pinpoint software</v>
      </c>
      <c r="H294" s="2" t="str">
        <f ca="1">IFERROR(__xludf.DUMMYFUNCTION("""COMPUTED_VALUE"""),"3D")</f>
        <v>3D</v>
      </c>
      <c r="I294" s="2" t="str">
        <f ca="1">IFERROR(__xludf.DUMMYFUNCTION("""COMPUTED_VALUE"""),"")</f>
        <v/>
      </c>
      <c r="J294" s="2" t="str">
        <f ca="1">IFERROR(__xludf.DUMMYFUNCTION("""COMPUTED_VALUE"""),"")</f>
        <v/>
      </c>
      <c r="K294" s="2" t="str">
        <f ca="1">IFERROR(__xludf.DUMMYFUNCTION("""COMPUTED_VALUE"""),"")</f>
        <v/>
      </c>
      <c r="L294" s="2" t="str">
        <f ca="1">IFERROR(__xludf.DUMMYFUNCTION("""COMPUTED_VALUE"""),"")</f>
        <v/>
      </c>
      <c r="M294" s="5" t="str">
        <f ca="1">IFERROR(__xludf.DUMMYFUNCTION("""COMPUTED_VALUE"""),"")</f>
        <v/>
      </c>
      <c r="N294" s="5" t="str">
        <f ca="1">IFERROR(__xludf.DUMMYFUNCTION("""COMPUTED_VALUE"""),"")</f>
        <v/>
      </c>
      <c r="O294" s="2" t="str">
        <f ca="1">IFERROR(__xludf.DUMMYFUNCTION("""COMPUTED_VALUE"""),"")</f>
        <v/>
      </c>
      <c r="P294" s="2" t="str">
        <f ca="1">IFERROR(__xludf.DUMMYFUNCTION("""COMPUTED_VALUE"""),"")</f>
        <v/>
      </c>
      <c r="Q294" s="2" t="str">
        <f ca="1">IFERROR(__xludf.DUMMYFUNCTION("""COMPUTED_VALUE"""),"")</f>
        <v/>
      </c>
      <c r="R294" s="2" t="str">
        <f ca="1">IFERROR(__xludf.DUMMYFUNCTION("""COMPUTED_VALUE"""),"")</f>
        <v/>
      </c>
      <c r="S294" s="2" t="str">
        <f ca="1">IFERROR(__xludf.DUMMYFUNCTION("""COMPUTED_VALUE"""),"")</f>
        <v/>
      </c>
      <c r="T294" s="2" t="str">
        <f ca="1">IFERROR(__xludf.DUMMYFUNCTION("""COMPUTED_VALUE"""),"")</f>
        <v/>
      </c>
      <c r="U294" s="2" t="str">
        <f ca="1">IFERROR(__xludf.DUMMYFUNCTION("""COMPUTED_VALUE"""),"")</f>
        <v/>
      </c>
      <c r="V294" s="2" t="str">
        <f ca="1">IFERROR(__xludf.DUMMYFUNCTION("""COMPUTED_VALUE"""),"")</f>
        <v/>
      </c>
      <c r="W294" s="2" t="str">
        <f ca="1">IFERROR(__xludf.DUMMYFUNCTION("""COMPUTED_VALUE"""),"")</f>
        <v/>
      </c>
      <c r="X294" s="2" t="str">
        <f ca="1">IFERROR(__xludf.DUMMYFUNCTION("""COMPUTED_VALUE"""),"")</f>
        <v/>
      </c>
      <c r="Y294" s="2" t="str">
        <f ca="1">IFERROR(__xludf.DUMMYFUNCTION("""COMPUTED_VALUE"""),"")</f>
        <v/>
      </c>
      <c r="Z294" s="2" t="str">
        <f ca="1">IFERROR(__xludf.DUMMYFUNCTION("""COMPUTED_VALUE"""),"")</f>
        <v/>
      </c>
      <c r="AA294" s="2" t="str">
        <f ca="1">IFERROR(__xludf.DUMMYFUNCTION("""COMPUTED_VALUE"""),"")</f>
        <v/>
      </c>
      <c r="AB294" s="2" t="str">
        <f ca="1">IFERROR(__xludf.DUMMYFUNCTION("""COMPUTED_VALUE"""),"")</f>
        <v/>
      </c>
      <c r="AC294" s="2" t="str">
        <f ca="1">IFERROR(__xludf.DUMMYFUNCTION("""COMPUTED_VALUE"""),"")</f>
        <v/>
      </c>
      <c r="AD294" s="2" t="str">
        <f ca="1">IFERROR(__xludf.DUMMYFUNCTION("""COMPUTED_VALUE"""),"")</f>
        <v/>
      </c>
      <c r="AE294" s="2" t="str">
        <f ca="1">IFERROR(__xludf.DUMMYFUNCTION("""COMPUTED_VALUE"""),"")</f>
        <v/>
      </c>
      <c r="AF294" s="2" t="str">
        <f ca="1">IFERROR(__xludf.DUMMYFUNCTION("""COMPUTED_VALUE"""),"")</f>
        <v/>
      </c>
      <c r="AG294" s="2" t="str">
        <f ca="1">IFERROR(__xludf.DUMMYFUNCTION("""COMPUTED_VALUE"""),"")</f>
        <v/>
      </c>
      <c r="AH294" s="2" t="str">
        <f ca="1">IFERROR(__xludf.DUMMYFUNCTION("""COMPUTED_VALUE"""),"")</f>
        <v/>
      </c>
      <c r="AI294" s="2" t="str">
        <f ca="1">IFERROR(__xludf.DUMMYFUNCTION("""COMPUTED_VALUE"""),"")</f>
        <v/>
      </c>
      <c r="AJ294" s="2" t="str">
        <f ca="1">IFERROR(__xludf.DUMMYFUNCTION("""COMPUTED_VALUE"""),"")</f>
        <v/>
      </c>
      <c r="AK294" s="2" t="str">
        <f ca="1">IFERROR(__xludf.DUMMYFUNCTION("""COMPUTED_VALUE"""),"")</f>
        <v/>
      </c>
      <c r="AL294" s="2" t="str">
        <f ca="1">IFERROR(__xludf.DUMMYFUNCTION("""COMPUTED_VALUE"""),"")</f>
        <v/>
      </c>
      <c r="AM294" s="2" t="str">
        <f ca="1">IFERROR(__xludf.DUMMYFUNCTION("""COMPUTED_VALUE"""),"")</f>
        <v/>
      </c>
      <c r="AN294" s="2" t="str">
        <f ca="1">IFERROR(__xludf.DUMMYFUNCTION("""COMPUTED_VALUE"""),"")</f>
        <v/>
      </c>
      <c r="AO294" s="2" t="str">
        <f ca="1">IFERROR(__xludf.DUMMYFUNCTION("""COMPUTED_VALUE"""),"")</f>
        <v/>
      </c>
      <c r="AP294" s="2" t="str">
        <f ca="1">IFERROR(__xludf.DUMMYFUNCTION("""COMPUTED_VALUE"""),"")</f>
        <v/>
      </c>
      <c r="AQ294" s="2" t="str">
        <f ca="1">IFERROR(__xludf.DUMMYFUNCTION("""COMPUTED_VALUE"""),"")</f>
        <v/>
      </c>
      <c r="AR294" s="2" t="str">
        <f ca="1">IFERROR(__xludf.DUMMYFUNCTION("""COMPUTED_VALUE"""),"")</f>
        <v/>
      </c>
      <c r="AS294" s="2" t="str">
        <f ca="1">IFERROR(__xludf.DUMMYFUNCTION("""COMPUTED_VALUE"""),"")</f>
        <v/>
      </c>
      <c r="AT294" s="2" t="str">
        <f ca="1">IFERROR(__xludf.DUMMYFUNCTION("""COMPUTED_VALUE"""),"")</f>
        <v/>
      </c>
      <c r="AU294" s="2" t="str">
        <f ca="1">IFERROR(__xludf.DUMMYFUNCTION("""COMPUTED_VALUE"""),"")</f>
        <v/>
      </c>
      <c r="AV294" s="2" t="str">
        <f ca="1">IFERROR(__xludf.DUMMYFUNCTION("""COMPUTED_VALUE"""),"")</f>
        <v/>
      </c>
      <c r="AW294" s="2" t="str">
        <f ca="1">IFERROR(__xludf.DUMMYFUNCTION("""COMPUTED_VALUE"""),"")</f>
        <v/>
      </c>
      <c r="AX294" s="2" t="str">
        <f ca="1">IFERROR(__xludf.DUMMYFUNCTION("""COMPUTED_VALUE"""),"")</f>
        <v/>
      </c>
      <c r="AY294" s="2" t="str">
        <f ca="1">IFERROR(__xludf.DUMMYFUNCTION("""COMPUTED_VALUE"""),"")</f>
        <v/>
      </c>
      <c r="AZ294" s="2" t="str">
        <f ca="1">IFERROR(__xludf.DUMMYFUNCTION("""COMPUTED_VALUE"""),"")</f>
        <v/>
      </c>
      <c r="BA294" s="2" t="str">
        <f ca="1">IFERROR(__xludf.DUMMYFUNCTION("""COMPUTED_VALUE"""),"")</f>
        <v/>
      </c>
      <c r="BB294" s="2" t="str">
        <f ca="1">IFERROR(__xludf.DUMMYFUNCTION("""COMPUTED_VALUE"""),"")</f>
        <v/>
      </c>
      <c r="BC294" s="2" t="str">
        <f ca="1">IFERROR(__xludf.DUMMYFUNCTION("""COMPUTED_VALUE"""),"")</f>
        <v/>
      </c>
      <c r="BD294" s="2" t="str">
        <f ca="1">IFERROR(__xludf.DUMMYFUNCTION("""COMPUTED_VALUE"""),"")</f>
        <v/>
      </c>
      <c r="BE294" s="2" t="str">
        <f ca="1">IFERROR(__xludf.DUMMYFUNCTION("""COMPUTED_VALUE"""),"")</f>
        <v/>
      </c>
      <c r="BF294" t="str">
        <f ca="1">IFERROR(__xludf.DUMMYFUNCTION("""COMPUTED_VALUE"""),"")</f>
        <v/>
      </c>
      <c r="BG294" t="str">
        <f ca="1">IFERROR(__xludf.DUMMYFUNCTION("""COMPUTED_VALUE"""),"")</f>
        <v/>
      </c>
      <c r="BH294" s="2">
        <f ca="1">IFERROR(__xludf.DUMMYFUNCTION("""COMPUTED_VALUE"""),-37.2885628)</f>
        <v>-37.288562800000001</v>
      </c>
      <c r="BI294" s="13">
        <f ca="1">IFERROR(__xludf.DUMMYFUNCTION("""COMPUTED_VALUE"""),175.1164246)</f>
        <v>175.11642459999999</v>
      </c>
      <c r="BJ294" s="9">
        <f ca="1">IFERROR(__xludf.DUMMYFUNCTION("""COMPUTED_VALUE"""),43398)</f>
        <v>43398</v>
      </c>
      <c r="BK294" s="4">
        <f ca="1">IFERROR(__xludf.DUMMYFUNCTION("""COMPUTED_VALUE"""),0.958518518516939)</f>
        <v>0.95851851851693903</v>
      </c>
    </row>
    <row r="295" spans="1:63" ht="12.5" x14ac:dyDescent="0.25">
      <c r="A295" s="7" t="str">
        <f ca="1">IFERROR(__xludf.DUMMYFUNCTION("""COMPUTED_VALUE"""),"")</f>
        <v/>
      </c>
      <c r="B295" s="8" t="str">
        <f ca="1">IFERROR(__xludf.DUMMYFUNCTION("""COMPUTED_VALUE"""),"Waikato")</f>
        <v>Waikato</v>
      </c>
      <c r="C295" s="2">
        <f ca="1">IFERROR(__xludf.DUMMYFUNCTION("""COMPUTED_VALUE"""),21)</f>
        <v>21</v>
      </c>
      <c r="D295" s="9" t="str">
        <f ca="1">IFERROR(__xludf.DUMMYFUNCTION("""COMPUTED_VALUE"""),"")</f>
        <v/>
      </c>
      <c r="E295" s="4" t="str">
        <f ca="1">IFERROR(__xludf.DUMMYFUNCTION("""COMPUTED_VALUE"""),"")</f>
        <v/>
      </c>
      <c r="F295" s="2" t="str">
        <f ca="1">IFERROR(__xludf.DUMMYFUNCTION("""COMPUTED_VALUE"""),"")</f>
        <v/>
      </c>
      <c r="G295" s="2" t="str">
        <f ca="1">IFERROR(__xludf.DUMMYFUNCTION("""COMPUTED_VALUE"""),"GPS: I converted data downloaded from ARGOS using Pinpoint software")</f>
        <v>GPS: I converted data downloaded from ARGOS using Pinpoint software</v>
      </c>
      <c r="H295" s="2" t="str">
        <f ca="1">IFERROR(__xludf.DUMMYFUNCTION("""COMPUTED_VALUE"""),"3D")</f>
        <v>3D</v>
      </c>
      <c r="I295" s="2" t="str">
        <f ca="1">IFERROR(__xludf.DUMMYFUNCTION("""COMPUTED_VALUE"""),"")</f>
        <v/>
      </c>
      <c r="J295" s="2" t="str">
        <f ca="1">IFERROR(__xludf.DUMMYFUNCTION("""COMPUTED_VALUE"""),"")</f>
        <v/>
      </c>
      <c r="K295" s="2" t="str">
        <f ca="1">IFERROR(__xludf.DUMMYFUNCTION("""COMPUTED_VALUE"""),"")</f>
        <v/>
      </c>
      <c r="L295" s="2" t="str">
        <f ca="1">IFERROR(__xludf.DUMMYFUNCTION("""COMPUTED_VALUE"""),"")</f>
        <v/>
      </c>
      <c r="M295" s="5" t="str">
        <f ca="1">IFERROR(__xludf.DUMMYFUNCTION("""COMPUTED_VALUE"""),"")</f>
        <v/>
      </c>
      <c r="N295" s="5" t="str">
        <f ca="1">IFERROR(__xludf.DUMMYFUNCTION("""COMPUTED_VALUE"""),"")</f>
        <v/>
      </c>
      <c r="O295" s="2" t="str">
        <f ca="1">IFERROR(__xludf.DUMMYFUNCTION("""COMPUTED_VALUE"""),"")</f>
        <v/>
      </c>
      <c r="P295" s="2" t="str">
        <f ca="1">IFERROR(__xludf.DUMMYFUNCTION("""COMPUTED_VALUE"""),"")</f>
        <v/>
      </c>
      <c r="Q295" s="2" t="str">
        <f ca="1">IFERROR(__xludf.DUMMYFUNCTION("""COMPUTED_VALUE"""),"")</f>
        <v/>
      </c>
      <c r="R295" s="2" t="str">
        <f ca="1">IFERROR(__xludf.DUMMYFUNCTION("""COMPUTED_VALUE"""),"")</f>
        <v/>
      </c>
      <c r="S295" s="2" t="str">
        <f ca="1">IFERROR(__xludf.DUMMYFUNCTION("""COMPUTED_VALUE"""),"")</f>
        <v/>
      </c>
      <c r="T295" s="2" t="str">
        <f ca="1">IFERROR(__xludf.DUMMYFUNCTION("""COMPUTED_VALUE"""),"")</f>
        <v/>
      </c>
      <c r="U295" s="2" t="str">
        <f ca="1">IFERROR(__xludf.DUMMYFUNCTION("""COMPUTED_VALUE"""),"")</f>
        <v/>
      </c>
      <c r="V295" s="2" t="str">
        <f ca="1">IFERROR(__xludf.DUMMYFUNCTION("""COMPUTED_VALUE"""),"")</f>
        <v/>
      </c>
      <c r="W295" s="2" t="str">
        <f ca="1">IFERROR(__xludf.DUMMYFUNCTION("""COMPUTED_VALUE"""),"")</f>
        <v/>
      </c>
      <c r="X295" s="2" t="str">
        <f ca="1">IFERROR(__xludf.DUMMYFUNCTION("""COMPUTED_VALUE"""),"")</f>
        <v/>
      </c>
      <c r="Y295" s="2" t="str">
        <f ca="1">IFERROR(__xludf.DUMMYFUNCTION("""COMPUTED_VALUE"""),"")</f>
        <v/>
      </c>
      <c r="Z295" s="2" t="str">
        <f ca="1">IFERROR(__xludf.DUMMYFUNCTION("""COMPUTED_VALUE"""),"")</f>
        <v/>
      </c>
      <c r="AA295" s="2" t="str">
        <f ca="1">IFERROR(__xludf.DUMMYFUNCTION("""COMPUTED_VALUE"""),"")</f>
        <v/>
      </c>
      <c r="AB295" s="2" t="str">
        <f ca="1">IFERROR(__xludf.DUMMYFUNCTION("""COMPUTED_VALUE"""),"")</f>
        <v/>
      </c>
      <c r="AC295" s="2" t="str">
        <f ca="1">IFERROR(__xludf.DUMMYFUNCTION("""COMPUTED_VALUE"""),"")</f>
        <v/>
      </c>
      <c r="AD295" s="2" t="str">
        <f ca="1">IFERROR(__xludf.DUMMYFUNCTION("""COMPUTED_VALUE"""),"")</f>
        <v/>
      </c>
      <c r="AE295" s="2" t="str">
        <f ca="1">IFERROR(__xludf.DUMMYFUNCTION("""COMPUTED_VALUE"""),"")</f>
        <v/>
      </c>
      <c r="AF295" s="2" t="str">
        <f ca="1">IFERROR(__xludf.DUMMYFUNCTION("""COMPUTED_VALUE"""),"")</f>
        <v/>
      </c>
      <c r="AG295" s="2" t="str">
        <f ca="1">IFERROR(__xludf.DUMMYFUNCTION("""COMPUTED_VALUE"""),"")</f>
        <v/>
      </c>
      <c r="AH295" s="2" t="str">
        <f ca="1">IFERROR(__xludf.DUMMYFUNCTION("""COMPUTED_VALUE"""),"")</f>
        <v/>
      </c>
      <c r="AI295" s="2" t="str">
        <f ca="1">IFERROR(__xludf.DUMMYFUNCTION("""COMPUTED_VALUE"""),"")</f>
        <v/>
      </c>
      <c r="AJ295" s="2" t="str">
        <f ca="1">IFERROR(__xludf.DUMMYFUNCTION("""COMPUTED_VALUE"""),"")</f>
        <v/>
      </c>
      <c r="AK295" s="2" t="str">
        <f ca="1">IFERROR(__xludf.DUMMYFUNCTION("""COMPUTED_VALUE"""),"")</f>
        <v/>
      </c>
      <c r="AL295" s="2" t="str">
        <f ca="1">IFERROR(__xludf.DUMMYFUNCTION("""COMPUTED_VALUE"""),"")</f>
        <v/>
      </c>
      <c r="AM295" s="2" t="str">
        <f ca="1">IFERROR(__xludf.DUMMYFUNCTION("""COMPUTED_VALUE"""),"")</f>
        <v/>
      </c>
      <c r="AN295" s="2" t="str">
        <f ca="1">IFERROR(__xludf.DUMMYFUNCTION("""COMPUTED_VALUE"""),"")</f>
        <v/>
      </c>
      <c r="AO295" s="2" t="str">
        <f ca="1">IFERROR(__xludf.DUMMYFUNCTION("""COMPUTED_VALUE"""),"")</f>
        <v/>
      </c>
      <c r="AP295" s="2" t="str">
        <f ca="1">IFERROR(__xludf.DUMMYFUNCTION("""COMPUTED_VALUE"""),"")</f>
        <v/>
      </c>
      <c r="AQ295" s="2" t="str">
        <f ca="1">IFERROR(__xludf.DUMMYFUNCTION("""COMPUTED_VALUE"""),"")</f>
        <v/>
      </c>
      <c r="AR295" s="2" t="str">
        <f ca="1">IFERROR(__xludf.DUMMYFUNCTION("""COMPUTED_VALUE"""),"")</f>
        <v/>
      </c>
      <c r="AS295" s="2" t="str">
        <f ca="1">IFERROR(__xludf.DUMMYFUNCTION("""COMPUTED_VALUE"""),"")</f>
        <v/>
      </c>
      <c r="AT295" s="2" t="str">
        <f ca="1">IFERROR(__xludf.DUMMYFUNCTION("""COMPUTED_VALUE"""),"")</f>
        <v/>
      </c>
      <c r="AU295" s="2" t="str">
        <f ca="1">IFERROR(__xludf.DUMMYFUNCTION("""COMPUTED_VALUE"""),"")</f>
        <v/>
      </c>
      <c r="AV295" s="2" t="str">
        <f ca="1">IFERROR(__xludf.DUMMYFUNCTION("""COMPUTED_VALUE"""),"")</f>
        <v/>
      </c>
      <c r="AW295" s="2" t="str">
        <f ca="1">IFERROR(__xludf.DUMMYFUNCTION("""COMPUTED_VALUE"""),"")</f>
        <v/>
      </c>
      <c r="AX295" s="2" t="str">
        <f ca="1">IFERROR(__xludf.DUMMYFUNCTION("""COMPUTED_VALUE"""),"")</f>
        <v/>
      </c>
      <c r="AY295" s="2" t="str">
        <f ca="1">IFERROR(__xludf.DUMMYFUNCTION("""COMPUTED_VALUE"""),"")</f>
        <v/>
      </c>
      <c r="AZ295" s="2" t="str">
        <f ca="1">IFERROR(__xludf.DUMMYFUNCTION("""COMPUTED_VALUE"""),"")</f>
        <v/>
      </c>
      <c r="BA295" s="2" t="str">
        <f ca="1">IFERROR(__xludf.DUMMYFUNCTION("""COMPUTED_VALUE"""),"")</f>
        <v/>
      </c>
      <c r="BB295" s="2" t="str">
        <f ca="1">IFERROR(__xludf.DUMMYFUNCTION("""COMPUTED_VALUE"""),"")</f>
        <v/>
      </c>
      <c r="BC295" s="2" t="str">
        <f ca="1">IFERROR(__xludf.DUMMYFUNCTION("""COMPUTED_VALUE"""),"")</f>
        <v/>
      </c>
      <c r="BD295" s="2" t="str">
        <f ca="1">IFERROR(__xludf.DUMMYFUNCTION("""COMPUTED_VALUE"""),"")</f>
        <v/>
      </c>
      <c r="BE295" s="2" t="str">
        <f ca="1">IFERROR(__xludf.DUMMYFUNCTION("""COMPUTED_VALUE"""),"")</f>
        <v/>
      </c>
      <c r="BF295" t="str">
        <f ca="1">IFERROR(__xludf.DUMMYFUNCTION("""COMPUTED_VALUE"""),"")</f>
        <v/>
      </c>
      <c r="BG295" t="str">
        <f ca="1">IFERROR(__xludf.DUMMYFUNCTION("""COMPUTED_VALUE"""),"")</f>
        <v/>
      </c>
      <c r="BH295" s="2">
        <f ca="1">IFERROR(__xludf.DUMMYFUNCTION("""COMPUTED_VALUE"""),-37.2950668)</f>
        <v>-37.295066800000001</v>
      </c>
      <c r="BI295" s="12">
        <f ca="1">IFERROR(__xludf.DUMMYFUNCTION("""COMPUTED_VALUE"""),175.1209564)</f>
        <v>175.12095640000001</v>
      </c>
      <c r="BJ295" s="9">
        <f ca="1">IFERROR(__xludf.DUMMYFUNCTION("""COMPUTED_VALUE"""),43399)</f>
        <v>43399</v>
      </c>
      <c r="BK295" s="4">
        <f ca="1">IFERROR(__xludf.DUMMYFUNCTION("""COMPUTED_VALUE"""),0.874074074072268)</f>
        <v>0.874074074072268</v>
      </c>
    </row>
    <row r="296" spans="1:63" ht="12.5" x14ac:dyDescent="0.25">
      <c r="A296" s="7" t="str">
        <f ca="1">IFERROR(__xludf.DUMMYFUNCTION("""COMPUTED_VALUE"""),"")</f>
        <v/>
      </c>
      <c r="B296" s="8" t="str">
        <f ca="1">IFERROR(__xludf.DUMMYFUNCTION("""COMPUTED_VALUE"""),"Waikato")</f>
        <v>Waikato</v>
      </c>
      <c r="C296" s="2">
        <f ca="1">IFERROR(__xludf.DUMMYFUNCTION("""COMPUTED_VALUE"""),21)</f>
        <v>21</v>
      </c>
      <c r="D296" s="9" t="str">
        <f ca="1">IFERROR(__xludf.DUMMYFUNCTION("""COMPUTED_VALUE"""),"")</f>
        <v/>
      </c>
      <c r="E296" s="4" t="str">
        <f ca="1">IFERROR(__xludf.DUMMYFUNCTION("""COMPUTED_VALUE"""),"")</f>
        <v/>
      </c>
      <c r="F296" s="2" t="str">
        <f ca="1">IFERROR(__xludf.DUMMYFUNCTION("""COMPUTED_VALUE"""),"")</f>
        <v/>
      </c>
      <c r="G296" s="2" t="str">
        <f ca="1">IFERROR(__xludf.DUMMYFUNCTION("""COMPUTED_VALUE"""),"GPS: I converted data downloaded from ARGOS using Pinpoint software")</f>
        <v>GPS: I converted data downloaded from ARGOS using Pinpoint software</v>
      </c>
      <c r="H296" s="2" t="str">
        <f ca="1">IFERROR(__xludf.DUMMYFUNCTION("""COMPUTED_VALUE"""),"3D")</f>
        <v>3D</v>
      </c>
      <c r="I296" s="2" t="str">
        <f ca="1">IFERROR(__xludf.DUMMYFUNCTION("""COMPUTED_VALUE"""),"")</f>
        <v/>
      </c>
      <c r="J296" s="2" t="str">
        <f ca="1">IFERROR(__xludf.DUMMYFUNCTION("""COMPUTED_VALUE"""),"")</f>
        <v/>
      </c>
      <c r="K296" s="2" t="str">
        <f ca="1">IFERROR(__xludf.DUMMYFUNCTION("""COMPUTED_VALUE"""),"")</f>
        <v/>
      </c>
      <c r="L296" s="2" t="str">
        <f ca="1">IFERROR(__xludf.DUMMYFUNCTION("""COMPUTED_VALUE"""),"")</f>
        <v/>
      </c>
      <c r="M296" s="5" t="str">
        <f ca="1">IFERROR(__xludf.DUMMYFUNCTION("""COMPUTED_VALUE"""),"")</f>
        <v/>
      </c>
      <c r="N296" s="5" t="str">
        <f ca="1">IFERROR(__xludf.DUMMYFUNCTION("""COMPUTED_VALUE"""),"")</f>
        <v/>
      </c>
      <c r="O296" s="2" t="str">
        <f ca="1">IFERROR(__xludf.DUMMYFUNCTION("""COMPUTED_VALUE"""),"")</f>
        <v/>
      </c>
      <c r="P296" s="2" t="str">
        <f ca="1">IFERROR(__xludf.DUMMYFUNCTION("""COMPUTED_VALUE"""),"")</f>
        <v/>
      </c>
      <c r="Q296" s="2" t="str">
        <f ca="1">IFERROR(__xludf.DUMMYFUNCTION("""COMPUTED_VALUE"""),"")</f>
        <v/>
      </c>
      <c r="R296" s="2" t="str">
        <f ca="1">IFERROR(__xludf.DUMMYFUNCTION("""COMPUTED_VALUE"""),"")</f>
        <v/>
      </c>
      <c r="S296" s="2" t="str">
        <f ca="1">IFERROR(__xludf.DUMMYFUNCTION("""COMPUTED_VALUE"""),"")</f>
        <v/>
      </c>
      <c r="T296" s="2" t="str">
        <f ca="1">IFERROR(__xludf.DUMMYFUNCTION("""COMPUTED_VALUE"""),"")</f>
        <v/>
      </c>
      <c r="U296" s="2" t="str">
        <f ca="1">IFERROR(__xludf.DUMMYFUNCTION("""COMPUTED_VALUE"""),"")</f>
        <v/>
      </c>
      <c r="V296" s="2" t="str">
        <f ca="1">IFERROR(__xludf.DUMMYFUNCTION("""COMPUTED_VALUE"""),"")</f>
        <v/>
      </c>
      <c r="W296" s="2" t="str">
        <f ca="1">IFERROR(__xludf.DUMMYFUNCTION("""COMPUTED_VALUE"""),"")</f>
        <v/>
      </c>
      <c r="X296" s="2" t="str">
        <f ca="1">IFERROR(__xludf.DUMMYFUNCTION("""COMPUTED_VALUE"""),"")</f>
        <v/>
      </c>
      <c r="Y296" s="2" t="str">
        <f ca="1">IFERROR(__xludf.DUMMYFUNCTION("""COMPUTED_VALUE"""),"")</f>
        <v/>
      </c>
      <c r="Z296" s="2" t="str">
        <f ca="1">IFERROR(__xludf.DUMMYFUNCTION("""COMPUTED_VALUE"""),"")</f>
        <v/>
      </c>
      <c r="AA296" s="2" t="str">
        <f ca="1">IFERROR(__xludf.DUMMYFUNCTION("""COMPUTED_VALUE"""),"")</f>
        <v/>
      </c>
      <c r="AB296" s="2" t="str">
        <f ca="1">IFERROR(__xludf.DUMMYFUNCTION("""COMPUTED_VALUE"""),"")</f>
        <v/>
      </c>
      <c r="AC296" s="2" t="str">
        <f ca="1">IFERROR(__xludf.DUMMYFUNCTION("""COMPUTED_VALUE"""),"")</f>
        <v/>
      </c>
      <c r="AD296" s="2" t="str">
        <f ca="1">IFERROR(__xludf.DUMMYFUNCTION("""COMPUTED_VALUE"""),"")</f>
        <v/>
      </c>
      <c r="AE296" s="2" t="str">
        <f ca="1">IFERROR(__xludf.DUMMYFUNCTION("""COMPUTED_VALUE"""),"")</f>
        <v/>
      </c>
      <c r="AF296" s="2" t="str">
        <f ca="1">IFERROR(__xludf.DUMMYFUNCTION("""COMPUTED_VALUE"""),"")</f>
        <v/>
      </c>
      <c r="AG296" s="2" t="str">
        <f ca="1">IFERROR(__xludf.DUMMYFUNCTION("""COMPUTED_VALUE"""),"")</f>
        <v/>
      </c>
      <c r="AH296" s="2" t="str">
        <f ca="1">IFERROR(__xludf.DUMMYFUNCTION("""COMPUTED_VALUE"""),"")</f>
        <v/>
      </c>
      <c r="AI296" s="2" t="str">
        <f ca="1">IFERROR(__xludf.DUMMYFUNCTION("""COMPUTED_VALUE"""),"")</f>
        <v/>
      </c>
      <c r="AJ296" s="2" t="str">
        <f ca="1">IFERROR(__xludf.DUMMYFUNCTION("""COMPUTED_VALUE"""),"")</f>
        <v/>
      </c>
      <c r="AK296" s="2" t="str">
        <f ca="1">IFERROR(__xludf.DUMMYFUNCTION("""COMPUTED_VALUE"""),"")</f>
        <v/>
      </c>
      <c r="AL296" s="2" t="str">
        <f ca="1">IFERROR(__xludf.DUMMYFUNCTION("""COMPUTED_VALUE"""),"")</f>
        <v/>
      </c>
      <c r="AM296" s="2" t="str">
        <f ca="1">IFERROR(__xludf.DUMMYFUNCTION("""COMPUTED_VALUE"""),"")</f>
        <v/>
      </c>
      <c r="AN296" s="2" t="str">
        <f ca="1">IFERROR(__xludf.DUMMYFUNCTION("""COMPUTED_VALUE"""),"")</f>
        <v/>
      </c>
      <c r="AO296" s="2" t="str">
        <f ca="1">IFERROR(__xludf.DUMMYFUNCTION("""COMPUTED_VALUE"""),"")</f>
        <v/>
      </c>
      <c r="AP296" s="2" t="str">
        <f ca="1">IFERROR(__xludf.DUMMYFUNCTION("""COMPUTED_VALUE"""),"")</f>
        <v/>
      </c>
      <c r="AQ296" s="2" t="str">
        <f ca="1">IFERROR(__xludf.DUMMYFUNCTION("""COMPUTED_VALUE"""),"")</f>
        <v/>
      </c>
      <c r="AR296" s="2" t="str">
        <f ca="1">IFERROR(__xludf.DUMMYFUNCTION("""COMPUTED_VALUE"""),"")</f>
        <v/>
      </c>
      <c r="AS296" s="2" t="str">
        <f ca="1">IFERROR(__xludf.DUMMYFUNCTION("""COMPUTED_VALUE"""),"")</f>
        <v/>
      </c>
      <c r="AT296" s="2" t="str">
        <f ca="1">IFERROR(__xludf.DUMMYFUNCTION("""COMPUTED_VALUE"""),"")</f>
        <v/>
      </c>
      <c r="AU296" s="2" t="str">
        <f ca="1">IFERROR(__xludf.DUMMYFUNCTION("""COMPUTED_VALUE"""),"")</f>
        <v/>
      </c>
      <c r="AV296" s="2" t="str">
        <f ca="1">IFERROR(__xludf.DUMMYFUNCTION("""COMPUTED_VALUE"""),"")</f>
        <v/>
      </c>
      <c r="AW296" s="2" t="str">
        <f ca="1">IFERROR(__xludf.DUMMYFUNCTION("""COMPUTED_VALUE"""),"")</f>
        <v/>
      </c>
      <c r="AX296" s="2" t="str">
        <f ca="1">IFERROR(__xludf.DUMMYFUNCTION("""COMPUTED_VALUE"""),"")</f>
        <v/>
      </c>
      <c r="AY296" s="2" t="str">
        <f ca="1">IFERROR(__xludf.DUMMYFUNCTION("""COMPUTED_VALUE"""),"")</f>
        <v/>
      </c>
      <c r="AZ296" s="2" t="str">
        <f ca="1">IFERROR(__xludf.DUMMYFUNCTION("""COMPUTED_VALUE"""),"")</f>
        <v/>
      </c>
      <c r="BA296" s="2" t="str">
        <f ca="1">IFERROR(__xludf.DUMMYFUNCTION("""COMPUTED_VALUE"""),"")</f>
        <v/>
      </c>
      <c r="BB296" s="2" t="str">
        <f ca="1">IFERROR(__xludf.DUMMYFUNCTION("""COMPUTED_VALUE"""),"")</f>
        <v/>
      </c>
      <c r="BC296" s="2" t="str">
        <f ca="1">IFERROR(__xludf.DUMMYFUNCTION("""COMPUTED_VALUE"""),"")</f>
        <v/>
      </c>
      <c r="BD296" s="2" t="str">
        <f ca="1">IFERROR(__xludf.DUMMYFUNCTION("""COMPUTED_VALUE"""),"")</f>
        <v/>
      </c>
      <c r="BE296" s="2" t="str">
        <f ca="1">IFERROR(__xludf.DUMMYFUNCTION("""COMPUTED_VALUE"""),"")</f>
        <v/>
      </c>
      <c r="BF296" t="str">
        <f ca="1">IFERROR(__xludf.DUMMYFUNCTION("""COMPUTED_VALUE"""),"")</f>
        <v/>
      </c>
      <c r="BG296" t="str">
        <f ca="1">IFERROR(__xludf.DUMMYFUNCTION("""COMPUTED_VALUE"""),"")</f>
        <v/>
      </c>
      <c r="BH296" s="2">
        <f ca="1">IFERROR(__xludf.DUMMYFUNCTION("""COMPUTED_VALUE"""),-37.2941971)</f>
        <v>-37.294197099999998</v>
      </c>
      <c r="BI296" s="13">
        <f ca="1">IFERROR(__xludf.DUMMYFUNCTION("""COMPUTED_VALUE"""),175.1108551)</f>
        <v>175.11085510000001</v>
      </c>
      <c r="BJ296" s="9">
        <f ca="1">IFERROR(__xludf.DUMMYFUNCTION("""COMPUTED_VALUE"""),43400)</f>
        <v>43400</v>
      </c>
      <c r="BK296" s="4">
        <f ca="1">IFERROR(__xludf.DUMMYFUNCTION("""COMPUTED_VALUE"""),0.457777777777664)</f>
        <v>0.45777777777766399</v>
      </c>
    </row>
    <row r="297" spans="1:63" ht="12.5" x14ac:dyDescent="0.25">
      <c r="A297" s="7" t="str">
        <f ca="1">IFERROR(__xludf.DUMMYFUNCTION("""COMPUTED_VALUE"""),"")</f>
        <v/>
      </c>
      <c r="B297" s="8" t="str">
        <f ca="1">IFERROR(__xludf.DUMMYFUNCTION("""COMPUTED_VALUE"""),"Waikato")</f>
        <v>Waikato</v>
      </c>
      <c r="C297" s="2">
        <f ca="1">IFERROR(__xludf.DUMMYFUNCTION("""COMPUTED_VALUE"""),21)</f>
        <v>21</v>
      </c>
      <c r="D297" s="9" t="str">
        <f ca="1">IFERROR(__xludf.DUMMYFUNCTION("""COMPUTED_VALUE"""),"")</f>
        <v/>
      </c>
      <c r="E297" s="4" t="str">
        <f ca="1">IFERROR(__xludf.DUMMYFUNCTION("""COMPUTED_VALUE"""),"")</f>
        <v/>
      </c>
      <c r="F297" s="2" t="str">
        <f ca="1">IFERROR(__xludf.DUMMYFUNCTION("""COMPUTED_VALUE"""),"")</f>
        <v/>
      </c>
      <c r="G297" s="2" t="str">
        <f ca="1">IFERROR(__xludf.DUMMYFUNCTION("""COMPUTED_VALUE"""),"GPS: I converted data downloaded from ARGOS using Pinpoint software")</f>
        <v>GPS: I converted data downloaded from ARGOS using Pinpoint software</v>
      </c>
      <c r="H297" s="2" t="str">
        <f ca="1">IFERROR(__xludf.DUMMYFUNCTION("""COMPUTED_VALUE"""),"3D")</f>
        <v>3D</v>
      </c>
      <c r="I297" s="2" t="str">
        <f ca="1">IFERROR(__xludf.DUMMYFUNCTION("""COMPUTED_VALUE"""),"")</f>
        <v/>
      </c>
      <c r="J297" s="2" t="str">
        <f ca="1">IFERROR(__xludf.DUMMYFUNCTION("""COMPUTED_VALUE"""),"")</f>
        <v/>
      </c>
      <c r="K297" s="2" t="str">
        <f ca="1">IFERROR(__xludf.DUMMYFUNCTION("""COMPUTED_VALUE"""),"")</f>
        <v/>
      </c>
      <c r="L297" s="2" t="str">
        <f ca="1">IFERROR(__xludf.DUMMYFUNCTION("""COMPUTED_VALUE"""),"")</f>
        <v/>
      </c>
      <c r="M297" s="5" t="str">
        <f ca="1">IFERROR(__xludf.DUMMYFUNCTION("""COMPUTED_VALUE"""),"")</f>
        <v/>
      </c>
      <c r="N297" s="5" t="str">
        <f ca="1">IFERROR(__xludf.DUMMYFUNCTION("""COMPUTED_VALUE"""),"")</f>
        <v/>
      </c>
      <c r="O297" s="2" t="str">
        <f ca="1">IFERROR(__xludf.DUMMYFUNCTION("""COMPUTED_VALUE"""),"")</f>
        <v/>
      </c>
      <c r="P297" s="2" t="str">
        <f ca="1">IFERROR(__xludf.DUMMYFUNCTION("""COMPUTED_VALUE"""),"")</f>
        <v/>
      </c>
      <c r="Q297" s="2" t="str">
        <f ca="1">IFERROR(__xludf.DUMMYFUNCTION("""COMPUTED_VALUE"""),"")</f>
        <v/>
      </c>
      <c r="R297" s="2" t="str">
        <f ca="1">IFERROR(__xludf.DUMMYFUNCTION("""COMPUTED_VALUE"""),"")</f>
        <v/>
      </c>
      <c r="S297" s="2" t="str">
        <f ca="1">IFERROR(__xludf.DUMMYFUNCTION("""COMPUTED_VALUE"""),"")</f>
        <v/>
      </c>
      <c r="T297" s="2" t="str">
        <f ca="1">IFERROR(__xludf.DUMMYFUNCTION("""COMPUTED_VALUE"""),"")</f>
        <v/>
      </c>
      <c r="U297" s="2" t="str">
        <f ca="1">IFERROR(__xludf.DUMMYFUNCTION("""COMPUTED_VALUE"""),"")</f>
        <v/>
      </c>
      <c r="V297" s="2" t="str">
        <f ca="1">IFERROR(__xludf.DUMMYFUNCTION("""COMPUTED_VALUE"""),"")</f>
        <v/>
      </c>
      <c r="W297" s="2" t="str">
        <f ca="1">IFERROR(__xludf.DUMMYFUNCTION("""COMPUTED_VALUE"""),"")</f>
        <v/>
      </c>
      <c r="X297" s="2" t="str">
        <f ca="1">IFERROR(__xludf.DUMMYFUNCTION("""COMPUTED_VALUE"""),"")</f>
        <v/>
      </c>
      <c r="Y297" s="2" t="str">
        <f ca="1">IFERROR(__xludf.DUMMYFUNCTION("""COMPUTED_VALUE"""),"")</f>
        <v/>
      </c>
      <c r="Z297" s="2" t="str">
        <f ca="1">IFERROR(__xludf.DUMMYFUNCTION("""COMPUTED_VALUE"""),"")</f>
        <v/>
      </c>
      <c r="AA297" s="2" t="str">
        <f ca="1">IFERROR(__xludf.DUMMYFUNCTION("""COMPUTED_VALUE"""),"")</f>
        <v/>
      </c>
      <c r="AB297" s="2" t="str">
        <f ca="1">IFERROR(__xludf.DUMMYFUNCTION("""COMPUTED_VALUE"""),"")</f>
        <v/>
      </c>
      <c r="AC297" s="2" t="str">
        <f ca="1">IFERROR(__xludf.DUMMYFUNCTION("""COMPUTED_VALUE"""),"")</f>
        <v/>
      </c>
      <c r="AD297" s="2" t="str">
        <f ca="1">IFERROR(__xludf.DUMMYFUNCTION("""COMPUTED_VALUE"""),"")</f>
        <v/>
      </c>
      <c r="AE297" s="2" t="str">
        <f ca="1">IFERROR(__xludf.DUMMYFUNCTION("""COMPUTED_VALUE"""),"")</f>
        <v/>
      </c>
      <c r="AF297" s="2" t="str">
        <f ca="1">IFERROR(__xludf.DUMMYFUNCTION("""COMPUTED_VALUE"""),"")</f>
        <v/>
      </c>
      <c r="AG297" s="2" t="str">
        <f ca="1">IFERROR(__xludf.DUMMYFUNCTION("""COMPUTED_VALUE"""),"")</f>
        <v/>
      </c>
      <c r="AH297" s="2" t="str">
        <f ca="1">IFERROR(__xludf.DUMMYFUNCTION("""COMPUTED_VALUE"""),"")</f>
        <v/>
      </c>
      <c r="AI297" s="2" t="str">
        <f ca="1">IFERROR(__xludf.DUMMYFUNCTION("""COMPUTED_VALUE"""),"")</f>
        <v/>
      </c>
      <c r="AJ297" s="2" t="str">
        <f ca="1">IFERROR(__xludf.DUMMYFUNCTION("""COMPUTED_VALUE"""),"")</f>
        <v/>
      </c>
      <c r="AK297" s="2" t="str">
        <f ca="1">IFERROR(__xludf.DUMMYFUNCTION("""COMPUTED_VALUE"""),"")</f>
        <v/>
      </c>
      <c r="AL297" s="2" t="str">
        <f ca="1">IFERROR(__xludf.DUMMYFUNCTION("""COMPUTED_VALUE"""),"")</f>
        <v/>
      </c>
      <c r="AM297" s="2" t="str">
        <f ca="1">IFERROR(__xludf.DUMMYFUNCTION("""COMPUTED_VALUE"""),"")</f>
        <v/>
      </c>
      <c r="AN297" s="2" t="str">
        <f ca="1">IFERROR(__xludf.DUMMYFUNCTION("""COMPUTED_VALUE"""),"")</f>
        <v/>
      </c>
      <c r="AO297" s="2" t="str">
        <f ca="1">IFERROR(__xludf.DUMMYFUNCTION("""COMPUTED_VALUE"""),"")</f>
        <v/>
      </c>
      <c r="AP297" s="2" t="str">
        <f ca="1">IFERROR(__xludf.DUMMYFUNCTION("""COMPUTED_VALUE"""),"")</f>
        <v/>
      </c>
      <c r="AQ297" s="2" t="str">
        <f ca="1">IFERROR(__xludf.DUMMYFUNCTION("""COMPUTED_VALUE"""),"")</f>
        <v/>
      </c>
      <c r="AR297" s="2" t="str">
        <f ca="1">IFERROR(__xludf.DUMMYFUNCTION("""COMPUTED_VALUE"""),"")</f>
        <v/>
      </c>
      <c r="AS297" s="2" t="str">
        <f ca="1">IFERROR(__xludf.DUMMYFUNCTION("""COMPUTED_VALUE"""),"")</f>
        <v/>
      </c>
      <c r="AT297" s="2" t="str">
        <f ca="1">IFERROR(__xludf.DUMMYFUNCTION("""COMPUTED_VALUE"""),"")</f>
        <v/>
      </c>
      <c r="AU297" s="2" t="str">
        <f ca="1">IFERROR(__xludf.DUMMYFUNCTION("""COMPUTED_VALUE"""),"")</f>
        <v/>
      </c>
      <c r="AV297" s="2" t="str">
        <f ca="1">IFERROR(__xludf.DUMMYFUNCTION("""COMPUTED_VALUE"""),"")</f>
        <v/>
      </c>
      <c r="AW297" s="2" t="str">
        <f ca="1">IFERROR(__xludf.DUMMYFUNCTION("""COMPUTED_VALUE"""),"")</f>
        <v/>
      </c>
      <c r="AX297" s="2" t="str">
        <f ca="1">IFERROR(__xludf.DUMMYFUNCTION("""COMPUTED_VALUE"""),"")</f>
        <v/>
      </c>
      <c r="AY297" s="2" t="str">
        <f ca="1">IFERROR(__xludf.DUMMYFUNCTION("""COMPUTED_VALUE"""),"")</f>
        <v/>
      </c>
      <c r="AZ297" s="2" t="str">
        <f ca="1">IFERROR(__xludf.DUMMYFUNCTION("""COMPUTED_VALUE"""),"")</f>
        <v/>
      </c>
      <c r="BA297" s="2" t="str">
        <f ca="1">IFERROR(__xludf.DUMMYFUNCTION("""COMPUTED_VALUE"""),"")</f>
        <v/>
      </c>
      <c r="BB297" s="2" t="str">
        <f ca="1">IFERROR(__xludf.DUMMYFUNCTION("""COMPUTED_VALUE"""),"")</f>
        <v/>
      </c>
      <c r="BC297" s="2" t="str">
        <f ca="1">IFERROR(__xludf.DUMMYFUNCTION("""COMPUTED_VALUE"""),"")</f>
        <v/>
      </c>
      <c r="BD297" s="2" t="str">
        <f ca="1">IFERROR(__xludf.DUMMYFUNCTION("""COMPUTED_VALUE"""),"")</f>
        <v/>
      </c>
      <c r="BE297" s="2" t="str">
        <f ca="1">IFERROR(__xludf.DUMMYFUNCTION("""COMPUTED_VALUE"""),"")</f>
        <v/>
      </c>
      <c r="BF297" t="str">
        <f ca="1">IFERROR(__xludf.DUMMYFUNCTION("""COMPUTED_VALUE"""),"")</f>
        <v/>
      </c>
      <c r="BG297" t="str">
        <f ca="1">IFERROR(__xludf.DUMMYFUNCTION("""COMPUTED_VALUE"""),"")</f>
        <v/>
      </c>
      <c r="BH297" s="2">
        <f ca="1">IFERROR(__xludf.DUMMYFUNCTION("""COMPUTED_VALUE"""),-37.2971649)</f>
        <v>-37.297164899999999</v>
      </c>
      <c r="BI297" s="12">
        <f ca="1">IFERROR(__xludf.DUMMYFUNCTION("""COMPUTED_VALUE"""),175.1091309)</f>
        <v>175.1091309</v>
      </c>
      <c r="BJ297" s="9">
        <f ca="1">IFERROR(__xludf.DUMMYFUNCTION("""COMPUTED_VALUE"""),43400)</f>
        <v>43400</v>
      </c>
      <c r="BK297" s="4">
        <f ca="1">IFERROR(__xludf.DUMMYFUNCTION("""COMPUTED_VALUE"""),0.958518518516939)</f>
        <v>0.95851851851693903</v>
      </c>
    </row>
    <row r="298" spans="1:63" ht="12.5" x14ac:dyDescent="0.25">
      <c r="A298" s="7" t="str">
        <f ca="1">IFERROR(__xludf.DUMMYFUNCTION("""COMPUTED_VALUE"""),"")</f>
        <v/>
      </c>
      <c r="B298" s="8" t="str">
        <f ca="1">IFERROR(__xludf.DUMMYFUNCTION("""COMPUTED_VALUE"""),"Waikato")</f>
        <v>Waikato</v>
      </c>
      <c r="C298" s="2">
        <f ca="1">IFERROR(__xludf.DUMMYFUNCTION("""COMPUTED_VALUE"""),21)</f>
        <v>21</v>
      </c>
      <c r="D298" s="9" t="str">
        <f ca="1">IFERROR(__xludf.DUMMYFUNCTION("""COMPUTED_VALUE"""),"")</f>
        <v/>
      </c>
      <c r="E298" s="4" t="str">
        <f ca="1">IFERROR(__xludf.DUMMYFUNCTION("""COMPUTED_VALUE"""),"")</f>
        <v/>
      </c>
      <c r="F298" s="2" t="str">
        <f ca="1">IFERROR(__xludf.DUMMYFUNCTION("""COMPUTED_VALUE"""),"")</f>
        <v/>
      </c>
      <c r="G298" s="2" t="str">
        <f ca="1">IFERROR(__xludf.DUMMYFUNCTION("""COMPUTED_VALUE"""),"GPS: I converted data downloaded from ARGOS using Pinpoint software")</f>
        <v>GPS: I converted data downloaded from ARGOS using Pinpoint software</v>
      </c>
      <c r="H298" s="2" t="str">
        <f ca="1">IFERROR(__xludf.DUMMYFUNCTION("""COMPUTED_VALUE"""),"3D")</f>
        <v>3D</v>
      </c>
      <c r="I298" s="2" t="str">
        <f ca="1">IFERROR(__xludf.DUMMYFUNCTION("""COMPUTED_VALUE"""),"")</f>
        <v/>
      </c>
      <c r="J298" s="2" t="str">
        <f ca="1">IFERROR(__xludf.DUMMYFUNCTION("""COMPUTED_VALUE"""),"")</f>
        <v/>
      </c>
      <c r="K298" s="2" t="str">
        <f ca="1">IFERROR(__xludf.DUMMYFUNCTION("""COMPUTED_VALUE"""),"")</f>
        <v/>
      </c>
      <c r="L298" s="2" t="str">
        <f ca="1">IFERROR(__xludf.DUMMYFUNCTION("""COMPUTED_VALUE"""),"")</f>
        <v/>
      </c>
      <c r="M298" s="5" t="str">
        <f ca="1">IFERROR(__xludf.DUMMYFUNCTION("""COMPUTED_VALUE"""),"")</f>
        <v/>
      </c>
      <c r="N298" s="5" t="str">
        <f ca="1">IFERROR(__xludf.DUMMYFUNCTION("""COMPUTED_VALUE"""),"")</f>
        <v/>
      </c>
      <c r="O298" s="2" t="str">
        <f ca="1">IFERROR(__xludf.DUMMYFUNCTION("""COMPUTED_VALUE"""),"")</f>
        <v/>
      </c>
      <c r="P298" s="2" t="str">
        <f ca="1">IFERROR(__xludf.DUMMYFUNCTION("""COMPUTED_VALUE"""),"")</f>
        <v/>
      </c>
      <c r="Q298" s="2" t="str">
        <f ca="1">IFERROR(__xludf.DUMMYFUNCTION("""COMPUTED_VALUE"""),"")</f>
        <v/>
      </c>
      <c r="R298" s="2" t="str">
        <f ca="1">IFERROR(__xludf.DUMMYFUNCTION("""COMPUTED_VALUE"""),"")</f>
        <v/>
      </c>
      <c r="S298" s="2" t="str">
        <f ca="1">IFERROR(__xludf.DUMMYFUNCTION("""COMPUTED_VALUE"""),"")</f>
        <v/>
      </c>
      <c r="T298" s="2" t="str">
        <f ca="1">IFERROR(__xludf.DUMMYFUNCTION("""COMPUTED_VALUE"""),"")</f>
        <v/>
      </c>
      <c r="U298" s="2" t="str">
        <f ca="1">IFERROR(__xludf.DUMMYFUNCTION("""COMPUTED_VALUE"""),"")</f>
        <v/>
      </c>
      <c r="V298" s="2" t="str">
        <f ca="1">IFERROR(__xludf.DUMMYFUNCTION("""COMPUTED_VALUE"""),"")</f>
        <v/>
      </c>
      <c r="W298" s="2" t="str">
        <f ca="1">IFERROR(__xludf.DUMMYFUNCTION("""COMPUTED_VALUE"""),"")</f>
        <v/>
      </c>
      <c r="X298" s="2" t="str">
        <f ca="1">IFERROR(__xludf.DUMMYFUNCTION("""COMPUTED_VALUE"""),"")</f>
        <v/>
      </c>
      <c r="Y298" s="2" t="str">
        <f ca="1">IFERROR(__xludf.DUMMYFUNCTION("""COMPUTED_VALUE"""),"")</f>
        <v/>
      </c>
      <c r="Z298" s="2" t="str">
        <f ca="1">IFERROR(__xludf.DUMMYFUNCTION("""COMPUTED_VALUE"""),"")</f>
        <v/>
      </c>
      <c r="AA298" s="2" t="str">
        <f ca="1">IFERROR(__xludf.DUMMYFUNCTION("""COMPUTED_VALUE"""),"")</f>
        <v/>
      </c>
      <c r="AB298" s="2" t="str">
        <f ca="1">IFERROR(__xludf.DUMMYFUNCTION("""COMPUTED_VALUE"""),"")</f>
        <v/>
      </c>
      <c r="AC298" s="2" t="str">
        <f ca="1">IFERROR(__xludf.DUMMYFUNCTION("""COMPUTED_VALUE"""),"")</f>
        <v/>
      </c>
      <c r="AD298" s="2" t="str">
        <f ca="1">IFERROR(__xludf.DUMMYFUNCTION("""COMPUTED_VALUE"""),"")</f>
        <v/>
      </c>
      <c r="AE298" s="2" t="str">
        <f ca="1">IFERROR(__xludf.DUMMYFUNCTION("""COMPUTED_VALUE"""),"")</f>
        <v/>
      </c>
      <c r="AF298" s="2" t="str">
        <f ca="1">IFERROR(__xludf.DUMMYFUNCTION("""COMPUTED_VALUE"""),"")</f>
        <v/>
      </c>
      <c r="AG298" s="2" t="str">
        <f ca="1">IFERROR(__xludf.DUMMYFUNCTION("""COMPUTED_VALUE"""),"")</f>
        <v/>
      </c>
      <c r="AH298" s="2" t="str">
        <f ca="1">IFERROR(__xludf.DUMMYFUNCTION("""COMPUTED_VALUE"""),"")</f>
        <v/>
      </c>
      <c r="AI298" s="2" t="str">
        <f ca="1">IFERROR(__xludf.DUMMYFUNCTION("""COMPUTED_VALUE"""),"")</f>
        <v/>
      </c>
      <c r="AJ298" s="2" t="str">
        <f ca="1">IFERROR(__xludf.DUMMYFUNCTION("""COMPUTED_VALUE"""),"")</f>
        <v/>
      </c>
      <c r="AK298" s="2" t="str">
        <f ca="1">IFERROR(__xludf.DUMMYFUNCTION("""COMPUTED_VALUE"""),"")</f>
        <v/>
      </c>
      <c r="AL298" s="2" t="str">
        <f ca="1">IFERROR(__xludf.DUMMYFUNCTION("""COMPUTED_VALUE"""),"")</f>
        <v/>
      </c>
      <c r="AM298" s="2" t="str">
        <f ca="1">IFERROR(__xludf.DUMMYFUNCTION("""COMPUTED_VALUE"""),"")</f>
        <v/>
      </c>
      <c r="AN298" s="2" t="str">
        <f ca="1">IFERROR(__xludf.DUMMYFUNCTION("""COMPUTED_VALUE"""),"")</f>
        <v/>
      </c>
      <c r="AO298" s="2" t="str">
        <f ca="1">IFERROR(__xludf.DUMMYFUNCTION("""COMPUTED_VALUE"""),"")</f>
        <v/>
      </c>
      <c r="AP298" s="2" t="str">
        <f ca="1">IFERROR(__xludf.DUMMYFUNCTION("""COMPUTED_VALUE"""),"")</f>
        <v/>
      </c>
      <c r="AQ298" s="2" t="str">
        <f ca="1">IFERROR(__xludf.DUMMYFUNCTION("""COMPUTED_VALUE"""),"")</f>
        <v/>
      </c>
      <c r="AR298" s="2" t="str">
        <f ca="1">IFERROR(__xludf.DUMMYFUNCTION("""COMPUTED_VALUE"""),"")</f>
        <v/>
      </c>
      <c r="AS298" s="2" t="str">
        <f ca="1">IFERROR(__xludf.DUMMYFUNCTION("""COMPUTED_VALUE"""),"")</f>
        <v/>
      </c>
      <c r="AT298" s="2" t="str">
        <f ca="1">IFERROR(__xludf.DUMMYFUNCTION("""COMPUTED_VALUE"""),"")</f>
        <v/>
      </c>
      <c r="AU298" s="2" t="str">
        <f ca="1">IFERROR(__xludf.DUMMYFUNCTION("""COMPUTED_VALUE"""),"")</f>
        <v/>
      </c>
      <c r="AV298" s="2" t="str">
        <f ca="1">IFERROR(__xludf.DUMMYFUNCTION("""COMPUTED_VALUE"""),"")</f>
        <v/>
      </c>
      <c r="AW298" s="2" t="str">
        <f ca="1">IFERROR(__xludf.DUMMYFUNCTION("""COMPUTED_VALUE"""),"")</f>
        <v/>
      </c>
      <c r="AX298" s="2" t="str">
        <f ca="1">IFERROR(__xludf.DUMMYFUNCTION("""COMPUTED_VALUE"""),"")</f>
        <v/>
      </c>
      <c r="AY298" s="2" t="str">
        <f ca="1">IFERROR(__xludf.DUMMYFUNCTION("""COMPUTED_VALUE"""),"")</f>
        <v/>
      </c>
      <c r="AZ298" s="2" t="str">
        <f ca="1">IFERROR(__xludf.DUMMYFUNCTION("""COMPUTED_VALUE"""),"")</f>
        <v/>
      </c>
      <c r="BA298" s="2" t="str">
        <f ca="1">IFERROR(__xludf.DUMMYFUNCTION("""COMPUTED_VALUE"""),"")</f>
        <v/>
      </c>
      <c r="BB298" s="2" t="str">
        <f ca="1">IFERROR(__xludf.DUMMYFUNCTION("""COMPUTED_VALUE"""),"")</f>
        <v/>
      </c>
      <c r="BC298" s="2" t="str">
        <f ca="1">IFERROR(__xludf.DUMMYFUNCTION("""COMPUTED_VALUE"""),"")</f>
        <v/>
      </c>
      <c r="BD298" s="2" t="str">
        <f ca="1">IFERROR(__xludf.DUMMYFUNCTION("""COMPUTED_VALUE"""),"")</f>
        <v/>
      </c>
      <c r="BE298" s="2" t="str">
        <f ca="1">IFERROR(__xludf.DUMMYFUNCTION("""COMPUTED_VALUE"""),"")</f>
        <v/>
      </c>
      <c r="BF298" t="str">
        <f ca="1">IFERROR(__xludf.DUMMYFUNCTION("""COMPUTED_VALUE"""),"")</f>
        <v/>
      </c>
      <c r="BG298" t="str">
        <f ca="1">IFERROR(__xludf.DUMMYFUNCTION("""COMPUTED_VALUE"""),"")</f>
        <v/>
      </c>
      <c r="BH298" s="2">
        <f ca="1">IFERROR(__xludf.DUMMYFUNCTION("""COMPUTED_VALUE"""),-37.2931709)</f>
        <v>-37.2931709</v>
      </c>
      <c r="BI298" s="13">
        <f ca="1">IFERROR(__xludf.DUMMYFUNCTION("""COMPUTED_VALUE"""),175.1101837)</f>
        <v>175.11018369999999</v>
      </c>
      <c r="BJ298" s="9">
        <f ca="1">IFERROR(__xludf.DUMMYFUNCTION("""COMPUTED_VALUE"""),43402)</f>
        <v>43402</v>
      </c>
      <c r="BK298" s="4">
        <f ca="1">IFERROR(__xludf.DUMMYFUNCTION("""COMPUTED_VALUE"""),0.457777777777664)</f>
        <v>0.45777777777766399</v>
      </c>
    </row>
    <row r="299" spans="1:63" ht="12.5" x14ac:dyDescent="0.25">
      <c r="A299" s="7" t="str">
        <f ca="1">IFERROR(__xludf.DUMMYFUNCTION("""COMPUTED_VALUE"""),"")</f>
        <v/>
      </c>
      <c r="B299" s="8" t="str">
        <f ca="1">IFERROR(__xludf.DUMMYFUNCTION("""COMPUTED_VALUE"""),"Waikato")</f>
        <v>Waikato</v>
      </c>
      <c r="C299" s="2">
        <f ca="1">IFERROR(__xludf.DUMMYFUNCTION("""COMPUTED_VALUE"""),21)</f>
        <v>21</v>
      </c>
      <c r="D299" s="9" t="str">
        <f ca="1">IFERROR(__xludf.DUMMYFUNCTION("""COMPUTED_VALUE"""),"")</f>
        <v/>
      </c>
      <c r="E299" s="4" t="str">
        <f ca="1">IFERROR(__xludf.DUMMYFUNCTION("""COMPUTED_VALUE"""),"")</f>
        <v/>
      </c>
      <c r="F299" s="2" t="str">
        <f ca="1">IFERROR(__xludf.DUMMYFUNCTION("""COMPUTED_VALUE"""),"")</f>
        <v/>
      </c>
      <c r="G299" s="2" t="str">
        <f ca="1">IFERROR(__xludf.DUMMYFUNCTION("""COMPUTED_VALUE"""),"GPS: I converted data downloaded from ARGOS using Pinpoint software")</f>
        <v>GPS: I converted data downloaded from ARGOS using Pinpoint software</v>
      </c>
      <c r="H299" s="2" t="str">
        <f ca="1">IFERROR(__xludf.DUMMYFUNCTION("""COMPUTED_VALUE"""),"3D")</f>
        <v>3D</v>
      </c>
      <c r="I299" s="2" t="str">
        <f ca="1">IFERROR(__xludf.DUMMYFUNCTION("""COMPUTED_VALUE"""),"")</f>
        <v/>
      </c>
      <c r="J299" s="2" t="str">
        <f ca="1">IFERROR(__xludf.DUMMYFUNCTION("""COMPUTED_VALUE"""),"")</f>
        <v/>
      </c>
      <c r="K299" s="2" t="str">
        <f ca="1">IFERROR(__xludf.DUMMYFUNCTION("""COMPUTED_VALUE"""),"")</f>
        <v/>
      </c>
      <c r="L299" s="2" t="str">
        <f ca="1">IFERROR(__xludf.DUMMYFUNCTION("""COMPUTED_VALUE"""),"")</f>
        <v/>
      </c>
      <c r="M299" s="5" t="str">
        <f ca="1">IFERROR(__xludf.DUMMYFUNCTION("""COMPUTED_VALUE"""),"")</f>
        <v/>
      </c>
      <c r="N299" s="5" t="str">
        <f ca="1">IFERROR(__xludf.DUMMYFUNCTION("""COMPUTED_VALUE"""),"")</f>
        <v/>
      </c>
      <c r="O299" s="2" t="str">
        <f ca="1">IFERROR(__xludf.DUMMYFUNCTION("""COMPUTED_VALUE"""),"")</f>
        <v/>
      </c>
      <c r="P299" s="2" t="str">
        <f ca="1">IFERROR(__xludf.DUMMYFUNCTION("""COMPUTED_VALUE"""),"")</f>
        <v/>
      </c>
      <c r="Q299" s="2" t="str">
        <f ca="1">IFERROR(__xludf.DUMMYFUNCTION("""COMPUTED_VALUE"""),"")</f>
        <v/>
      </c>
      <c r="R299" s="2" t="str">
        <f ca="1">IFERROR(__xludf.DUMMYFUNCTION("""COMPUTED_VALUE"""),"")</f>
        <v/>
      </c>
      <c r="S299" s="2" t="str">
        <f ca="1">IFERROR(__xludf.DUMMYFUNCTION("""COMPUTED_VALUE"""),"")</f>
        <v/>
      </c>
      <c r="T299" s="2" t="str">
        <f ca="1">IFERROR(__xludf.DUMMYFUNCTION("""COMPUTED_VALUE"""),"")</f>
        <v/>
      </c>
      <c r="U299" s="2" t="str">
        <f ca="1">IFERROR(__xludf.DUMMYFUNCTION("""COMPUTED_VALUE"""),"")</f>
        <v/>
      </c>
      <c r="V299" s="2" t="str">
        <f ca="1">IFERROR(__xludf.DUMMYFUNCTION("""COMPUTED_VALUE"""),"")</f>
        <v/>
      </c>
      <c r="W299" s="2" t="str">
        <f ca="1">IFERROR(__xludf.DUMMYFUNCTION("""COMPUTED_VALUE"""),"")</f>
        <v/>
      </c>
      <c r="X299" s="2" t="str">
        <f ca="1">IFERROR(__xludf.DUMMYFUNCTION("""COMPUTED_VALUE"""),"")</f>
        <v/>
      </c>
      <c r="Y299" s="2" t="str">
        <f ca="1">IFERROR(__xludf.DUMMYFUNCTION("""COMPUTED_VALUE"""),"")</f>
        <v/>
      </c>
      <c r="Z299" s="2" t="str">
        <f ca="1">IFERROR(__xludf.DUMMYFUNCTION("""COMPUTED_VALUE"""),"")</f>
        <v/>
      </c>
      <c r="AA299" s="2" t="str">
        <f ca="1">IFERROR(__xludf.DUMMYFUNCTION("""COMPUTED_VALUE"""),"")</f>
        <v/>
      </c>
      <c r="AB299" s="2" t="str">
        <f ca="1">IFERROR(__xludf.DUMMYFUNCTION("""COMPUTED_VALUE"""),"")</f>
        <v/>
      </c>
      <c r="AC299" s="2" t="str">
        <f ca="1">IFERROR(__xludf.DUMMYFUNCTION("""COMPUTED_VALUE"""),"")</f>
        <v/>
      </c>
      <c r="AD299" s="2" t="str">
        <f ca="1">IFERROR(__xludf.DUMMYFUNCTION("""COMPUTED_VALUE"""),"")</f>
        <v/>
      </c>
      <c r="AE299" s="2" t="str">
        <f ca="1">IFERROR(__xludf.DUMMYFUNCTION("""COMPUTED_VALUE"""),"")</f>
        <v/>
      </c>
      <c r="AF299" s="2" t="str">
        <f ca="1">IFERROR(__xludf.DUMMYFUNCTION("""COMPUTED_VALUE"""),"")</f>
        <v/>
      </c>
      <c r="AG299" s="2" t="str">
        <f ca="1">IFERROR(__xludf.DUMMYFUNCTION("""COMPUTED_VALUE"""),"")</f>
        <v/>
      </c>
      <c r="AH299" s="2" t="str">
        <f ca="1">IFERROR(__xludf.DUMMYFUNCTION("""COMPUTED_VALUE"""),"")</f>
        <v/>
      </c>
      <c r="AI299" s="2" t="str">
        <f ca="1">IFERROR(__xludf.DUMMYFUNCTION("""COMPUTED_VALUE"""),"")</f>
        <v/>
      </c>
      <c r="AJ299" s="2" t="str">
        <f ca="1">IFERROR(__xludf.DUMMYFUNCTION("""COMPUTED_VALUE"""),"")</f>
        <v/>
      </c>
      <c r="AK299" s="2" t="str">
        <f ca="1">IFERROR(__xludf.DUMMYFUNCTION("""COMPUTED_VALUE"""),"")</f>
        <v/>
      </c>
      <c r="AL299" s="2" t="str">
        <f ca="1">IFERROR(__xludf.DUMMYFUNCTION("""COMPUTED_VALUE"""),"")</f>
        <v/>
      </c>
      <c r="AM299" s="2" t="str">
        <f ca="1">IFERROR(__xludf.DUMMYFUNCTION("""COMPUTED_VALUE"""),"")</f>
        <v/>
      </c>
      <c r="AN299" s="2" t="str">
        <f ca="1">IFERROR(__xludf.DUMMYFUNCTION("""COMPUTED_VALUE"""),"")</f>
        <v/>
      </c>
      <c r="AO299" s="2" t="str">
        <f ca="1">IFERROR(__xludf.DUMMYFUNCTION("""COMPUTED_VALUE"""),"")</f>
        <v/>
      </c>
      <c r="AP299" s="2" t="str">
        <f ca="1">IFERROR(__xludf.DUMMYFUNCTION("""COMPUTED_VALUE"""),"")</f>
        <v/>
      </c>
      <c r="AQ299" s="2" t="str">
        <f ca="1">IFERROR(__xludf.DUMMYFUNCTION("""COMPUTED_VALUE"""),"")</f>
        <v/>
      </c>
      <c r="AR299" s="2" t="str">
        <f ca="1">IFERROR(__xludf.DUMMYFUNCTION("""COMPUTED_VALUE"""),"")</f>
        <v/>
      </c>
      <c r="AS299" s="2" t="str">
        <f ca="1">IFERROR(__xludf.DUMMYFUNCTION("""COMPUTED_VALUE"""),"")</f>
        <v/>
      </c>
      <c r="AT299" s="2" t="str">
        <f ca="1">IFERROR(__xludf.DUMMYFUNCTION("""COMPUTED_VALUE"""),"")</f>
        <v/>
      </c>
      <c r="AU299" s="2" t="str">
        <f ca="1">IFERROR(__xludf.DUMMYFUNCTION("""COMPUTED_VALUE"""),"")</f>
        <v/>
      </c>
      <c r="AV299" s="2" t="str">
        <f ca="1">IFERROR(__xludf.DUMMYFUNCTION("""COMPUTED_VALUE"""),"")</f>
        <v/>
      </c>
      <c r="AW299" s="2" t="str">
        <f ca="1">IFERROR(__xludf.DUMMYFUNCTION("""COMPUTED_VALUE"""),"")</f>
        <v/>
      </c>
      <c r="AX299" s="2" t="str">
        <f ca="1">IFERROR(__xludf.DUMMYFUNCTION("""COMPUTED_VALUE"""),"")</f>
        <v/>
      </c>
      <c r="AY299" s="2" t="str">
        <f ca="1">IFERROR(__xludf.DUMMYFUNCTION("""COMPUTED_VALUE"""),"")</f>
        <v/>
      </c>
      <c r="AZ299" s="2" t="str">
        <f ca="1">IFERROR(__xludf.DUMMYFUNCTION("""COMPUTED_VALUE"""),"")</f>
        <v/>
      </c>
      <c r="BA299" s="2" t="str">
        <f ca="1">IFERROR(__xludf.DUMMYFUNCTION("""COMPUTED_VALUE"""),"")</f>
        <v/>
      </c>
      <c r="BB299" s="2" t="str">
        <f ca="1">IFERROR(__xludf.DUMMYFUNCTION("""COMPUTED_VALUE"""),"")</f>
        <v/>
      </c>
      <c r="BC299" s="2" t="str">
        <f ca="1">IFERROR(__xludf.DUMMYFUNCTION("""COMPUTED_VALUE"""),"")</f>
        <v/>
      </c>
      <c r="BD299" s="2" t="str">
        <f ca="1">IFERROR(__xludf.DUMMYFUNCTION("""COMPUTED_VALUE"""),"")</f>
        <v/>
      </c>
      <c r="BE299" s="2" t="str">
        <f ca="1">IFERROR(__xludf.DUMMYFUNCTION("""COMPUTED_VALUE"""),"")</f>
        <v/>
      </c>
      <c r="BF299" t="str">
        <f ca="1">IFERROR(__xludf.DUMMYFUNCTION("""COMPUTED_VALUE"""),"")</f>
        <v/>
      </c>
      <c r="BG299" t="str">
        <f ca="1">IFERROR(__xludf.DUMMYFUNCTION("""COMPUTED_VALUE"""),"")</f>
        <v/>
      </c>
      <c r="BH299" s="2">
        <f ca="1">IFERROR(__xludf.DUMMYFUNCTION("""COMPUTED_VALUE"""),-37.2878189)</f>
        <v>-37.287818899999998</v>
      </c>
      <c r="BI299" s="12">
        <f ca="1">IFERROR(__xludf.DUMMYFUNCTION("""COMPUTED_VALUE"""),175.1162262)</f>
        <v>175.1162262</v>
      </c>
      <c r="BJ299" s="9">
        <f ca="1">IFERROR(__xludf.DUMMYFUNCTION("""COMPUTED_VALUE"""),43402)</f>
        <v>43402</v>
      </c>
      <c r="BK299" s="4">
        <f ca="1">IFERROR(__xludf.DUMMYFUNCTION("""COMPUTED_VALUE"""),0.958518518516939)</f>
        <v>0.95851851851693903</v>
      </c>
    </row>
    <row r="300" spans="1:63" ht="12.5" x14ac:dyDescent="0.25">
      <c r="A300" s="7" t="str">
        <f ca="1">IFERROR(__xludf.DUMMYFUNCTION("""COMPUTED_VALUE"""),"")</f>
        <v/>
      </c>
      <c r="B300" s="8" t="str">
        <f ca="1">IFERROR(__xludf.DUMMYFUNCTION("""COMPUTED_VALUE"""),"Waikato")</f>
        <v>Waikato</v>
      </c>
      <c r="C300" s="2">
        <f ca="1">IFERROR(__xludf.DUMMYFUNCTION("""COMPUTED_VALUE"""),21)</f>
        <v>21</v>
      </c>
      <c r="D300" s="9" t="str">
        <f ca="1">IFERROR(__xludf.DUMMYFUNCTION("""COMPUTED_VALUE"""),"")</f>
        <v/>
      </c>
      <c r="E300" s="4" t="str">
        <f ca="1">IFERROR(__xludf.DUMMYFUNCTION("""COMPUTED_VALUE"""),"")</f>
        <v/>
      </c>
      <c r="F300" s="2" t="str">
        <f ca="1">IFERROR(__xludf.DUMMYFUNCTION("""COMPUTED_VALUE"""),"")</f>
        <v/>
      </c>
      <c r="G300" s="2" t="str">
        <f ca="1">IFERROR(__xludf.DUMMYFUNCTION("""COMPUTED_VALUE"""),"GPS: I converted data downloaded from ARGOS using Pinpoint software")</f>
        <v>GPS: I converted data downloaded from ARGOS using Pinpoint software</v>
      </c>
      <c r="H300" s="2" t="str">
        <f ca="1">IFERROR(__xludf.DUMMYFUNCTION("""COMPUTED_VALUE"""),"3D")</f>
        <v>3D</v>
      </c>
      <c r="I300" s="2" t="str">
        <f ca="1">IFERROR(__xludf.DUMMYFUNCTION("""COMPUTED_VALUE"""),"")</f>
        <v/>
      </c>
      <c r="J300" s="2" t="str">
        <f ca="1">IFERROR(__xludf.DUMMYFUNCTION("""COMPUTED_VALUE"""),"")</f>
        <v/>
      </c>
      <c r="K300" s="2" t="str">
        <f ca="1">IFERROR(__xludf.DUMMYFUNCTION("""COMPUTED_VALUE"""),"")</f>
        <v/>
      </c>
      <c r="L300" s="2" t="str">
        <f ca="1">IFERROR(__xludf.DUMMYFUNCTION("""COMPUTED_VALUE"""),"")</f>
        <v/>
      </c>
      <c r="M300" s="5" t="str">
        <f ca="1">IFERROR(__xludf.DUMMYFUNCTION("""COMPUTED_VALUE"""),"")</f>
        <v/>
      </c>
      <c r="N300" s="5" t="str">
        <f ca="1">IFERROR(__xludf.DUMMYFUNCTION("""COMPUTED_VALUE"""),"")</f>
        <v/>
      </c>
      <c r="O300" s="2" t="str">
        <f ca="1">IFERROR(__xludf.DUMMYFUNCTION("""COMPUTED_VALUE"""),"")</f>
        <v/>
      </c>
      <c r="P300" s="2" t="str">
        <f ca="1">IFERROR(__xludf.DUMMYFUNCTION("""COMPUTED_VALUE"""),"")</f>
        <v/>
      </c>
      <c r="Q300" s="2" t="str">
        <f ca="1">IFERROR(__xludf.DUMMYFUNCTION("""COMPUTED_VALUE"""),"")</f>
        <v/>
      </c>
      <c r="R300" s="2" t="str">
        <f ca="1">IFERROR(__xludf.DUMMYFUNCTION("""COMPUTED_VALUE"""),"")</f>
        <v/>
      </c>
      <c r="S300" s="2" t="str">
        <f ca="1">IFERROR(__xludf.DUMMYFUNCTION("""COMPUTED_VALUE"""),"")</f>
        <v/>
      </c>
      <c r="T300" s="2" t="str">
        <f ca="1">IFERROR(__xludf.DUMMYFUNCTION("""COMPUTED_VALUE"""),"")</f>
        <v/>
      </c>
      <c r="U300" s="2" t="str">
        <f ca="1">IFERROR(__xludf.DUMMYFUNCTION("""COMPUTED_VALUE"""),"")</f>
        <v/>
      </c>
      <c r="V300" s="2" t="str">
        <f ca="1">IFERROR(__xludf.DUMMYFUNCTION("""COMPUTED_VALUE"""),"")</f>
        <v/>
      </c>
      <c r="W300" s="2" t="str">
        <f ca="1">IFERROR(__xludf.DUMMYFUNCTION("""COMPUTED_VALUE"""),"")</f>
        <v/>
      </c>
      <c r="X300" s="2" t="str">
        <f ca="1">IFERROR(__xludf.DUMMYFUNCTION("""COMPUTED_VALUE"""),"")</f>
        <v/>
      </c>
      <c r="Y300" s="2" t="str">
        <f ca="1">IFERROR(__xludf.DUMMYFUNCTION("""COMPUTED_VALUE"""),"")</f>
        <v/>
      </c>
      <c r="Z300" s="2" t="str">
        <f ca="1">IFERROR(__xludf.DUMMYFUNCTION("""COMPUTED_VALUE"""),"")</f>
        <v/>
      </c>
      <c r="AA300" s="2" t="str">
        <f ca="1">IFERROR(__xludf.DUMMYFUNCTION("""COMPUTED_VALUE"""),"")</f>
        <v/>
      </c>
      <c r="AB300" s="2" t="str">
        <f ca="1">IFERROR(__xludf.DUMMYFUNCTION("""COMPUTED_VALUE"""),"")</f>
        <v/>
      </c>
      <c r="AC300" s="2" t="str">
        <f ca="1">IFERROR(__xludf.DUMMYFUNCTION("""COMPUTED_VALUE"""),"")</f>
        <v/>
      </c>
      <c r="AD300" s="2" t="str">
        <f ca="1">IFERROR(__xludf.DUMMYFUNCTION("""COMPUTED_VALUE"""),"")</f>
        <v/>
      </c>
      <c r="AE300" s="2" t="str">
        <f ca="1">IFERROR(__xludf.DUMMYFUNCTION("""COMPUTED_VALUE"""),"")</f>
        <v/>
      </c>
      <c r="AF300" s="2" t="str">
        <f ca="1">IFERROR(__xludf.DUMMYFUNCTION("""COMPUTED_VALUE"""),"")</f>
        <v/>
      </c>
      <c r="AG300" s="2" t="str">
        <f ca="1">IFERROR(__xludf.DUMMYFUNCTION("""COMPUTED_VALUE"""),"")</f>
        <v/>
      </c>
      <c r="AH300" s="2" t="str">
        <f ca="1">IFERROR(__xludf.DUMMYFUNCTION("""COMPUTED_VALUE"""),"")</f>
        <v/>
      </c>
      <c r="AI300" s="2" t="str">
        <f ca="1">IFERROR(__xludf.DUMMYFUNCTION("""COMPUTED_VALUE"""),"")</f>
        <v/>
      </c>
      <c r="AJ300" s="2" t="str">
        <f ca="1">IFERROR(__xludf.DUMMYFUNCTION("""COMPUTED_VALUE"""),"")</f>
        <v/>
      </c>
      <c r="AK300" s="2" t="str">
        <f ca="1">IFERROR(__xludf.DUMMYFUNCTION("""COMPUTED_VALUE"""),"")</f>
        <v/>
      </c>
      <c r="AL300" s="2" t="str">
        <f ca="1">IFERROR(__xludf.DUMMYFUNCTION("""COMPUTED_VALUE"""),"")</f>
        <v/>
      </c>
      <c r="AM300" s="2" t="str">
        <f ca="1">IFERROR(__xludf.DUMMYFUNCTION("""COMPUTED_VALUE"""),"")</f>
        <v/>
      </c>
      <c r="AN300" s="2" t="str">
        <f ca="1">IFERROR(__xludf.DUMMYFUNCTION("""COMPUTED_VALUE"""),"")</f>
        <v/>
      </c>
      <c r="AO300" s="2" t="str">
        <f ca="1">IFERROR(__xludf.DUMMYFUNCTION("""COMPUTED_VALUE"""),"")</f>
        <v/>
      </c>
      <c r="AP300" s="2" t="str">
        <f ca="1">IFERROR(__xludf.DUMMYFUNCTION("""COMPUTED_VALUE"""),"")</f>
        <v/>
      </c>
      <c r="AQ300" s="2" t="str">
        <f ca="1">IFERROR(__xludf.DUMMYFUNCTION("""COMPUTED_VALUE"""),"")</f>
        <v/>
      </c>
      <c r="AR300" s="2" t="str">
        <f ca="1">IFERROR(__xludf.DUMMYFUNCTION("""COMPUTED_VALUE"""),"")</f>
        <v/>
      </c>
      <c r="AS300" s="2" t="str">
        <f ca="1">IFERROR(__xludf.DUMMYFUNCTION("""COMPUTED_VALUE"""),"")</f>
        <v/>
      </c>
      <c r="AT300" s="2" t="str">
        <f ca="1">IFERROR(__xludf.DUMMYFUNCTION("""COMPUTED_VALUE"""),"")</f>
        <v/>
      </c>
      <c r="AU300" s="2" t="str">
        <f ca="1">IFERROR(__xludf.DUMMYFUNCTION("""COMPUTED_VALUE"""),"")</f>
        <v/>
      </c>
      <c r="AV300" s="2" t="str">
        <f ca="1">IFERROR(__xludf.DUMMYFUNCTION("""COMPUTED_VALUE"""),"")</f>
        <v/>
      </c>
      <c r="AW300" s="2" t="str">
        <f ca="1">IFERROR(__xludf.DUMMYFUNCTION("""COMPUTED_VALUE"""),"")</f>
        <v/>
      </c>
      <c r="AX300" s="2" t="str">
        <f ca="1">IFERROR(__xludf.DUMMYFUNCTION("""COMPUTED_VALUE"""),"")</f>
        <v/>
      </c>
      <c r="AY300" s="2" t="str">
        <f ca="1">IFERROR(__xludf.DUMMYFUNCTION("""COMPUTED_VALUE"""),"")</f>
        <v/>
      </c>
      <c r="AZ300" s="2" t="str">
        <f ca="1">IFERROR(__xludf.DUMMYFUNCTION("""COMPUTED_VALUE"""),"")</f>
        <v/>
      </c>
      <c r="BA300" s="2" t="str">
        <f ca="1">IFERROR(__xludf.DUMMYFUNCTION("""COMPUTED_VALUE"""),"")</f>
        <v/>
      </c>
      <c r="BB300" s="2" t="str">
        <f ca="1">IFERROR(__xludf.DUMMYFUNCTION("""COMPUTED_VALUE"""),"")</f>
        <v/>
      </c>
      <c r="BC300" s="2" t="str">
        <f ca="1">IFERROR(__xludf.DUMMYFUNCTION("""COMPUTED_VALUE"""),"")</f>
        <v/>
      </c>
      <c r="BD300" s="2" t="str">
        <f ca="1">IFERROR(__xludf.DUMMYFUNCTION("""COMPUTED_VALUE"""),"")</f>
        <v/>
      </c>
      <c r="BE300" s="2" t="str">
        <f ca="1">IFERROR(__xludf.DUMMYFUNCTION("""COMPUTED_VALUE"""),"")</f>
        <v/>
      </c>
      <c r="BF300" t="str">
        <f ca="1">IFERROR(__xludf.DUMMYFUNCTION("""COMPUTED_VALUE"""),"")</f>
        <v/>
      </c>
      <c r="BG300" t="str">
        <f ca="1">IFERROR(__xludf.DUMMYFUNCTION("""COMPUTED_VALUE"""),"")</f>
        <v/>
      </c>
      <c r="BH300" s="2">
        <f ca="1">IFERROR(__xludf.DUMMYFUNCTION("""COMPUTED_VALUE"""),-37.2807045)</f>
        <v>-37.280704499999999</v>
      </c>
      <c r="BI300" s="13">
        <f ca="1">IFERROR(__xludf.DUMMYFUNCTION("""COMPUTED_VALUE"""),175.1516266)</f>
        <v>175.15162659999999</v>
      </c>
      <c r="BJ300" s="9">
        <f ca="1">IFERROR(__xludf.DUMMYFUNCTION("""COMPUTED_VALUE"""),43404)</f>
        <v>43404</v>
      </c>
      <c r="BK300" s="4">
        <f ca="1">IFERROR(__xludf.DUMMYFUNCTION("""COMPUTED_VALUE"""),0.457777777777664)</f>
        <v>0.45777777777766399</v>
      </c>
    </row>
    <row r="301" spans="1:63" ht="12.5" x14ac:dyDescent="0.25">
      <c r="A301" s="7" t="str">
        <f ca="1">IFERROR(__xludf.DUMMYFUNCTION("""COMPUTED_VALUE"""),"")</f>
        <v/>
      </c>
      <c r="B301" s="8" t="str">
        <f ca="1">IFERROR(__xludf.DUMMYFUNCTION("""COMPUTED_VALUE"""),"Waikato")</f>
        <v>Waikato</v>
      </c>
      <c r="C301" s="2">
        <f ca="1">IFERROR(__xludf.DUMMYFUNCTION("""COMPUTED_VALUE"""),21)</f>
        <v>21</v>
      </c>
      <c r="D301" s="9" t="str">
        <f ca="1">IFERROR(__xludf.DUMMYFUNCTION("""COMPUTED_VALUE"""),"")</f>
        <v/>
      </c>
      <c r="E301" s="4" t="str">
        <f ca="1">IFERROR(__xludf.DUMMYFUNCTION("""COMPUTED_VALUE"""),"")</f>
        <v/>
      </c>
      <c r="F301" s="2" t="str">
        <f ca="1">IFERROR(__xludf.DUMMYFUNCTION("""COMPUTED_VALUE"""),"")</f>
        <v/>
      </c>
      <c r="G301" s="2" t="str">
        <f ca="1">IFERROR(__xludf.DUMMYFUNCTION("""COMPUTED_VALUE"""),"GPS: I converted data downloaded from ARGOS using Pinpoint software")</f>
        <v>GPS: I converted data downloaded from ARGOS using Pinpoint software</v>
      </c>
      <c r="H301" s="2" t="str">
        <f ca="1">IFERROR(__xludf.DUMMYFUNCTION("""COMPUTED_VALUE"""),"3D")</f>
        <v>3D</v>
      </c>
      <c r="I301" s="2" t="str">
        <f ca="1">IFERROR(__xludf.DUMMYFUNCTION("""COMPUTED_VALUE"""),"")</f>
        <v/>
      </c>
      <c r="J301" s="2" t="str">
        <f ca="1">IFERROR(__xludf.DUMMYFUNCTION("""COMPUTED_VALUE"""),"")</f>
        <v/>
      </c>
      <c r="K301" s="2" t="str">
        <f ca="1">IFERROR(__xludf.DUMMYFUNCTION("""COMPUTED_VALUE"""),"")</f>
        <v/>
      </c>
      <c r="L301" s="2" t="str">
        <f ca="1">IFERROR(__xludf.DUMMYFUNCTION("""COMPUTED_VALUE"""),"")</f>
        <v/>
      </c>
      <c r="M301" s="5" t="str">
        <f ca="1">IFERROR(__xludf.DUMMYFUNCTION("""COMPUTED_VALUE"""),"")</f>
        <v/>
      </c>
      <c r="N301" s="5" t="str">
        <f ca="1">IFERROR(__xludf.DUMMYFUNCTION("""COMPUTED_VALUE"""),"")</f>
        <v/>
      </c>
      <c r="O301" s="2" t="str">
        <f ca="1">IFERROR(__xludf.DUMMYFUNCTION("""COMPUTED_VALUE"""),"")</f>
        <v/>
      </c>
      <c r="P301" s="2" t="str">
        <f ca="1">IFERROR(__xludf.DUMMYFUNCTION("""COMPUTED_VALUE"""),"")</f>
        <v/>
      </c>
      <c r="Q301" s="2" t="str">
        <f ca="1">IFERROR(__xludf.DUMMYFUNCTION("""COMPUTED_VALUE"""),"")</f>
        <v/>
      </c>
      <c r="R301" s="2" t="str">
        <f ca="1">IFERROR(__xludf.DUMMYFUNCTION("""COMPUTED_VALUE"""),"")</f>
        <v/>
      </c>
      <c r="S301" s="2" t="str">
        <f ca="1">IFERROR(__xludf.DUMMYFUNCTION("""COMPUTED_VALUE"""),"")</f>
        <v/>
      </c>
      <c r="T301" s="2" t="str">
        <f ca="1">IFERROR(__xludf.DUMMYFUNCTION("""COMPUTED_VALUE"""),"")</f>
        <v/>
      </c>
      <c r="U301" s="2" t="str">
        <f ca="1">IFERROR(__xludf.DUMMYFUNCTION("""COMPUTED_VALUE"""),"")</f>
        <v/>
      </c>
      <c r="V301" s="2" t="str">
        <f ca="1">IFERROR(__xludf.DUMMYFUNCTION("""COMPUTED_VALUE"""),"")</f>
        <v/>
      </c>
      <c r="W301" s="2" t="str">
        <f ca="1">IFERROR(__xludf.DUMMYFUNCTION("""COMPUTED_VALUE"""),"")</f>
        <v/>
      </c>
      <c r="X301" s="2" t="str">
        <f ca="1">IFERROR(__xludf.DUMMYFUNCTION("""COMPUTED_VALUE"""),"")</f>
        <v/>
      </c>
      <c r="Y301" s="2" t="str">
        <f ca="1">IFERROR(__xludf.DUMMYFUNCTION("""COMPUTED_VALUE"""),"")</f>
        <v/>
      </c>
      <c r="Z301" s="2" t="str">
        <f ca="1">IFERROR(__xludf.DUMMYFUNCTION("""COMPUTED_VALUE"""),"")</f>
        <v/>
      </c>
      <c r="AA301" s="2" t="str">
        <f ca="1">IFERROR(__xludf.DUMMYFUNCTION("""COMPUTED_VALUE"""),"")</f>
        <v/>
      </c>
      <c r="AB301" s="2" t="str">
        <f ca="1">IFERROR(__xludf.DUMMYFUNCTION("""COMPUTED_VALUE"""),"")</f>
        <v/>
      </c>
      <c r="AC301" s="2" t="str">
        <f ca="1">IFERROR(__xludf.DUMMYFUNCTION("""COMPUTED_VALUE"""),"")</f>
        <v/>
      </c>
      <c r="AD301" s="2" t="str">
        <f ca="1">IFERROR(__xludf.DUMMYFUNCTION("""COMPUTED_VALUE"""),"")</f>
        <v/>
      </c>
      <c r="AE301" s="2" t="str">
        <f ca="1">IFERROR(__xludf.DUMMYFUNCTION("""COMPUTED_VALUE"""),"")</f>
        <v/>
      </c>
      <c r="AF301" s="2" t="str">
        <f ca="1">IFERROR(__xludf.DUMMYFUNCTION("""COMPUTED_VALUE"""),"")</f>
        <v/>
      </c>
      <c r="AG301" s="2" t="str">
        <f ca="1">IFERROR(__xludf.DUMMYFUNCTION("""COMPUTED_VALUE"""),"")</f>
        <v/>
      </c>
      <c r="AH301" s="2" t="str">
        <f ca="1">IFERROR(__xludf.DUMMYFUNCTION("""COMPUTED_VALUE"""),"")</f>
        <v/>
      </c>
      <c r="AI301" s="2" t="str">
        <f ca="1">IFERROR(__xludf.DUMMYFUNCTION("""COMPUTED_VALUE"""),"")</f>
        <v/>
      </c>
      <c r="AJ301" s="2" t="str">
        <f ca="1">IFERROR(__xludf.DUMMYFUNCTION("""COMPUTED_VALUE"""),"")</f>
        <v/>
      </c>
      <c r="AK301" s="2" t="str">
        <f ca="1">IFERROR(__xludf.DUMMYFUNCTION("""COMPUTED_VALUE"""),"")</f>
        <v/>
      </c>
      <c r="AL301" s="2" t="str">
        <f ca="1">IFERROR(__xludf.DUMMYFUNCTION("""COMPUTED_VALUE"""),"")</f>
        <v/>
      </c>
      <c r="AM301" s="2" t="str">
        <f ca="1">IFERROR(__xludf.DUMMYFUNCTION("""COMPUTED_VALUE"""),"")</f>
        <v/>
      </c>
      <c r="AN301" s="2" t="str">
        <f ca="1">IFERROR(__xludf.DUMMYFUNCTION("""COMPUTED_VALUE"""),"")</f>
        <v/>
      </c>
      <c r="AO301" s="2" t="str">
        <f ca="1">IFERROR(__xludf.DUMMYFUNCTION("""COMPUTED_VALUE"""),"")</f>
        <v/>
      </c>
      <c r="AP301" s="2" t="str">
        <f ca="1">IFERROR(__xludf.DUMMYFUNCTION("""COMPUTED_VALUE"""),"")</f>
        <v/>
      </c>
      <c r="AQ301" s="2" t="str">
        <f ca="1">IFERROR(__xludf.DUMMYFUNCTION("""COMPUTED_VALUE"""),"")</f>
        <v/>
      </c>
      <c r="AR301" s="2" t="str">
        <f ca="1">IFERROR(__xludf.DUMMYFUNCTION("""COMPUTED_VALUE"""),"")</f>
        <v/>
      </c>
      <c r="AS301" s="2" t="str">
        <f ca="1">IFERROR(__xludf.DUMMYFUNCTION("""COMPUTED_VALUE"""),"")</f>
        <v/>
      </c>
      <c r="AT301" s="2" t="str">
        <f ca="1">IFERROR(__xludf.DUMMYFUNCTION("""COMPUTED_VALUE"""),"")</f>
        <v/>
      </c>
      <c r="AU301" s="2" t="str">
        <f ca="1">IFERROR(__xludf.DUMMYFUNCTION("""COMPUTED_VALUE"""),"")</f>
        <v/>
      </c>
      <c r="AV301" s="2" t="str">
        <f ca="1">IFERROR(__xludf.DUMMYFUNCTION("""COMPUTED_VALUE"""),"")</f>
        <v/>
      </c>
      <c r="AW301" s="2" t="str">
        <f ca="1">IFERROR(__xludf.DUMMYFUNCTION("""COMPUTED_VALUE"""),"")</f>
        <v/>
      </c>
      <c r="AX301" s="2" t="str">
        <f ca="1">IFERROR(__xludf.DUMMYFUNCTION("""COMPUTED_VALUE"""),"")</f>
        <v/>
      </c>
      <c r="AY301" s="2" t="str">
        <f ca="1">IFERROR(__xludf.DUMMYFUNCTION("""COMPUTED_VALUE"""),"")</f>
        <v/>
      </c>
      <c r="AZ301" s="2" t="str">
        <f ca="1">IFERROR(__xludf.DUMMYFUNCTION("""COMPUTED_VALUE"""),"")</f>
        <v/>
      </c>
      <c r="BA301" s="2" t="str">
        <f ca="1">IFERROR(__xludf.DUMMYFUNCTION("""COMPUTED_VALUE"""),"")</f>
        <v/>
      </c>
      <c r="BB301" s="2" t="str">
        <f ca="1">IFERROR(__xludf.DUMMYFUNCTION("""COMPUTED_VALUE"""),"")</f>
        <v/>
      </c>
      <c r="BC301" s="2" t="str">
        <f ca="1">IFERROR(__xludf.DUMMYFUNCTION("""COMPUTED_VALUE"""),"")</f>
        <v/>
      </c>
      <c r="BD301" s="2" t="str">
        <f ca="1">IFERROR(__xludf.DUMMYFUNCTION("""COMPUTED_VALUE"""),"")</f>
        <v/>
      </c>
      <c r="BE301" s="2" t="str">
        <f ca="1">IFERROR(__xludf.DUMMYFUNCTION("""COMPUTED_VALUE"""),"")</f>
        <v/>
      </c>
      <c r="BF301" t="str">
        <f ca="1">IFERROR(__xludf.DUMMYFUNCTION("""COMPUTED_VALUE"""),"")</f>
        <v/>
      </c>
      <c r="BG301" t="str">
        <f ca="1">IFERROR(__xludf.DUMMYFUNCTION("""COMPUTED_VALUE"""),"")</f>
        <v/>
      </c>
      <c r="BH301" s="2">
        <f ca="1">IFERROR(__xludf.DUMMYFUNCTION("""COMPUTED_VALUE"""),-37.2862854)</f>
        <v>-37.286285399999997</v>
      </c>
      <c r="BI301" s="12">
        <f ca="1">IFERROR(__xludf.DUMMYFUNCTION("""COMPUTED_VALUE"""),175.1464539)</f>
        <v>175.14645390000001</v>
      </c>
      <c r="BJ301" s="9">
        <f ca="1">IFERROR(__xludf.DUMMYFUNCTION("""COMPUTED_VALUE"""),43406)</f>
        <v>43406</v>
      </c>
      <c r="BK301" s="4">
        <f ca="1">IFERROR(__xludf.DUMMYFUNCTION("""COMPUTED_VALUE"""),0.457777777777664)</f>
        <v>0.45777777777766399</v>
      </c>
    </row>
    <row r="302" spans="1:63" ht="12.5" x14ac:dyDescent="0.25">
      <c r="A302" s="7" t="str">
        <f ca="1">IFERROR(__xludf.DUMMYFUNCTION("""COMPUTED_VALUE"""),"")</f>
        <v/>
      </c>
      <c r="B302" s="8" t="str">
        <f ca="1">IFERROR(__xludf.DUMMYFUNCTION("""COMPUTED_VALUE"""),"Waikato")</f>
        <v>Waikato</v>
      </c>
      <c r="C302" s="2">
        <f ca="1">IFERROR(__xludf.DUMMYFUNCTION("""COMPUTED_VALUE"""),21)</f>
        <v>21</v>
      </c>
      <c r="D302" s="9" t="str">
        <f ca="1">IFERROR(__xludf.DUMMYFUNCTION("""COMPUTED_VALUE"""),"")</f>
        <v/>
      </c>
      <c r="E302" s="4" t="str">
        <f ca="1">IFERROR(__xludf.DUMMYFUNCTION("""COMPUTED_VALUE"""),"")</f>
        <v/>
      </c>
      <c r="F302" s="2" t="str">
        <f ca="1">IFERROR(__xludf.DUMMYFUNCTION("""COMPUTED_VALUE"""),"")</f>
        <v/>
      </c>
      <c r="G302" s="2" t="str">
        <f ca="1">IFERROR(__xludf.DUMMYFUNCTION("""COMPUTED_VALUE"""),"GPS: I converted data downloaded from ARGOS using Pinpoint software")</f>
        <v>GPS: I converted data downloaded from ARGOS using Pinpoint software</v>
      </c>
      <c r="H302" s="2" t="str">
        <f ca="1">IFERROR(__xludf.DUMMYFUNCTION("""COMPUTED_VALUE"""),"3D")</f>
        <v>3D</v>
      </c>
      <c r="I302" s="2" t="str">
        <f ca="1">IFERROR(__xludf.DUMMYFUNCTION("""COMPUTED_VALUE"""),"")</f>
        <v/>
      </c>
      <c r="J302" s="2" t="str">
        <f ca="1">IFERROR(__xludf.DUMMYFUNCTION("""COMPUTED_VALUE"""),"")</f>
        <v/>
      </c>
      <c r="K302" s="2" t="str">
        <f ca="1">IFERROR(__xludf.DUMMYFUNCTION("""COMPUTED_VALUE"""),"")</f>
        <v/>
      </c>
      <c r="L302" s="2" t="str">
        <f ca="1">IFERROR(__xludf.DUMMYFUNCTION("""COMPUTED_VALUE"""),"")</f>
        <v/>
      </c>
      <c r="M302" s="5" t="str">
        <f ca="1">IFERROR(__xludf.DUMMYFUNCTION("""COMPUTED_VALUE"""),"")</f>
        <v/>
      </c>
      <c r="N302" s="5" t="str">
        <f ca="1">IFERROR(__xludf.DUMMYFUNCTION("""COMPUTED_VALUE"""),"")</f>
        <v/>
      </c>
      <c r="O302" s="2" t="str">
        <f ca="1">IFERROR(__xludf.DUMMYFUNCTION("""COMPUTED_VALUE"""),"")</f>
        <v/>
      </c>
      <c r="P302" s="2" t="str">
        <f ca="1">IFERROR(__xludf.DUMMYFUNCTION("""COMPUTED_VALUE"""),"")</f>
        <v/>
      </c>
      <c r="Q302" s="2" t="str">
        <f ca="1">IFERROR(__xludf.DUMMYFUNCTION("""COMPUTED_VALUE"""),"")</f>
        <v/>
      </c>
      <c r="R302" s="2" t="str">
        <f ca="1">IFERROR(__xludf.DUMMYFUNCTION("""COMPUTED_VALUE"""),"")</f>
        <v/>
      </c>
      <c r="S302" s="2" t="str">
        <f ca="1">IFERROR(__xludf.DUMMYFUNCTION("""COMPUTED_VALUE"""),"")</f>
        <v/>
      </c>
      <c r="T302" s="2" t="str">
        <f ca="1">IFERROR(__xludf.DUMMYFUNCTION("""COMPUTED_VALUE"""),"")</f>
        <v/>
      </c>
      <c r="U302" s="2" t="str">
        <f ca="1">IFERROR(__xludf.DUMMYFUNCTION("""COMPUTED_VALUE"""),"")</f>
        <v/>
      </c>
      <c r="V302" s="2" t="str">
        <f ca="1">IFERROR(__xludf.DUMMYFUNCTION("""COMPUTED_VALUE"""),"")</f>
        <v/>
      </c>
      <c r="W302" s="2" t="str">
        <f ca="1">IFERROR(__xludf.DUMMYFUNCTION("""COMPUTED_VALUE"""),"")</f>
        <v/>
      </c>
      <c r="X302" s="2" t="str">
        <f ca="1">IFERROR(__xludf.DUMMYFUNCTION("""COMPUTED_VALUE"""),"")</f>
        <v/>
      </c>
      <c r="Y302" s="2" t="str">
        <f ca="1">IFERROR(__xludf.DUMMYFUNCTION("""COMPUTED_VALUE"""),"")</f>
        <v/>
      </c>
      <c r="Z302" s="2" t="str">
        <f ca="1">IFERROR(__xludf.DUMMYFUNCTION("""COMPUTED_VALUE"""),"")</f>
        <v/>
      </c>
      <c r="AA302" s="2" t="str">
        <f ca="1">IFERROR(__xludf.DUMMYFUNCTION("""COMPUTED_VALUE"""),"")</f>
        <v/>
      </c>
      <c r="AB302" s="2" t="str">
        <f ca="1">IFERROR(__xludf.DUMMYFUNCTION("""COMPUTED_VALUE"""),"")</f>
        <v/>
      </c>
      <c r="AC302" s="2" t="str">
        <f ca="1">IFERROR(__xludf.DUMMYFUNCTION("""COMPUTED_VALUE"""),"")</f>
        <v/>
      </c>
      <c r="AD302" s="2" t="str">
        <f ca="1">IFERROR(__xludf.DUMMYFUNCTION("""COMPUTED_VALUE"""),"")</f>
        <v/>
      </c>
      <c r="AE302" s="2" t="str">
        <f ca="1">IFERROR(__xludf.DUMMYFUNCTION("""COMPUTED_VALUE"""),"")</f>
        <v/>
      </c>
      <c r="AF302" s="2" t="str">
        <f ca="1">IFERROR(__xludf.DUMMYFUNCTION("""COMPUTED_VALUE"""),"")</f>
        <v/>
      </c>
      <c r="AG302" s="2" t="str">
        <f ca="1">IFERROR(__xludf.DUMMYFUNCTION("""COMPUTED_VALUE"""),"")</f>
        <v/>
      </c>
      <c r="AH302" s="2" t="str">
        <f ca="1">IFERROR(__xludf.DUMMYFUNCTION("""COMPUTED_VALUE"""),"")</f>
        <v/>
      </c>
      <c r="AI302" s="2" t="str">
        <f ca="1">IFERROR(__xludf.DUMMYFUNCTION("""COMPUTED_VALUE"""),"")</f>
        <v/>
      </c>
      <c r="AJ302" s="2" t="str">
        <f ca="1">IFERROR(__xludf.DUMMYFUNCTION("""COMPUTED_VALUE"""),"")</f>
        <v/>
      </c>
      <c r="AK302" s="2" t="str">
        <f ca="1">IFERROR(__xludf.DUMMYFUNCTION("""COMPUTED_VALUE"""),"")</f>
        <v/>
      </c>
      <c r="AL302" s="2" t="str">
        <f ca="1">IFERROR(__xludf.DUMMYFUNCTION("""COMPUTED_VALUE"""),"")</f>
        <v/>
      </c>
      <c r="AM302" s="2" t="str">
        <f ca="1">IFERROR(__xludf.DUMMYFUNCTION("""COMPUTED_VALUE"""),"")</f>
        <v/>
      </c>
      <c r="AN302" s="2" t="str">
        <f ca="1">IFERROR(__xludf.DUMMYFUNCTION("""COMPUTED_VALUE"""),"")</f>
        <v/>
      </c>
      <c r="AO302" s="2" t="str">
        <f ca="1">IFERROR(__xludf.DUMMYFUNCTION("""COMPUTED_VALUE"""),"")</f>
        <v/>
      </c>
      <c r="AP302" s="2" t="str">
        <f ca="1">IFERROR(__xludf.DUMMYFUNCTION("""COMPUTED_VALUE"""),"")</f>
        <v/>
      </c>
      <c r="AQ302" s="2" t="str">
        <f ca="1">IFERROR(__xludf.DUMMYFUNCTION("""COMPUTED_VALUE"""),"")</f>
        <v/>
      </c>
      <c r="AR302" s="2" t="str">
        <f ca="1">IFERROR(__xludf.DUMMYFUNCTION("""COMPUTED_VALUE"""),"")</f>
        <v/>
      </c>
      <c r="AS302" s="2" t="str">
        <f ca="1">IFERROR(__xludf.DUMMYFUNCTION("""COMPUTED_VALUE"""),"")</f>
        <v/>
      </c>
      <c r="AT302" s="2" t="str">
        <f ca="1">IFERROR(__xludf.DUMMYFUNCTION("""COMPUTED_VALUE"""),"")</f>
        <v/>
      </c>
      <c r="AU302" s="2" t="str">
        <f ca="1">IFERROR(__xludf.DUMMYFUNCTION("""COMPUTED_VALUE"""),"")</f>
        <v/>
      </c>
      <c r="AV302" s="2" t="str">
        <f ca="1">IFERROR(__xludf.DUMMYFUNCTION("""COMPUTED_VALUE"""),"")</f>
        <v/>
      </c>
      <c r="AW302" s="2" t="str">
        <f ca="1">IFERROR(__xludf.DUMMYFUNCTION("""COMPUTED_VALUE"""),"")</f>
        <v/>
      </c>
      <c r="AX302" s="2" t="str">
        <f ca="1">IFERROR(__xludf.DUMMYFUNCTION("""COMPUTED_VALUE"""),"")</f>
        <v/>
      </c>
      <c r="AY302" s="2" t="str">
        <f ca="1">IFERROR(__xludf.DUMMYFUNCTION("""COMPUTED_VALUE"""),"")</f>
        <v/>
      </c>
      <c r="AZ302" s="2" t="str">
        <f ca="1">IFERROR(__xludf.DUMMYFUNCTION("""COMPUTED_VALUE"""),"")</f>
        <v/>
      </c>
      <c r="BA302" s="2" t="str">
        <f ca="1">IFERROR(__xludf.DUMMYFUNCTION("""COMPUTED_VALUE"""),"")</f>
        <v/>
      </c>
      <c r="BB302" s="2" t="str">
        <f ca="1">IFERROR(__xludf.DUMMYFUNCTION("""COMPUTED_VALUE"""),"")</f>
        <v/>
      </c>
      <c r="BC302" s="2" t="str">
        <f ca="1">IFERROR(__xludf.DUMMYFUNCTION("""COMPUTED_VALUE"""),"")</f>
        <v/>
      </c>
      <c r="BD302" s="2" t="str">
        <f ca="1">IFERROR(__xludf.DUMMYFUNCTION("""COMPUTED_VALUE"""),"")</f>
        <v/>
      </c>
      <c r="BE302" s="2" t="str">
        <f ca="1">IFERROR(__xludf.DUMMYFUNCTION("""COMPUTED_VALUE"""),"")</f>
        <v/>
      </c>
      <c r="BF302" t="str">
        <f ca="1">IFERROR(__xludf.DUMMYFUNCTION("""COMPUTED_VALUE"""),"")</f>
        <v/>
      </c>
      <c r="BG302" t="str">
        <f ca="1">IFERROR(__xludf.DUMMYFUNCTION("""COMPUTED_VALUE"""),"")</f>
        <v/>
      </c>
      <c r="BH302" s="2">
        <f ca="1">IFERROR(__xludf.DUMMYFUNCTION("""COMPUTED_VALUE"""),-37.2898445)</f>
        <v>-37.289844500000001</v>
      </c>
      <c r="BI302" s="13">
        <f ca="1">IFERROR(__xludf.DUMMYFUNCTION("""COMPUTED_VALUE"""),175.1181946)</f>
        <v>175.11819460000001</v>
      </c>
      <c r="BJ302" s="9">
        <f ca="1">IFERROR(__xludf.DUMMYFUNCTION("""COMPUTED_VALUE"""),43406)</f>
        <v>43406</v>
      </c>
      <c r="BK302" s="4">
        <f ca="1">IFERROR(__xludf.DUMMYFUNCTION("""COMPUTED_VALUE"""),0.875555555554456)</f>
        <v>0.87555555555445597</v>
      </c>
    </row>
    <row r="303" spans="1:63" ht="12.5" x14ac:dyDescent="0.25">
      <c r="A303" s="7" t="str">
        <f ca="1">IFERROR(__xludf.DUMMYFUNCTION("""COMPUTED_VALUE"""),"")</f>
        <v/>
      </c>
      <c r="B303" s="8" t="str">
        <f ca="1">IFERROR(__xludf.DUMMYFUNCTION("""COMPUTED_VALUE"""),"Waikato")</f>
        <v>Waikato</v>
      </c>
      <c r="C303" s="2">
        <f ca="1">IFERROR(__xludf.DUMMYFUNCTION("""COMPUTED_VALUE"""),21)</f>
        <v>21</v>
      </c>
      <c r="D303" s="9" t="str">
        <f ca="1">IFERROR(__xludf.DUMMYFUNCTION("""COMPUTED_VALUE"""),"")</f>
        <v/>
      </c>
      <c r="E303" s="4" t="str">
        <f ca="1">IFERROR(__xludf.DUMMYFUNCTION("""COMPUTED_VALUE"""),"")</f>
        <v/>
      </c>
      <c r="F303" s="2" t="str">
        <f ca="1">IFERROR(__xludf.DUMMYFUNCTION("""COMPUTED_VALUE"""),"")</f>
        <v/>
      </c>
      <c r="G303" s="2" t="str">
        <f ca="1">IFERROR(__xludf.DUMMYFUNCTION("""COMPUTED_VALUE"""),"GPS: I converted data downloaded from ARGOS using Pinpoint software")</f>
        <v>GPS: I converted data downloaded from ARGOS using Pinpoint software</v>
      </c>
      <c r="H303" s="2" t="str">
        <f ca="1">IFERROR(__xludf.DUMMYFUNCTION("""COMPUTED_VALUE"""),"3D")</f>
        <v>3D</v>
      </c>
      <c r="I303" s="2" t="str">
        <f ca="1">IFERROR(__xludf.DUMMYFUNCTION("""COMPUTED_VALUE"""),"")</f>
        <v/>
      </c>
      <c r="J303" s="2" t="str">
        <f ca="1">IFERROR(__xludf.DUMMYFUNCTION("""COMPUTED_VALUE"""),"")</f>
        <v/>
      </c>
      <c r="K303" s="2" t="str">
        <f ca="1">IFERROR(__xludf.DUMMYFUNCTION("""COMPUTED_VALUE"""),"")</f>
        <v/>
      </c>
      <c r="L303" s="2" t="str">
        <f ca="1">IFERROR(__xludf.DUMMYFUNCTION("""COMPUTED_VALUE"""),"")</f>
        <v/>
      </c>
      <c r="M303" s="5" t="str">
        <f ca="1">IFERROR(__xludf.DUMMYFUNCTION("""COMPUTED_VALUE"""),"")</f>
        <v/>
      </c>
      <c r="N303" s="5" t="str">
        <f ca="1">IFERROR(__xludf.DUMMYFUNCTION("""COMPUTED_VALUE"""),"")</f>
        <v/>
      </c>
      <c r="O303" s="2" t="str">
        <f ca="1">IFERROR(__xludf.DUMMYFUNCTION("""COMPUTED_VALUE"""),"")</f>
        <v/>
      </c>
      <c r="P303" s="2" t="str">
        <f ca="1">IFERROR(__xludf.DUMMYFUNCTION("""COMPUTED_VALUE"""),"")</f>
        <v/>
      </c>
      <c r="Q303" s="2" t="str">
        <f ca="1">IFERROR(__xludf.DUMMYFUNCTION("""COMPUTED_VALUE"""),"")</f>
        <v/>
      </c>
      <c r="R303" s="2" t="str">
        <f ca="1">IFERROR(__xludf.DUMMYFUNCTION("""COMPUTED_VALUE"""),"")</f>
        <v/>
      </c>
      <c r="S303" s="2" t="str">
        <f ca="1">IFERROR(__xludf.DUMMYFUNCTION("""COMPUTED_VALUE"""),"")</f>
        <v/>
      </c>
      <c r="T303" s="2" t="str">
        <f ca="1">IFERROR(__xludf.DUMMYFUNCTION("""COMPUTED_VALUE"""),"")</f>
        <v/>
      </c>
      <c r="U303" s="2" t="str">
        <f ca="1">IFERROR(__xludf.DUMMYFUNCTION("""COMPUTED_VALUE"""),"")</f>
        <v/>
      </c>
      <c r="V303" s="2" t="str">
        <f ca="1">IFERROR(__xludf.DUMMYFUNCTION("""COMPUTED_VALUE"""),"")</f>
        <v/>
      </c>
      <c r="W303" s="2" t="str">
        <f ca="1">IFERROR(__xludf.DUMMYFUNCTION("""COMPUTED_VALUE"""),"")</f>
        <v/>
      </c>
      <c r="X303" s="2" t="str">
        <f ca="1">IFERROR(__xludf.DUMMYFUNCTION("""COMPUTED_VALUE"""),"")</f>
        <v/>
      </c>
      <c r="Y303" s="2" t="str">
        <f ca="1">IFERROR(__xludf.DUMMYFUNCTION("""COMPUTED_VALUE"""),"")</f>
        <v/>
      </c>
      <c r="Z303" s="2" t="str">
        <f ca="1">IFERROR(__xludf.DUMMYFUNCTION("""COMPUTED_VALUE"""),"")</f>
        <v/>
      </c>
      <c r="AA303" s="2" t="str">
        <f ca="1">IFERROR(__xludf.DUMMYFUNCTION("""COMPUTED_VALUE"""),"")</f>
        <v/>
      </c>
      <c r="AB303" s="2" t="str">
        <f ca="1">IFERROR(__xludf.DUMMYFUNCTION("""COMPUTED_VALUE"""),"")</f>
        <v/>
      </c>
      <c r="AC303" s="2" t="str">
        <f ca="1">IFERROR(__xludf.DUMMYFUNCTION("""COMPUTED_VALUE"""),"")</f>
        <v/>
      </c>
      <c r="AD303" s="2" t="str">
        <f ca="1">IFERROR(__xludf.DUMMYFUNCTION("""COMPUTED_VALUE"""),"")</f>
        <v/>
      </c>
      <c r="AE303" s="2" t="str">
        <f ca="1">IFERROR(__xludf.DUMMYFUNCTION("""COMPUTED_VALUE"""),"")</f>
        <v/>
      </c>
      <c r="AF303" s="2" t="str">
        <f ca="1">IFERROR(__xludf.DUMMYFUNCTION("""COMPUTED_VALUE"""),"")</f>
        <v/>
      </c>
      <c r="AG303" s="2" t="str">
        <f ca="1">IFERROR(__xludf.DUMMYFUNCTION("""COMPUTED_VALUE"""),"")</f>
        <v/>
      </c>
      <c r="AH303" s="2" t="str">
        <f ca="1">IFERROR(__xludf.DUMMYFUNCTION("""COMPUTED_VALUE"""),"")</f>
        <v/>
      </c>
      <c r="AI303" s="2" t="str">
        <f ca="1">IFERROR(__xludf.DUMMYFUNCTION("""COMPUTED_VALUE"""),"")</f>
        <v/>
      </c>
      <c r="AJ303" s="2" t="str">
        <f ca="1">IFERROR(__xludf.DUMMYFUNCTION("""COMPUTED_VALUE"""),"")</f>
        <v/>
      </c>
      <c r="AK303" s="2" t="str">
        <f ca="1">IFERROR(__xludf.DUMMYFUNCTION("""COMPUTED_VALUE"""),"")</f>
        <v/>
      </c>
      <c r="AL303" s="2" t="str">
        <f ca="1">IFERROR(__xludf.DUMMYFUNCTION("""COMPUTED_VALUE"""),"")</f>
        <v/>
      </c>
      <c r="AM303" s="2" t="str">
        <f ca="1">IFERROR(__xludf.DUMMYFUNCTION("""COMPUTED_VALUE"""),"")</f>
        <v/>
      </c>
      <c r="AN303" s="2" t="str">
        <f ca="1">IFERROR(__xludf.DUMMYFUNCTION("""COMPUTED_VALUE"""),"")</f>
        <v/>
      </c>
      <c r="AO303" s="2" t="str">
        <f ca="1">IFERROR(__xludf.DUMMYFUNCTION("""COMPUTED_VALUE"""),"")</f>
        <v/>
      </c>
      <c r="AP303" s="2" t="str">
        <f ca="1">IFERROR(__xludf.DUMMYFUNCTION("""COMPUTED_VALUE"""),"")</f>
        <v/>
      </c>
      <c r="AQ303" s="2" t="str">
        <f ca="1">IFERROR(__xludf.DUMMYFUNCTION("""COMPUTED_VALUE"""),"")</f>
        <v/>
      </c>
      <c r="AR303" s="2" t="str">
        <f ca="1">IFERROR(__xludf.DUMMYFUNCTION("""COMPUTED_VALUE"""),"")</f>
        <v/>
      </c>
      <c r="AS303" s="2" t="str">
        <f ca="1">IFERROR(__xludf.DUMMYFUNCTION("""COMPUTED_VALUE"""),"")</f>
        <v/>
      </c>
      <c r="AT303" s="2" t="str">
        <f ca="1">IFERROR(__xludf.DUMMYFUNCTION("""COMPUTED_VALUE"""),"")</f>
        <v/>
      </c>
      <c r="AU303" s="2" t="str">
        <f ca="1">IFERROR(__xludf.DUMMYFUNCTION("""COMPUTED_VALUE"""),"")</f>
        <v/>
      </c>
      <c r="AV303" s="2" t="str">
        <f ca="1">IFERROR(__xludf.DUMMYFUNCTION("""COMPUTED_VALUE"""),"")</f>
        <v/>
      </c>
      <c r="AW303" s="2" t="str">
        <f ca="1">IFERROR(__xludf.DUMMYFUNCTION("""COMPUTED_VALUE"""),"")</f>
        <v/>
      </c>
      <c r="AX303" s="2" t="str">
        <f ca="1">IFERROR(__xludf.DUMMYFUNCTION("""COMPUTED_VALUE"""),"")</f>
        <v/>
      </c>
      <c r="AY303" s="2" t="str">
        <f ca="1">IFERROR(__xludf.DUMMYFUNCTION("""COMPUTED_VALUE"""),"")</f>
        <v/>
      </c>
      <c r="AZ303" s="2" t="str">
        <f ca="1">IFERROR(__xludf.DUMMYFUNCTION("""COMPUTED_VALUE"""),"")</f>
        <v/>
      </c>
      <c r="BA303" s="2" t="str">
        <f ca="1">IFERROR(__xludf.DUMMYFUNCTION("""COMPUTED_VALUE"""),"")</f>
        <v/>
      </c>
      <c r="BB303" s="2" t="str">
        <f ca="1">IFERROR(__xludf.DUMMYFUNCTION("""COMPUTED_VALUE"""),"")</f>
        <v/>
      </c>
      <c r="BC303" s="2" t="str">
        <f ca="1">IFERROR(__xludf.DUMMYFUNCTION("""COMPUTED_VALUE"""),"")</f>
        <v/>
      </c>
      <c r="BD303" s="2" t="str">
        <f ca="1">IFERROR(__xludf.DUMMYFUNCTION("""COMPUTED_VALUE"""),"")</f>
        <v/>
      </c>
      <c r="BE303" s="2" t="str">
        <f ca="1">IFERROR(__xludf.DUMMYFUNCTION("""COMPUTED_VALUE"""),"")</f>
        <v/>
      </c>
      <c r="BF303" t="str">
        <f ca="1">IFERROR(__xludf.DUMMYFUNCTION("""COMPUTED_VALUE"""),"")</f>
        <v/>
      </c>
      <c r="BG303" t="str">
        <f ca="1">IFERROR(__xludf.DUMMYFUNCTION("""COMPUTED_VALUE"""),"")</f>
        <v/>
      </c>
      <c r="BH303" s="2">
        <f ca="1">IFERROR(__xludf.DUMMYFUNCTION("""COMPUTED_VALUE"""),-37.29179)</f>
        <v>-37.291789999999999</v>
      </c>
      <c r="BI303" s="12">
        <f ca="1">IFERROR(__xludf.DUMMYFUNCTION("""COMPUTED_VALUE"""),175.113739)</f>
        <v>175.11373900000001</v>
      </c>
      <c r="BJ303" s="9">
        <f ca="1">IFERROR(__xludf.DUMMYFUNCTION("""COMPUTED_VALUE"""),43406)</f>
        <v>43406</v>
      </c>
      <c r="BK303" s="4">
        <f ca="1">IFERROR(__xludf.DUMMYFUNCTION("""COMPUTED_VALUE"""),0.958518518516939)</f>
        <v>0.95851851851693903</v>
      </c>
    </row>
    <row r="304" spans="1:63" ht="12.5" x14ac:dyDescent="0.25">
      <c r="A304" s="7" t="str">
        <f ca="1">IFERROR(__xludf.DUMMYFUNCTION("""COMPUTED_VALUE"""),"")</f>
        <v/>
      </c>
      <c r="B304" s="8" t="str">
        <f ca="1">IFERROR(__xludf.DUMMYFUNCTION("""COMPUTED_VALUE"""),"Waikato")</f>
        <v>Waikato</v>
      </c>
      <c r="C304" s="2">
        <f ca="1">IFERROR(__xludf.DUMMYFUNCTION("""COMPUTED_VALUE"""),21)</f>
        <v>21</v>
      </c>
      <c r="D304" s="9" t="str">
        <f ca="1">IFERROR(__xludf.DUMMYFUNCTION("""COMPUTED_VALUE"""),"")</f>
        <v/>
      </c>
      <c r="E304" s="4" t="str">
        <f ca="1">IFERROR(__xludf.DUMMYFUNCTION("""COMPUTED_VALUE"""),"")</f>
        <v/>
      </c>
      <c r="F304" s="2" t="str">
        <f ca="1">IFERROR(__xludf.DUMMYFUNCTION("""COMPUTED_VALUE"""),"")</f>
        <v/>
      </c>
      <c r="G304" s="2" t="str">
        <f ca="1">IFERROR(__xludf.DUMMYFUNCTION("""COMPUTED_VALUE"""),"GPS: I converted data downloaded from ARGOS using Pinpoint software")</f>
        <v>GPS: I converted data downloaded from ARGOS using Pinpoint software</v>
      </c>
      <c r="H304" s="2" t="str">
        <f ca="1">IFERROR(__xludf.DUMMYFUNCTION("""COMPUTED_VALUE"""),"3D")</f>
        <v>3D</v>
      </c>
      <c r="I304" s="2" t="str">
        <f ca="1">IFERROR(__xludf.DUMMYFUNCTION("""COMPUTED_VALUE"""),"")</f>
        <v/>
      </c>
      <c r="J304" s="2" t="str">
        <f ca="1">IFERROR(__xludf.DUMMYFUNCTION("""COMPUTED_VALUE"""),"")</f>
        <v/>
      </c>
      <c r="K304" s="2" t="str">
        <f ca="1">IFERROR(__xludf.DUMMYFUNCTION("""COMPUTED_VALUE"""),"")</f>
        <v/>
      </c>
      <c r="L304" s="2" t="str">
        <f ca="1">IFERROR(__xludf.DUMMYFUNCTION("""COMPUTED_VALUE"""),"")</f>
        <v/>
      </c>
      <c r="M304" s="5" t="str">
        <f ca="1">IFERROR(__xludf.DUMMYFUNCTION("""COMPUTED_VALUE"""),"")</f>
        <v/>
      </c>
      <c r="N304" s="5" t="str">
        <f ca="1">IFERROR(__xludf.DUMMYFUNCTION("""COMPUTED_VALUE"""),"")</f>
        <v/>
      </c>
      <c r="O304" s="2" t="str">
        <f ca="1">IFERROR(__xludf.DUMMYFUNCTION("""COMPUTED_VALUE"""),"")</f>
        <v/>
      </c>
      <c r="P304" s="2" t="str">
        <f ca="1">IFERROR(__xludf.DUMMYFUNCTION("""COMPUTED_VALUE"""),"")</f>
        <v/>
      </c>
      <c r="Q304" s="2" t="str">
        <f ca="1">IFERROR(__xludf.DUMMYFUNCTION("""COMPUTED_VALUE"""),"")</f>
        <v/>
      </c>
      <c r="R304" s="2" t="str">
        <f ca="1">IFERROR(__xludf.DUMMYFUNCTION("""COMPUTED_VALUE"""),"")</f>
        <v/>
      </c>
      <c r="S304" s="2" t="str">
        <f ca="1">IFERROR(__xludf.DUMMYFUNCTION("""COMPUTED_VALUE"""),"")</f>
        <v/>
      </c>
      <c r="T304" s="2" t="str">
        <f ca="1">IFERROR(__xludf.DUMMYFUNCTION("""COMPUTED_VALUE"""),"")</f>
        <v/>
      </c>
      <c r="U304" s="2" t="str">
        <f ca="1">IFERROR(__xludf.DUMMYFUNCTION("""COMPUTED_VALUE"""),"")</f>
        <v/>
      </c>
      <c r="V304" s="2" t="str">
        <f ca="1">IFERROR(__xludf.DUMMYFUNCTION("""COMPUTED_VALUE"""),"")</f>
        <v/>
      </c>
      <c r="W304" s="2" t="str">
        <f ca="1">IFERROR(__xludf.DUMMYFUNCTION("""COMPUTED_VALUE"""),"")</f>
        <v/>
      </c>
      <c r="X304" s="2" t="str">
        <f ca="1">IFERROR(__xludf.DUMMYFUNCTION("""COMPUTED_VALUE"""),"")</f>
        <v/>
      </c>
      <c r="Y304" s="2" t="str">
        <f ca="1">IFERROR(__xludf.DUMMYFUNCTION("""COMPUTED_VALUE"""),"")</f>
        <v/>
      </c>
      <c r="Z304" s="2" t="str">
        <f ca="1">IFERROR(__xludf.DUMMYFUNCTION("""COMPUTED_VALUE"""),"")</f>
        <v/>
      </c>
      <c r="AA304" s="2" t="str">
        <f ca="1">IFERROR(__xludf.DUMMYFUNCTION("""COMPUTED_VALUE"""),"")</f>
        <v/>
      </c>
      <c r="AB304" s="2" t="str">
        <f ca="1">IFERROR(__xludf.DUMMYFUNCTION("""COMPUTED_VALUE"""),"")</f>
        <v/>
      </c>
      <c r="AC304" s="2" t="str">
        <f ca="1">IFERROR(__xludf.DUMMYFUNCTION("""COMPUTED_VALUE"""),"")</f>
        <v/>
      </c>
      <c r="AD304" s="2" t="str">
        <f ca="1">IFERROR(__xludf.DUMMYFUNCTION("""COMPUTED_VALUE"""),"")</f>
        <v/>
      </c>
      <c r="AE304" s="2" t="str">
        <f ca="1">IFERROR(__xludf.DUMMYFUNCTION("""COMPUTED_VALUE"""),"")</f>
        <v/>
      </c>
      <c r="AF304" s="2" t="str">
        <f ca="1">IFERROR(__xludf.DUMMYFUNCTION("""COMPUTED_VALUE"""),"")</f>
        <v/>
      </c>
      <c r="AG304" s="2" t="str">
        <f ca="1">IFERROR(__xludf.DUMMYFUNCTION("""COMPUTED_VALUE"""),"")</f>
        <v/>
      </c>
      <c r="AH304" s="2" t="str">
        <f ca="1">IFERROR(__xludf.DUMMYFUNCTION("""COMPUTED_VALUE"""),"")</f>
        <v/>
      </c>
      <c r="AI304" s="2" t="str">
        <f ca="1">IFERROR(__xludf.DUMMYFUNCTION("""COMPUTED_VALUE"""),"")</f>
        <v/>
      </c>
      <c r="AJ304" s="2" t="str">
        <f ca="1">IFERROR(__xludf.DUMMYFUNCTION("""COMPUTED_VALUE"""),"")</f>
        <v/>
      </c>
      <c r="AK304" s="2" t="str">
        <f ca="1">IFERROR(__xludf.DUMMYFUNCTION("""COMPUTED_VALUE"""),"")</f>
        <v/>
      </c>
      <c r="AL304" s="2" t="str">
        <f ca="1">IFERROR(__xludf.DUMMYFUNCTION("""COMPUTED_VALUE"""),"")</f>
        <v/>
      </c>
      <c r="AM304" s="2" t="str">
        <f ca="1">IFERROR(__xludf.DUMMYFUNCTION("""COMPUTED_VALUE"""),"")</f>
        <v/>
      </c>
      <c r="AN304" s="2" t="str">
        <f ca="1">IFERROR(__xludf.DUMMYFUNCTION("""COMPUTED_VALUE"""),"")</f>
        <v/>
      </c>
      <c r="AO304" s="2" t="str">
        <f ca="1">IFERROR(__xludf.DUMMYFUNCTION("""COMPUTED_VALUE"""),"")</f>
        <v/>
      </c>
      <c r="AP304" s="2" t="str">
        <f ca="1">IFERROR(__xludf.DUMMYFUNCTION("""COMPUTED_VALUE"""),"")</f>
        <v/>
      </c>
      <c r="AQ304" s="2" t="str">
        <f ca="1">IFERROR(__xludf.DUMMYFUNCTION("""COMPUTED_VALUE"""),"")</f>
        <v/>
      </c>
      <c r="AR304" s="2" t="str">
        <f ca="1">IFERROR(__xludf.DUMMYFUNCTION("""COMPUTED_VALUE"""),"")</f>
        <v/>
      </c>
      <c r="AS304" s="2" t="str">
        <f ca="1">IFERROR(__xludf.DUMMYFUNCTION("""COMPUTED_VALUE"""),"")</f>
        <v/>
      </c>
      <c r="AT304" s="2" t="str">
        <f ca="1">IFERROR(__xludf.DUMMYFUNCTION("""COMPUTED_VALUE"""),"")</f>
        <v/>
      </c>
      <c r="AU304" s="2" t="str">
        <f ca="1">IFERROR(__xludf.DUMMYFUNCTION("""COMPUTED_VALUE"""),"")</f>
        <v/>
      </c>
      <c r="AV304" s="2" t="str">
        <f ca="1">IFERROR(__xludf.DUMMYFUNCTION("""COMPUTED_VALUE"""),"")</f>
        <v/>
      </c>
      <c r="AW304" s="2" t="str">
        <f ca="1">IFERROR(__xludf.DUMMYFUNCTION("""COMPUTED_VALUE"""),"")</f>
        <v/>
      </c>
      <c r="AX304" s="2" t="str">
        <f ca="1">IFERROR(__xludf.DUMMYFUNCTION("""COMPUTED_VALUE"""),"")</f>
        <v/>
      </c>
      <c r="AY304" s="2" t="str">
        <f ca="1">IFERROR(__xludf.DUMMYFUNCTION("""COMPUTED_VALUE"""),"")</f>
        <v/>
      </c>
      <c r="AZ304" s="2" t="str">
        <f ca="1">IFERROR(__xludf.DUMMYFUNCTION("""COMPUTED_VALUE"""),"")</f>
        <v/>
      </c>
      <c r="BA304" s="2" t="str">
        <f ca="1">IFERROR(__xludf.DUMMYFUNCTION("""COMPUTED_VALUE"""),"")</f>
        <v/>
      </c>
      <c r="BB304" s="2" t="str">
        <f ca="1">IFERROR(__xludf.DUMMYFUNCTION("""COMPUTED_VALUE"""),"")</f>
        <v/>
      </c>
      <c r="BC304" s="2" t="str">
        <f ca="1">IFERROR(__xludf.DUMMYFUNCTION("""COMPUTED_VALUE"""),"")</f>
        <v/>
      </c>
      <c r="BD304" s="2" t="str">
        <f ca="1">IFERROR(__xludf.DUMMYFUNCTION("""COMPUTED_VALUE"""),"")</f>
        <v/>
      </c>
      <c r="BE304" s="2" t="str">
        <f ca="1">IFERROR(__xludf.DUMMYFUNCTION("""COMPUTED_VALUE"""),"")</f>
        <v/>
      </c>
      <c r="BF304" t="str">
        <f ca="1">IFERROR(__xludf.DUMMYFUNCTION("""COMPUTED_VALUE"""),"")</f>
        <v/>
      </c>
      <c r="BG304" t="str">
        <f ca="1">IFERROR(__xludf.DUMMYFUNCTION("""COMPUTED_VALUE"""),"")</f>
        <v/>
      </c>
      <c r="BH304" s="2">
        <f ca="1">IFERROR(__xludf.DUMMYFUNCTION("""COMPUTED_VALUE"""),-37.2910194)</f>
        <v>-37.291019400000003</v>
      </c>
      <c r="BI304" s="13">
        <f ca="1">IFERROR(__xludf.DUMMYFUNCTION("""COMPUTED_VALUE"""),175.1348419)</f>
        <v>175.1348419</v>
      </c>
      <c r="BJ304" s="9">
        <f ca="1">IFERROR(__xludf.DUMMYFUNCTION("""COMPUTED_VALUE"""),43408)</f>
        <v>43408</v>
      </c>
      <c r="BK304" s="4">
        <f ca="1">IFERROR(__xludf.DUMMYFUNCTION("""COMPUTED_VALUE"""),0.457777777777664)</f>
        <v>0.45777777777766399</v>
      </c>
    </row>
    <row r="305" spans="1:63" ht="12.5" x14ac:dyDescent="0.25">
      <c r="A305" s="7" t="str">
        <f ca="1">IFERROR(__xludf.DUMMYFUNCTION("""COMPUTED_VALUE"""),"")</f>
        <v/>
      </c>
      <c r="B305" s="8" t="str">
        <f ca="1">IFERROR(__xludf.DUMMYFUNCTION("""COMPUTED_VALUE"""),"Waikato")</f>
        <v>Waikato</v>
      </c>
      <c r="C305" s="2">
        <f ca="1">IFERROR(__xludf.DUMMYFUNCTION("""COMPUTED_VALUE"""),21)</f>
        <v>21</v>
      </c>
      <c r="D305" s="9" t="str">
        <f ca="1">IFERROR(__xludf.DUMMYFUNCTION("""COMPUTED_VALUE"""),"")</f>
        <v/>
      </c>
      <c r="E305" s="4" t="str">
        <f ca="1">IFERROR(__xludf.DUMMYFUNCTION("""COMPUTED_VALUE"""),"")</f>
        <v/>
      </c>
      <c r="F305" s="2" t="str">
        <f ca="1">IFERROR(__xludf.DUMMYFUNCTION("""COMPUTED_VALUE"""),"")</f>
        <v/>
      </c>
      <c r="G305" s="2" t="str">
        <f ca="1">IFERROR(__xludf.DUMMYFUNCTION("""COMPUTED_VALUE"""),"GPS: I converted data downloaded from ARGOS using Pinpoint software")</f>
        <v>GPS: I converted data downloaded from ARGOS using Pinpoint software</v>
      </c>
      <c r="H305" s="2" t="str">
        <f ca="1">IFERROR(__xludf.DUMMYFUNCTION("""COMPUTED_VALUE"""),"3D")</f>
        <v>3D</v>
      </c>
      <c r="I305" s="2" t="str">
        <f ca="1">IFERROR(__xludf.DUMMYFUNCTION("""COMPUTED_VALUE"""),"")</f>
        <v/>
      </c>
      <c r="J305" s="2" t="str">
        <f ca="1">IFERROR(__xludf.DUMMYFUNCTION("""COMPUTED_VALUE"""),"")</f>
        <v/>
      </c>
      <c r="K305" s="2" t="str">
        <f ca="1">IFERROR(__xludf.DUMMYFUNCTION("""COMPUTED_VALUE"""),"")</f>
        <v/>
      </c>
      <c r="L305" s="2" t="str">
        <f ca="1">IFERROR(__xludf.DUMMYFUNCTION("""COMPUTED_VALUE"""),"")</f>
        <v/>
      </c>
      <c r="M305" s="5" t="str">
        <f ca="1">IFERROR(__xludf.DUMMYFUNCTION("""COMPUTED_VALUE"""),"")</f>
        <v/>
      </c>
      <c r="N305" s="5" t="str">
        <f ca="1">IFERROR(__xludf.DUMMYFUNCTION("""COMPUTED_VALUE"""),"")</f>
        <v/>
      </c>
      <c r="O305" s="2" t="str">
        <f ca="1">IFERROR(__xludf.DUMMYFUNCTION("""COMPUTED_VALUE"""),"")</f>
        <v/>
      </c>
      <c r="P305" s="2" t="str">
        <f ca="1">IFERROR(__xludf.DUMMYFUNCTION("""COMPUTED_VALUE"""),"")</f>
        <v/>
      </c>
      <c r="Q305" s="2" t="str">
        <f ca="1">IFERROR(__xludf.DUMMYFUNCTION("""COMPUTED_VALUE"""),"")</f>
        <v/>
      </c>
      <c r="R305" s="2" t="str">
        <f ca="1">IFERROR(__xludf.DUMMYFUNCTION("""COMPUTED_VALUE"""),"")</f>
        <v/>
      </c>
      <c r="S305" s="2" t="str">
        <f ca="1">IFERROR(__xludf.DUMMYFUNCTION("""COMPUTED_VALUE"""),"")</f>
        <v/>
      </c>
      <c r="T305" s="2" t="str">
        <f ca="1">IFERROR(__xludf.DUMMYFUNCTION("""COMPUTED_VALUE"""),"")</f>
        <v/>
      </c>
      <c r="U305" s="2" t="str">
        <f ca="1">IFERROR(__xludf.DUMMYFUNCTION("""COMPUTED_VALUE"""),"")</f>
        <v/>
      </c>
      <c r="V305" s="2" t="str">
        <f ca="1">IFERROR(__xludf.DUMMYFUNCTION("""COMPUTED_VALUE"""),"")</f>
        <v/>
      </c>
      <c r="W305" s="2" t="str">
        <f ca="1">IFERROR(__xludf.DUMMYFUNCTION("""COMPUTED_VALUE"""),"")</f>
        <v/>
      </c>
      <c r="X305" s="2" t="str">
        <f ca="1">IFERROR(__xludf.DUMMYFUNCTION("""COMPUTED_VALUE"""),"")</f>
        <v/>
      </c>
      <c r="Y305" s="2" t="str">
        <f ca="1">IFERROR(__xludf.DUMMYFUNCTION("""COMPUTED_VALUE"""),"")</f>
        <v/>
      </c>
      <c r="Z305" s="2" t="str">
        <f ca="1">IFERROR(__xludf.DUMMYFUNCTION("""COMPUTED_VALUE"""),"")</f>
        <v/>
      </c>
      <c r="AA305" s="2" t="str">
        <f ca="1">IFERROR(__xludf.DUMMYFUNCTION("""COMPUTED_VALUE"""),"")</f>
        <v/>
      </c>
      <c r="AB305" s="2" t="str">
        <f ca="1">IFERROR(__xludf.DUMMYFUNCTION("""COMPUTED_VALUE"""),"")</f>
        <v/>
      </c>
      <c r="AC305" s="2" t="str">
        <f ca="1">IFERROR(__xludf.DUMMYFUNCTION("""COMPUTED_VALUE"""),"")</f>
        <v/>
      </c>
      <c r="AD305" s="2" t="str">
        <f ca="1">IFERROR(__xludf.DUMMYFUNCTION("""COMPUTED_VALUE"""),"")</f>
        <v/>
      </c>
      <c r="AE305" s="2" t="str">
        <f ca="1">IFERROR(__xludf.DUMMYFUNCTION("""COMPUTED_VALUE"""),"")</f>
        <v/>
      </c>
      <c r="AF305" s="2" t="str">
        <f ca="1">IFERROR(__xludf.DUMMYFUNCTION("""COMPUTED_VALUE"""),"")</f>
        <v/>
      </c>
      <c r="AG305" s="2" t="str">
        <f ca="1">IFERROR(__xludf.DUMMYFUNCTION("""COMPUTED_VALUE"""),"")</f>
        <v/>
      </c>
      <c r="AH305" s="2" t="str">
        <f ca="1">IFERROR(__xludf.DUMMYFUNCTION("""COMPUTED_VALUE"""),"")</f>
        <v/>
      </c>
      <c r="AI305" s="2" t="str">
        <f ca="1">IFERROR(__xludf.DUMMYFUNCTION("""COMPUTED_VALUE"""),"")</f>
        <v/>
      </c>
      <c r="AJ305" s="2" t="str">
        <f ca="1">IFERROR(__xludf.DUMMYFUNCTION("""COMPUTED_VALUE"""),"")</f>
        <v/>
      </c>
      <c r="AK305" s="2" t="str">
        <f ca="1">IFERROR(__xludf.DUMMYFUNCTION("""COMPUTED_VALUE"""),"")</f>
        <v/>
      </c>
      <c r="AL305" s="2" t="str">
        <f ca="1">IFERROR(__xludf.DUMMYFUNCTION("""COMPUTED_VALUE"""),"")</f>
        <v/>
      </c>
      <c r="AM305" s="2" t="str">
        <f ca="1">IFERROR(__xludf.DUMMYFUNCTION("""COMPUTED_VALUE"""),"")</f>
        <v/>
      </c>
      <c r="AN305" s="2" t="str">
        <f ca="1">IFERROR(__xludf.DUMMYFUNCTION("""COMPUTED_VALUE"""),"")</f>
        <v/>
      </c>
      <c r="AO305" s="2" t="str">
        <f ca="1">IFERROR(__xludf.DUMMYFUNCTION("""COMPUTED_VALUE"""),"")</f>
        <v/>
      </c>
      <c r="AP305" s="2" t="str">
        <f ca="1">IFERROR(__xludf.DUMMYFUNCTION("""COMPUTED_VALUE"""),"")</f>
        <v/>
      </c>
      <c r="AQ305" s="2" t="str">
        <f ca="1">IFERROR(__xludf.DUMMYFUNCTION("""COMPUTED_VALUE"""),"")</f>
        <v/>
      </c>
      <c r="AR305" s="2" t="str">
        <f ca="1">IFERROR(__xludf.DUMMYFUNCTION("""COMPUTED_VALUE"""),"")</f>
        <v/>
      </c>
      <c r="AS305" s="2" t="str">
        <f ca="1">IFERROR(__xludf.DUMMYFUNCTION("""COMPUTED_VALUE"""),"")</f>
        <v/>
      </c>
      <c r="AT305" s="2" t="str">
        <f ca="1">IFERROR(__xludf.DUMMYFUNCTION("""COMPUTED_VALUE"""),"")</f>
        <v/>
      </c>
      <c r="AU305" s="2" t="str">
        <f ca="1">IFERROR(__xludf.DUMMYFUNCTION("""COMPUTED_VALUE"""),"")</f>
        <v/>
      </c>
      <c r="AV305" s="2" t="str">
        <f ca="1">IFERROR(__xludf.DUMMYFUNCTION("""COMPUTED_VALUE"""),"")</f>
        <v/>
      </c>
      <c r="AW305" s="2" t="str">
        <f ca="1">IFERROR(__xludf.DUMMYFUNCTION("""COMPUTED_VALUE"""),"")</f>
        <v/>
      </c>
      <c r="AX305" s="2" t="str">
        <f ca="1">IFERROR(__xludf.DUMMYFUNCTION("""COMPUTED_VALUE"""),"")</f>
        <v/>
      </c>
      <c r="AY305" s="2" t="str">
        <f ca="1">IFERROR(__xludf.DUMMYFUNCTION("""COMPUTED_VALUE"""),"")</f>
        <v/>
      </c>
      <c r="AZ305" s="2" t="str">
        <f ca="1">IFERROR(__xludf.DUMMYFUNCTION("""COMPUTED_VALUE"""),"")</f>
        <v/>
      </c>
      <c r="BA305" s="2" t="str">
        <f ca="1">IFERROR(__xludf.DUMMYFUNCTION("""COMPUTED_VALUE"""),"")</f>
        <v/>
      </c>
      <c r="BB305" s="2" t="str">
        <f ca="1">IFERROR(__xludf.DUMMYFUNCTION("""COMPUTED_VALUE"""),"")</f>
        <v/>
      </c>
      <c r="BC305" s="2" t="str">
        <f ca="1">IFERROR(__xludf.DUMMYFUNCTION("""COMPUTED_VALUE"""),"")</f>
        <v/>
      </c>
      <c r="BD305" s="2" t="str">
        <f ca="1">IFERROR(__xludf.DUMMYFUNCTION("""COMPUTED_VALUE"""),"")</f>
        <v/>
      </c>
      <c r="BE305" s="2" t="str">
        <f ca="1">IFERROR(__xludf.DUMMYFUNCTION("""COMPUTED_VALUE"""),"")</f>
        <v/>
      </c>
      <c r="BF305" t="str">
        <f ca="1">IFERROR(__xludf.DUMMYFUNCTION("""COMPUTED_VALUE"""),"")</f>
        <v/>
      </c>
      <c r="BG305" t="str">
        <f ca="1">IFERROR(__xludf.DUMMYFUNCTION("""COMPUTED_VALUE"""),"")</f>
        <v/>
      </c>
      <c r="BH305" s="2">
        <f ca="1">IFERROR(__xludf.DUMMYFUNCTION("""COMPUTED_VALUE"""),-37.2750206)</f>
        <v>-37.275020599999998</v>
      </c>
      <c r="BI305" s="12">
        <f ca="1">IFERROR(__xludf.DUMMYFUNCTION("""COMPUTED_VALUE"""),175.1408539)</f>
        <v>175.1408539</v>
      </c>
      <c r="BJ305" s="9">
        <f ca="1">IFERROR(__xludf.DUMMYFUNCTION("""COMPUTED_VALUE"""),43408)</f>
        <v>43408</v>
      </c>
      <c r="BK305" s="4">
        <f ca="1">IFERROR(__xludf.DUMMYFUNCTION("""COMPUTED_VALUE"""),0.958518518516939)</f>
        <v>0.95851851851693903</v>
      </c>
    </row>
    <row r="306" spans="1:63" ht="12.5" x14ac:dyDescent="0.25">
      <c r="A306" s="7" t="str">
        <f ca="1">IFERROR(__xludf.DUMMYFUNCTION("""COMPUTED_VALUE"""),"")</f>
        <v/>
      </c>
      <c r="B306" s="8" t="str">
        <f ca="1">IFERROR(__xludf.DUMMYFUNCTION("""COMPUTED_VALUE"""),"Waikato")</f>
        <v>Waikato</v>
      </c>
      <c r="C306" s="2">
        <f ca="1">IFERROR(__xludf.DUMMYFUNCTION("""COMPUTED_VALUE"""),21)</f>
        <v>21</v>
      </c>
      <c r="D306" s="9" t="str">
        <f ca="1">IFERROR(__xludf.DUMMYFUNCTION("""COMPUTED_VALUE"""),"")</f>
        <v/>
      </c>
      <c r="E306" s="4" t="str">
        <f ca="1">IFERROR(__xludf.DUMMYFUNCTION("""COMPUTED_VALUE"""),"")</f>
        <v/>
      </c>
      <c r="F306" s="2" t="str">
        <f ca="1">IFERROR(__xludf.DUMMYFUNCTION("""COMPUTED_VALUE"""),"")</f>
        <v/>
      </c>
      <c r="G306" s="2" t="str">
        <f ca="1">IFERROR(__xludf.DUMMYFUNCTION("""COMPUTED_VALUE"""),"GPS: I converted data downloaded from ARGOS using Pinpoint software")</f>
        <v>GPS: I converted data downloaded from ARGOS using Pinpoint software</v>
      </c>
      <c r="H306" s="2" t="str">
        <f ca="1">IFERROR(__xludf.DUMMYFUNCTION("""COMPUTED_VALUE"""),"3D")</f>
        <v>3D</v>
      </c>
      <c r="I306" s="2" t="str">
        <f ca="1">IFERROR(__xludf.DUMMYFUNCTION("""COMPUTED_VALUE"""),"")</f>
        <v/>
      </c>
      <c r="J306" s="2" t="str">
        <f ca="1">IFERROR(__xludf.DUMMYFUNCTION("""COMPUTED_VALUE"""),"")</f>
        <v/>
      </c>
      <c r="K306" s="2" t="str">
        <f ca="1">IFERROR(__xludf.DUMMYFUNCTION("""COMPUTED_VALUE"""),"")</f>
        <v/>
      </c>
      <c r="L306" s="2" t="str">
        <f ca="1">IFERROR(__xludf.DUMMYFUNCTION("""COMPUTED_VALUE"""),"")</f>
        <v/>
      </c>
      <c r="M306" s="5" t="str">
        <f ca="1">IFERROR(__xludf.DUMMYFUNCTION("""COMPUTED_VALUE"""),"")</f>
        <v/>
      </c>
      <c r="N306" s="5" t="str">
        <f ca="1">IFERROR(__xludf.DUMMYFUNCTION("""COMPUTED_VALUE"""),"")</f>
        <v/>
      </c>
      <c r="O306" s="2" t="str">
        <f ca="1">IFERROR(__xludf.DUMMYFUNCTION("""COMPUTED_VALUE"""),"")</f>
        <v/>
      </c>
      <c r="P306" s="2" t="str">
        <f ca="1">IFERROR(__xludf.DUMMYFUNCTION("""COMPUTED_VALUE"""),"")</f>
        <v/>
      </c>
      <c r="Q306" s="2" t="str">
        <f ca="1">IFERROR(__xludf.DUMMYFUNCTION("""COMPUTED_VALUE"""),"")</f>
        <v/>
      </c>
      <c r="R306" s="2" t="str">
        <f ca="1">IFERROR(__xludf.DUMMYFUNCTION("""COMPUTED_VALUE"""),"")</f>
        <v/>
      </c>
      <c r="S306" s="2" t="str">
        <f ca="1">IFERROR(__xludf.DUMMYFUNCTION("""COMPUTED_VALUE"""),"")</f>
        <v/>
      </c>
      <c r="T306" s="2" t="str">
        <f ca="1">IFERROR(__xludf.DUMMYFUNCTION("""COMPUTED_VALUE"""),"")</f>
        <v/>
      </c>
      <c r="U306" s="2" t="str">
        <f ca="1">IFERROR(__xludf.DUMMYFUNCTION("""COMPUTED_VALUE"""),"")</f>
        <v/>
      </c>
      <c r="V306" s="2" t="str">
        <f ca="1">IFERROR(__xludf.DUMMYFUNCTION("""COMPUTED_VALUE"""),"")</f>
        <v/>
      </c>
      <c r="W306" s="2" t="str">
        <f ca="1">IFERROR(__xludf.DUMMYFUNCTION("""COMPUTED_VALUE"""),"")</f>
        <v/>
      </c>
      <c r="X306" s="2" t="str">
        <f ca="1">IFERROR(__xludf.DUMMYFUNCTION("""COMPUTED_VALUE"""),"")</f>
        <v/>
      </c>
      <c r="Y306" s="2" t="str">
        <f ca="1">IFERROR(__xludf.DUMMYFUNCTION("""COMPUTED_VALUE"""),"")</f>
        <v/>
      </c>
      <c r="Z306" s="2" t="str">
        <f ca="1">IFERROR(__xludf.DUMMYFUNCTION("""COMPUTED_VALUE"""),"")</f>
        <v/>
      </c>
      <c r="AA306" s="2" t="str">
        <f ca="1">IFERROR(__xludf.DUMMYFUNCTION("""COMPUTED_VALUE"""),"")</f>
        <v/>
      </c>
      <c r="AB306" s="2" t="str">
        <f ca="1">IFERROR(__xludf.DUMMYFUNCTION("""COMPUTED_VALUE"""),"")</f>
        <v/>
      </c>
      <c r="AC306" s="2" t="str">
        <f ca="1">IFERROR(__xludf.DUMMYFUNCTION("""COMPUTED_VALUE"""),"")</f>
        <v/>
      </c>
      <c r="AD306" s="2" t="str">
        <f ca="1">IFERROR(__xludf.DUMMYFUNCTION("""COMPUTED_VALUE"""),"")</f>
        <v/>
      </c>
      <c r="AE306" s="2" t="str">
        <f ca="1">IFERROR(__xludf.DUMMYFUNCTION("""COMPUTED_VALUE"""),"")</f>
        <v/>
      </c>
      <c r="AF306" s="2" t="str">
        <f ca="1">IFERROR(__xludf.DUMMYFUNCTION("""COMPUTED_VALUE"""),"")</f>
        <v/>
      </c>
      <c r="AG306" s="2" t="str">
        <f ca="1">IFERROR(__xludf.DUMMYFUNCTION("""COMPUTED_VALUE"""),"")</f>
        <v/>
      </c>
      <c r="AH306" s="2" t="str">
        <f ca="1">IFERROR(__xludf.DUMMYFUNCTION("""COMPUTED_VALUE"""),"")</f>
        <v/>
      </c>
      <c r="AI306" s="2" t="str">
        <f ca="1">IFERROR(__xludf.DUMMYFUNCTION("""COMPUTED_VALUE"""),"")</f>
        <v/>
      </c>
      <c r="AJ306" s="2" t="str">
        <f ca="1">IFERROR(__xludf.DUMMYFUNCTION("""COMPUTED_VALUE"""),"")</f>
        <v/>
      </c>
      <c r="AK306" s="2" t="str">
        <f ca="1">IFERROR(__xludf.DUMMYFUNCTION("""COMPUTED_VALUE"""),"")</f>
        <v/>
      </c>
      <c r="AL306" s="2" t="str">
        <f ca="1">IFERROR(__xludf.DUMMYFUNCTION("""COMPUTED_VALUE"""),"")</f>
        <v/>
      </c>
      <c r="AM306" s="2" t="str">
        <f ca="1">IFERROR(__xludf.DUMMYFUNCTION("""COMPUTED_VALUE"""),"")</f>
        <v/>
      </c>
      <c r="AN306" s="2" t="str">
        <f ca="1">IFERROR(__xludf.DUMMYFUNCTION("""COMPUTED_VALUE"""),"")</f>
        <v/>
      </c>
      <c r="AO306" s="2" t="str">
        <f ca="1">IFERROR(__xludf.DUMMYFUNCTION("""COMPUTED_VALUE"""),"")</f>
        <v/>
      </c>
      <c r="AP306" s="2" t="str">
        <f ca="1">IFERROR(__xludf.DUMMYFUNCTION("""COMPUTED_VALUE"""),"")</f>
        <v/>
      </c>
      <c r="AQ306" s="2" t="str">
        <f ca="1">IFERROR(__xludf.DUMMYFUNCTION("""COMPUTED_VALUE"""),"")</f>
        <v/>
      </c>
      <c r="AR306" s="2" t="str">
        <f ca="1">IFERROR(__xludf.DUMMYFUNCTION("""COMPUTED_VALUE"""),"")</f>
        <v/>
      </c>
      <c r="AS306" s="2" t="str">
        <f ca="1">IFERROR(__xludf.DUMMYFUNCTION("""COMPUTED_VALUE"""),"")</f>
        <v/>
      </c>
      <c r="AT306" s="2" t="str">
        <f ca="1">IFERROR(__xludf.DUMMYFUNCTION("""COMPUTED_VALUE"""),"")</f>
        <v/>
      </c>
      <c r="AU306" s="2" t="str">
        <f ca="1">IFERROR(__xludf.DUMMYFUNCTION("""COMPUTED_VALUE"""),"")</f>
        <v/>
      </c>
      <c r="AV306" s="2" t="str">
        <f ca="1">IFERROR(__xludf.DUMMYFUNCTION("""COMPUTED_VALUE"""),"")</f>
        <v/>
      </c>
      <c r="AW306" s="2" t="str">
        <f ca="1">IFERROR(__xludf.DUMMYFUNCTION("""COMPUTED_VALUE"""),"")</f>
        <v/>
      </c>
      <c r="AX306" s="2" t="str">
        <f ca="1">IFERROR(__xludf.DUMMYFUNCTION("""COMPUTED_VALUE"""),"")</f>
        <v/>
      </c>
      <c r="AY306" s="2" t="str">
        <f ca="1">IFERROR(__xludf.DUMMYFUNCTION("""COMPUTED_VALUE"""),"")</f>
        <v/>
      </c>
      <c r="AZ306" s="2" t="str">
        <f ca="1">IFERROR(__xludf.DUMMYFUNCTION("""COMPUTED_VALUE"""),"")</f>
        <v/>
      </c>
      <c r="BA306" s="2" t="str">
        <f ca="1">IFERROR(__xludf.DUMMYFUNCTION("""COMPUTED_VALUE"""),"")</f>
        <v/>
      </c>
      <c r="BB306" s="2" t="str">
        <f ca="1">IFERROR(__xludf.DUMMYFUNCTION("""COMPUTED_VALUE"""),"")</f>
        <v/>
      </c>
      <c r="BC306" s="2" t="str">
        <f ca="1">IFERROR(__xludf.DUMMYFUNCTION("""COMPUTED_VALUE"""),"")</f>
        <v/>
      </c>
      <c r="BD306" s="2" t="str">
        <f ca="1">IFERROR(__xludf.DUMMYFUNCTION("""COMPUTED_VALUE"""),"")</f>
        <v/>
      </c>
      <c r="BE306" s="2" t="str">
        <f ca="1">IFERROR(__xludf.DUMMYFUNCTION("""COMPUTED_VALUE"""),"")</f>
        <v/>
      </c>
      <c r="BF306" t="str">
        <f ca="1">IFERROR(__xludf.DUMMYFUNCTION("""COMPUTED_VALUE"""),"")</f>
        <v/>
      </c>
      <c r="BG306" t="str">
        <f ca="1">IFERROR(__xludf.DUMMYFUNCTION("""COMPUTED_VALUE"""),"")</f>
        <v/>
      </c>
      <c r="BH306" s="2">
        <f ca="1">IFERROR(__xludf.DUMMYFUNCTION("""COMPUTED_VALUE"""),-37.2867966)</f>
        <v>-37.286796600000002</v>
      </c>
      <c r="BI306" s="13">
        <f ca="1">IFERROR(__xludf.DUMMYFUNCTION("""COMPUTED_VALUE"""),175.147049)</f>
        <v>175.14704900000001</v>
      </c>
      <c r="BJ306" s="9">
        <f ca="1">IFERROR(__xludf.DUMMYFUNCTION("""COMPUTED_VALUE"""),43410)</f>
        <v>43410</v>
      </c>
      <c r="BK306" s="4">
        <f ca="1">IFERROR(__xludf.DUMMYFUNCTION("""COMPUTED_VALUE"""),0.457777777777664)</f>
        <v>0.45777777777766399</v>
      </c>
    </row>
    <row r="307" spans="1:63" ht="12.5" x14ac:dyDescent="0.25">
      <c r="A307" s="7" t="str">
        <f ca="1">IFERROR(__xludf.DUMMYFUNCTION("""COMPUTED_VALUE"""),"")</f>
        <v/>
      </c>
      <c r="B307" s="8" t="str">
        <f ca="1">IFERROR(__xludf.DUMMYFUNCTION("""COMPUTED_VALUE"""),"Waikato")</f>
        <v>Waikato</v>
      </c>
      <c r="C307" s="2">
        <f ca="1">IFERROR(__xludf.DUMMYFUNCTION("""COMPUTED_VALUE"""),21)</f>
        <v>21</v>
      </c>
      <c r="D307" s="9" t="str">
        <f ca="1">IFERROR(__xludf.DUMMYFUNCTION("""COMPUTED_VALUE"""),"")</f>
        <v/>
      </c>
      <c r="E307" s="4" t="str">
        <f ca="1">IFERROR(__xludf.DUMMYFUNCTION("""COMPUTED_VALUE"""),"")</f>
        <v/>
      </c>
      <c r="F307" s="2" t="str">
        <f ca="1">IFERROR(__xludf.DUMMYFUNCTION("""COMPUTED_VALUE"""),"")</f>
        <v/>
      </c>
      <c r="G307" s="2" t="str">
        <f ca="1">IFERROR(__xludf.DUMMYFUNCTION("""COMPUTED_VALUE"""),"GPS: I converted data downloaded from ARGOS using Pinpoint software")</f>
        <v>GPS: I converted data downloaded from ARGOS using Pinpoint software</v>
      </c>
      <c r="H307" s="2" t="str">
        <f ca="1">IFERROR(__xludf.DUMMYFUNCTION("""COMPUTED_VALUE"""),"3D")</f>
        <v>3D</v>
      </c>
      <c r="I307" s="2" t="str">
        <f ca="1">IFERROR(__xludf.DUMMYFUNCTION("""COMPUTED_VALUE"""),"")</f>
        <v/>
      </c>
      <c r="J307" s="2" t="str">
        <f ca="1">IFERROR(__xludf.DUMMYFUNCTION("""COMPUTED_VALUE"""),"")</f>
        <v/>
      </c>
      <c r="K307" s="2" t="str">
        <f ca="1">IFERROR(__xludf.DUMMYFUNCTION("""COMPUTED_VALUE"""),"")</f>
        <v/>
      </c>
      <c r="L307" s="2" t="str">
        <f ca="1">IFERROR(__xludf.DUMMYFUNCTION("""COMPUTED_VALUE"""),"")</f>
        <v/>
      </c>
      <c r="M307" s="5" t="str">
        <f ca="1">IFERROR(__xludf.DUMMYFUNCTION("""COMPUTED_VALUE"""),"")</f>
        <v/>
      </c>
      <c r="N307" s="5" t="str">
        <f ca="1">IFERROR(__xludf.DUMMYFUNCTION("""COMPUTED_VALUE"""),"")</f>
        <v/>
      </c>
      <c r="O307" s="2" t="str">
        <f ca="1">IFERROR(__xludf.DUMMYFUNCTION("""COMPUTED_VALUE"""),"")</f>
        <v/>
      </c>
      <c r="P307" s="2" t="str">
        <f ca="1">IFERROR(__xludf.DUMMYFUNCTION("""COMPUTED_VALUE"""),"")</f>
        <v/>
      </c>
      <c r="Q307" s="2" t="str">
        <f ca="1">IFERROR(__xludf.DUMMYFUNCTION("""COMPUTED_VALUE"""),"")</f>
        <v/>
      </c>
      <c r="R307" s="2" t="str">
        <f ca="1">IFERROR(__xludf.DUMMYFUNCTION("""COMPUTED_VALUE"""),"")</f>
        <v/>
      </c>
      <c r="S307" s="2" t="str">
        <f ca="1">IFERROR(__xludf.DUMMYFUNCTION("""COMPUTED_VALUE"""),"")</f>
        <v/>
      </c>
      <c r="T307" s="2" t="str">
        <f ca="1">IFERROR(__xludf.DUMMYFUNCTION("""COMPUTED_VALUE"""),"")</f>
        <v/>
      </c>
      <c r="U307" s="2" t="str">
        <f ca="1">IFERROR(__xludf.DUMMYFUNCTION("""COMPUTED_VALUE"""),"")</f>
        <v/>
      </c>
      <c r="V307" s="2" t="str">
        <f ca="1">IFERROR(__xludf.DUMMYFUNCTION("""COMPUTED_VALUE"""),"")</f>
        <v/>
      </c>
      <c r="W307" s="2" t="str">
        <f ca="1">IFERROR(__xludf.DUMMYFUNCTION("""COMPUTED_VALUE"""),"")</f>
        <v/>
      </c>
      <c r="X307" s="2" t="str">
        <f ca="1">IFERROR(__xludf.DUMMYFUNCTION("""COMPUTED_VALUE"""),"")</f>
        <v/>
      </c>
      <c r="Y307" s="2" t="str">
        <f ca="1">IFERROR(__xludf.DUMMYFUNCTION("""COMPUTED_VALUE"""),"")</f>
        <v/>
      </c>
      <c r="Z307" s="2" t="str">
        <f ca="1">IFERROR(__xludf.DUMMYFUNCTION("""COMPUTED_VALUE"""),"")</f>
        <v/>
      </c>
      <c r="AA307" s="2" t="str">
        <f ca="1">IFERROR(__xludf.DUMMYFUNCTION("""COMPUTED_VALUE"""),"")</f>
        <v/>
      </c>
      <c r="AB307" s="2" t="str">
        <f ca="1">IFERROR(__xludf.DUMMYFUNCTION("""COMPUTED_VALUE"""),"")</f>
        <v/>
      </c>
      <c r="AC307" s="2" t="str">
        <f ca="1">IFERROR(__xludf.DUMMYFUNCTION("""COMPUTED_VALUE"""),"")</f>
        <v/>
      </c>
      <c r="AD307" s="2" t="str">
        <f ca="1">IFERROR(__xludf.DUMMYFUNCTION("""COMPUTED_VALUE"""),"")</f>
        <v/>
      </c>
      <c r="AE307" s="2" t="str">
        <f ca="1">IFERROR(__xludf.DUMMYFUNCTION("""COMPUTED_VALUE"""),"")</f>
        <v/>
      </c>
      <c r="AF307" s="2" t="str">
        <f ca="1">IFERROR(__xludf.DUMMYFUNCTION("""COMPUTED_VALUE"""),"")</f>
        <v/>
      </c>
      <c r="AG307" s="2" t="str">
        <f ca="1">IFERROR(__xludf.DUMMYFUNCTION("""COMPUTED_VALUE"""),"")</f>
        <v/>
      </c>
      <c r="AH307" s="2" t="str">
        <f ca="1">IFERROR(__xludf.DUMMYFUNCTION("""COMPUTED_VALUE"""),"")</f>
        <v/>
      </c>
      <c r="AI307" s="2" t="str">
        <f ca="1">IFERROR(__xludf.DUMMYFUNCTION("""COMPUTED_VALUE"""),"")</f>
        <v/>
      </c>
      <c r="AJ307" s="2" t="str">
        <f ca="1">IFERROR(__xludf.DUMMYFUNCTION("""COMPUTED_VALUE"""),"")</f>
        <v/>
      </c>
      <c r="AK307" s="2" t="str">
        <f ca="1">IFERROR(__xludf.DUMMYFUNCTION("""COMPUTED_VALUE"""),"")</f>
        <v/>
      </c>
      <c r="AL307" s="2" t="str">
        <f ca="1">IFERROR(__xludf.DUMMYFUNCTION("""COMPUTED_VALUE"""),"")</f>
        <v/>
      </c>
      <c r="AM307" s="2" t="str">
        <f ca="1">IFERROR(__xludf.DUMMYFUNCTION("""COMPUTED_VALUE"""),"")</f>
        <v/>
      </c>
      <c r="AN307" s="2" t="str">
        <f ca="1">IFERROR(__xludf.DUMMYFUNCTION("""COMPUTED_VALUE"""),"")</f>
        <v/>
      </c>
      <c r="AO307" s="2" t="str">
        <f ca="1">IFERROR(__xludf.DUMMYFUNCTION("""COMPUTED_VALUE"""),"")</f>
        <v/>
      </c>
      <c r="AP307" s="2" t="str">
        <f ca="1">IFERROR(__xludf.DUMMYFUNCTION("""COMPUTED_VALUE"""),"")</f>
        <v/>
      </c>
      <c r="AQ307" s="2" t="str">
        <f ca="1">IFERROR(__xludf.DUMMYFUNCTION("""COMPUTED_VALUE"""),"")</f>
        <v/>
      </c>
      <c r="AR307" s="2" t="str">
        <f ca="1">IFERROR(__xludf.DUMMYFUNCTION("""COMPUTED_VALUE"""),"")</f>
        <v/>
      </c>
      <c r="AS307" s="2" t="str">
        <f ca="1">IFERROR(__xludf.DUMMYFUNCTION("""COMPUTED_VALUE"""),"")</f>
        <v/>
      </c>
      <c r="AT307" s="2" t="str">
        <f ca="1">IFERROR(__xludf.DUMMYFUNCTION("""COMPUTED_VALUE"""),"")</f>
        <v/>
      </c>
      <c r="AU307" s="2" t="str">
        <f ca="1">IFERROR(__xludf.DUMMYFUNCTION("""COMPUTED_VALUE"""),"")</f>
        <v/>
      </c>
      <c r="AV307" s="2" t="str">
        <f ca="1">IFERROR(__xludf.DUMMYFUNCTION("""COMPUTED_VALUE"""),"")</f>
        <v/>
      </c>
      <c r="AW307" s="2" t="str">
        <f ca="1">IFERROR(__xludf.DUMMYFUNCTION("""COMPUTED_VALUE"""),"")</f>
        <v/>
      </c>
      <c r="AX307" s="2" t="str">
        <f ca="1">IFERROR(__xludf.DUMMYFUNCTION("""COMPUTED_VALUE"""),"")</f>
        <v/>
      </c>
      <c r="AY307" s="2" t="str">
        <f ca="1">IFERROR(__xludf.DUMMYFUNCTION("""COMPUTED_VALUE"""),"")</f>
        <v/>
      </c>
      <c r="AZ307" s="2" t="str">
        <f ca="1">IFERROR(__xludf.DUMMYFUNCTION("""COMPUTED_VALUE"""),"")</f>
        <v/>
      </c>
      <c r="BA307" s="2" t="str">
        <f ca="1">IFERROR(__xludf.DUMMYFUNCTION("""COMPUTED_VALUE"""),"")</f>
        <v/>
      </c>
      <c r="BB307" s="2" t="str">
        <f ca="1">IFERROR(__xludf.DUMMYFUNCTION("""COMPUTED_VALUE"""),"")</f>
        <v/>
      </c>
      <c r="BC307" s="2" t="str">
        <f ca="1">IFERROR(__xludf.DUMMYFUNCTION("""COMPUTED_VALUE"""),"")</f>
        <v/>
      </c>
      <c r="BD307" s="2" t="str">
        <f ca="1">IFERROR(__xludf.DUMMYFUNCTION("""COMPUTED_VALUE"""),"")</f>
        <v/>
      </c>
      <c r="BE307" s="2" t="str">
        <f ca="1">IFERROR(__xludf.DUMMYFUNCTION("""COMPUTED_VALUE"""),"")</f>
        <v/>
      </c>
      <c r="BF307" t="str">
        <f ca="1">IFERROR(__xludf.DUMMYFUNCTION("""COMPUTED_VALUE"""),"")</f>
        <v/>
      </c>
      <c r="BG307" t="str">
        <f ca="1">IFERROR(__xludf.DUMMYFUNCTION("""COMPUTED_VALUE"""),"")</f>
        <v/>
      </c>
      <c r="BH307" s="2">
        <f ca="1">IFERROR(__xludf.DUMMYFUNCTION("""COMPUTED_VALUE"""),-37.2744064)</f>
        <v>-37.274406399999997</v>
      </c>
      <c r="BI307" s="12">
        <f ca="1">IFERROR(__xludf.DUMMYFUNCTION("""COMPUTED_VALUE"""),175.1410065)</f>
        <v>175.1410065</v>
      </c>
      <c r="BJ307" s="9">
        <f ca="1">IFERROR(__xludf.DUMMYFUNCTION("""COMPUTED_VALUE"""),43410)</f>
        <v>43410</v>
      </c>
      <c r="BK307" s="4">
        <f ca="1">IFERROR(__xludf.DUMMYFUNCTION("""COMPUTED_VALUE"""),0.958518518516939)</f>
        <v>0.95851851851693903</v>
      </c>
    </row>
    <row r="308" spans="1:63" ht="12.5" x14ac:dyDescent="0.25">
      <c r="A308" s="7" t="str">
        <f ca="1">IFERROR(__xludf.DUMMYFUNCTION("""COMPUTED_VALUE"""),"")</f>
        <v/>
      </c>
      <c r="B308" s="8" t="str">
        <f ca="1">IFERROR(__xludf.DUMMYFUNCTION("""COMPUTED_VALUE"""),"Waikato")</f>
        <v>Waikato</v>
      </c>
      <c r="C308" s="2">
        <f ca="1">IFERROR(__xludf.DUMMYFUNCTION("""COMPUTED_VALUE"""),21)</f>
        <v>21</v>
      </c>
      <c r="D308" s="9" t="str">
        <f ca="1">IFERROR(__xludf.DUMMYFUNCTION("""COMPUTED_VALUE"""),"")</f>
        <v/>
      </c>
      <c r="E308" s="4" t="str">
        <f ca="1">IFERROR(__xludf.DUMMYFUNCTION("""COMPUTED_VALUE"""),"")</f>
        <v/>
      </c>
      <c r="F308" s="2" t="str">
        <f ca="1">IFERROR(__xludf.DUMMYFUNCTION("""COMPUTED_VALUE"""),"")</f>
        <v/>
      </c>
      <c r="G308" s="2" t="str">
        <f ca="1">IFERROR(__xludf.DUMMYFUNCTION("""COMPUTED_VALUE"""),"GPS: I converted data downloaded from ARGOS using Pinpoint software")</f>
        <v>GPS: I converted data downloaded from ARGOS using Pinpoint software</v>
      </c>
      <c r="H308" s="2" t="str">
        <f ca="1">IFERROR(__xludf.DUMMYFUNCTION("""COMPUTED_VALUE"""),"3D")</f>
        <v>3D</v>
      </c>
      <c r="I308" s="2" t="str">
        <f ca="1">IFERROR(__xludf.DUMMYFUNCTION("""COMPUTED_VALUE"""),"")</f>
        <v/>
      </c>
      <c r="J308" s="2" t="str">
        <f ca="1">IFERROR(__xludf.DUMMYFUNCTION("""COMPUTED_VALUE"""),"")</f>
        <v/>
      </c>
      <c r="K308" s="2" t="str">
        <f ca="1">IFERROR(__xludf.DUMMYFUNCTION("""COMPUTED_VALUE"""),"")</f>
        <v/>
      </c>
      <c r="L308" s="2" t="str">
        <f ca="1">IFERROR(__xludf.DUMMYFUNCTION("""COMPUTED_VALUE"""),"")</f>
        <v/>
      </c>
      <c r="M308" s="5" t="str">
        <f ca="1">IFERROR(__xludf.DUMMYFUNCTION("""COMPUTED_VALUE"""),"")</f>
        <v/>
      </c>
      <c r="N308" s="5" t="str">
        <f ca="1">IFERROR(__xludf.DUMMYFUNCTION("""COMPUTED_VALUE"""),"")</f>
        <v/>
      </c>
      <c r="O308" s="2" t="str">
        <f ca="1">IFERROR(__xludf.DUMMYFUNCTION("""COMPUTED_VALUE"""),"")</f>
        <v/>
      </c>
      <c r="P308" s="2" t="str">
        <f ca="1">IFERROR(__xludf.DUMMYFUNCTION("""COMPUTED_VALUE"""),"")</f>
        <v/>
      </c>
      <c r="Q308" s="2" t="str">
        <f ca="1">IFERROR(__xludf.DUMMYFUNCTION("""COMPUTED_VALUE"""),"")</f>
        <v/>
      </c>
      <c r="R308" s="2" t="str">
        <f ca="1">IFERROR(__xludf.DUMMYFUNCTION("""COMPUTED_VALUE"""),"")</f>
        <v/>
      </c>
      <c r="S308" s="2" t="str">
        <f ca="1">IFERROR(__xludf.DUMMYFUNCTION("""COMPUTED_VALUE"""),"")</f>
        <v/>
      </c>
      <c r="T308" s="2" t="str">
        <f ca="1">IFERROR(__xludf.DUMMYFUNCTION("""COMPUTED_VALUE"""),"")</f>
        <v/>
      </c>
      <c r="U308" s="2" t="str">
        <f ca="1">IFERROR(__xludf.DUMMYFUNCTION("""COMPUTED_VALUE"""),"")</f>
        <v/>
      </c>
      <c r="V308" s="2" t="str">
        <f ca="1">IFERROR(__xludf.DUMMYFUNCTION("""COMPUTED_VALUE"""),"")</f>
        <v/>
      </c>
      <c r="W308" s="2" t="str">
        <f ca="1">IFERROR(__xludf.DUMMYFUNCTION("""COMPUTED_VALUE"""),"")</f>
        <v/>
      </c>
      <c r="X308" s="2" t="str">
        <f ca="1">IFERROR(__xludf.DUMMYFUNCTION("""COMPUTED_VALUE"""),"")</f>
        <v/>
      </c>
      <c r="Y308" s="2" t="str">
        <f ca="1">IFERROR(__xludf.DUMMYFUNCTION("""COMPUTED_VALUE"""),"")</f>
        <v/>
      </c>
      <c r="Z308" s="2" t="str">
        <f ca="1">IFERROR(__xludf.DUMMYFUNCTION("""COMPUTED_VALUE"""),"")</f>
        <v/>
      </c>
      <c r="AA308" s="2" t="str">
        <f ca="1">IFERROR(__xludf.DUMMYFUNCTION("""COMPUTED_VALUE"""),"")</f>
        <v/>
      </c>
      <c r="AB308" s="2" t="str">
        <f ca="1">IFERROR(__xludf.DUMMYFUNCTION("""COMPUTED_VALUE"""),"")</f>
        <v/>
      </c>
      <c r="AC308" s="2" t="str">
        <f ca="1">IFERROR(__xludf.DUMMYFUNCTION("""COMPUTED_VALUE"""),"")</f>
        <v/>
      </c>
      <c r="AD308" s="2" t="str">
        <f ca="1">IFERROR(__xludf.DUMMYFUNCTION("""COMPUTED_VALUE"""),"")</f>
        <v/>
      </c>
      <c r="AE308" s="2" t="str">
        <f ca="1">IFERROR(__xludf.DUMMYFUNCTION("""COMPUTED_VALUE"""),"")</f>
        <v/>
      </c>
      <c r="AF308" s="2" t="str">
        <f ca="1">IFERROR(__xludf.DUMMYFUNCTION("""COMPUTED_VALUE"""),"")</f>
        <v/>
      </c>
      <c r="AG308" s="2" t="str">
        <f ca="1">IFERROR(__xludf.DUMMYFUNCTION("""COMPUTED_VALUE"""),"")</f>
        <v/>
      </c>
      <c r="AH308" s="2" t="str">
        <f ca="1">IFERROR(__xludf.DUMMYFUNCTION("""COMPUTED_VALUE"""),"")</f>
        <v/>
      </c>
      <c r="AI308" s="2" t="str">
        <f ca="1">IFERROR(__xludf.DUMMYFUNCTION("""COMPUTED_VALUE"""),"")</f>
        <v/>
      </c>
      <c r="AJ308" s="2" t="str">
        <f ca="1">IFERROR(__xludf.DUMMYFUNCTION("""COMPUTED_VALUE"""),"")</f>
        <v/>
      </c>
      <c r="AK308" s="2" t="str">
        <f ca="1">IFERROR(__xludf.DUMMYFUNCTION("""COMPUTED_VALUE"""),"")</f>
        <v/>
      </c>
      <c r="AL308" s="2" t="str">
        <f ca="1">IFERROR(__xludf.DUMMYFUNCTION("""COMPUTED_VALUE"""),"")</f>
        <v/>
      </c>
      <c r="AM308" s="2" t="str">
        <f ca="1">IFERROR(__xludf.DUMMYFUNCTION("""COMPUTED_VALUE"""),"")</f>
        <v/>
      </c>
      <c r="AN308" s="2" t="str">
        <f ca="1">IFERROR(__xludf.DUMMYFUNCTION("""COMPUTED_VALUE"""),"")</f>
        <v/>
      </c>
      <c r="AO308" s="2" t="str">
        <f ca="1">IFERROR(__xludf.DUMMYFUNCTION("""COMPUTED_VALUE"""),"")</f>
        <v/>
      </c>
      <c r="AP308" s="2" t="str">
        <f ca="1">IFERROR(__xludf.DUMMYFUNCTION("""COMPUTED_VALUE"""),"")</f>
        <v/>
      </c>
      <c r="AQ308" s="2" t="str">
        <f ca="1">IFERROR(__xludf.DUMMYFUNCTION("""COMPUTED_VALUE"""),"")</f>
        <v/>
      </c>
      <c r="AR308" s="2" t="str">
        <f ca="1">IFERROR(__xludf.DUMMYFUNCTION("""COMPUTED_VALUE"""),"")</f>
        <v/>
      </c>
      <c r="AS308" s="2" t="str">
        <f ca="1">IFERROR(__xludf.DUMMYFUNCTION("""COMPUTED_VALUE"""),"")</f>
        <v/>
      </c>
      <c r="AT308" s="2" t="str">
        <f ca="1">IFERROR(__xludf.DUMMYFUNCTION("""COMPUTED_VALUE"""),"")</f>
        <v/>
      </c>
      <c r="AU308" s="2" t="str">
        <f ca="1">IFERROR(__xludf.DUMMYFUNCTION("""COMPUTED_VALUE"""),"")</f>
        <v/>
      </c>
      <c r="AV308" s="2" t="str">
        <f ca="1">IFERROR(__xludf.DUMMYFUNCTION("""COMPUTED_VALUE"""),"")</f>
        <v/>
      </c>
      <c r="AW308" s="2" t="str">
        <f ca="1">IFERROR(__xludf.DUMMYFUNCTION("""COMPUTED_VALUE"""),"")</f>
        <v/>
      </c>
      <c r="AX308" s="2" t="str">
        <f ca="1">IFERROR(__xludf.DUMMYFUNCTION("""COMPUTED_VALUE"""),"")</f>
        <v/>
      </c>
      <c r="AY308" s="2" t="str">
        <f ca="1">IFERROR(__xludf.DUMMYFUNCTION("""COMPUTED_VALUE"""),"")</f>
        <v/>
      </c>
      <c r="AZ308" s="2" t="str">
        <f ca="1">IFERROR(__xludf.DUMMYFUNCTION("""COMPUTED_VALUE"""),"")</f>
        <v/>
      </c>
      <c r="BA308" s="2" t="str">
        <f ca="1">IFERROR(__xludf.DUMMYFUNCTION("""COMPUTED_VALUE"""),"")</f>
        <v/>
      </c>
      <c r="BB308" s="2" t="str">
        <f ca="1">IFERROR(__xludf.DUMMYFUNCTION("""COMPUTED_VALUE"""),"")</f>
        <v/>
      </c>
      <c r="BC308" s="2" t="str">
        <f ca="1">IFERROR(__xludf.DUMMYFUNCTION("""COMPUTED_VALUE"""),"")</f>
        <v/>
      </c>
      <c r="BD308" s="2" t="str">
        <f ca="1">IFERROR(__xludf.DUMMYFUNCTION("""COMPUTED_VALUE"""),"")</f>
        <v/>
      </c>
      <c r="BE308" s="2" t="str">
        <f ca="1">IFERROR(__xludf.DUMMYFUNCTION("""COMPUTED_VALUE"""),"")</f>
        <v/>
      </c>
      <c r="BF308" t="str">
        <f ca="1">IFERROR(__xludf.DUMMYFUNCTION("""COMPUTED_VALUE"""),"")</f>
        <v/>
      </c>
      <c r="BG308" t="str">
        <f ca="1">IFERROR(__xludf.DUMMYFUNCTION("""COMPUTED_VALUE"""),"")</f>
        <v/>
      </c>
      <c r="BH308" s="2">
        <f ca="1">IFERROR(__xludf.DUMMYFUNCTION("""COMPUTED_VALUE"""),-37.2887955)</f>
        <v>-37.288795499999999</v>
      </c>
      <c r="BI308" s="13">
        <f ca="1">IFERROR(__xludf.DUMMYFUNCTION("""COMPUTED_VALUE"""),175.1463623)</f>
        <v>175.14636229999999</v>
      </c>
      <c r="BJ308" s="9">
        <f ca="1">IFERROR(__xludf.DUMMYFUNCTION("""COMPUTED_VALUE"""),43412)</f>
        <v>43412</v>
      </c>
      <c r="BK308" s="4">
        <f ca="1">IFERROR(__xludf.DUMMYFUNCTION("""COMPUTED_VALUE"""),0.457777777777664)</f>
        <v>0.45777777777766399</v>
      </c>
    </row>
    <row r="309" spans="1:63" ht="12.5" x14ac:dyDescent="0.25">
      <c r="A309" s="7" t="str">
        <f ca="1">IFERROR(__xludf.DUMMYFUNCTION("""COMPUTED_VALUE"""),"")</f>
        <v/>
      </c>
      <c r="B309" s="8" t="str">
        <f ca="1">IFERROR(__xludf.DUMMYFUNCTION("""COMPUTED_VALUE"""),"Waikato")</f>
        <v>Waikato</v>
      </c>
      <c r="C309" s="2">
        <f ca="1">IFERROR(__xludf.DUMMYFUNCTION("""COMPUTED_VALUE"""),21)</f>
        <v>21</v>
      </c>
      <c r="D309" s="9" t="str">
        <f ca="1">IFERROR(__xludf.DUMMYFUNCTION("""COMPUTED_VALUE"""),"")</f>
        <v/>
      </c>
      <c r="E309" s="4" t="str">
        <f ca="1">IFERROR(__xludf.DUMMYFUNCTION("""COMPUTED_VALUE"""),"")</f>
        <v/>
      </c>
      <c r="F309" s="2" t="str">
        <f ca="1">IFERROR(__xludf.DUMMYFUNCTION("""COMPUTED_VALUE"""),"")</f>
        <v/>
      </c>
      <c r="G309" s="2" t="str">
        <f ca="1">IFERROR(__xludf.DUMMYFUNCTION("""COMPUTED_VALUE"""),"GPS: I converted data downloaded from ARGOS using Pinpoint software")</f>
        <v>GPS: I converted data downloaded from ARGOS using Pinpoint software</v>
      </c>
      <c r="H309" s="2" t="str">
        <f ca="1">IFERROR(__xludf.DUMMYFUNCTION("""COMPUTED_VALUE"""),"2D")</f>
        <v>2D</v>
      </c>
      <c r="I309" s="2" t="str">
        <f ca="1">IFERROR(__xludf.DUMMYFUNCTION("""COMPUTED_VALUE"""),"")</f>
        <v/>
      </c>
      <c r="J309" s="2" t="str">
        <f ca="1">IFERROR(__xludf.DUMMYFUNCTION("""COMPUTED_VALUE"""),"")</f>
        <v/>
      </c>
      <c r="K309" s="2" t="str">
        <f ca="1">IFERROR(__xludf.DUMMYFUNCTION("""COMPUTED_VALUE"""),"")</f>
        <v/>
      </c>
      <c r="L309" s="2" t="str">
        <f ca="1">IFERROR(__xludf.DUMMYFUNCTION("""COMPUTED_VALUE"""),"")</f>
        <v/>
      </c>
      <c r="M309" s="5" t="str">
        <f ca="1">IFERROR(__xludf.DUMMYFUNCTION("""COMPUTED_VALUE"""),"")</f>
        <v/>
      </c>
      <c r="N309" s="5" t="str">
        <f ca="1">IFERROR(__xludf.DUMMYFUNCTION("""COMPUTED_VALUE"""),"")</f>
        <v/>
      </c>
      <c r="O309" s="2" t="str">
        <f ca="1">IFERROR(__xludf.DUMMYFUNCTION("""COMPUTED_VALUE"""),"")</f>
        <v/>
      </c>
      <c r="P309" s="2" t="str">
        <f ca="1">IFERROR(__xludf.DUMMYFUNCTION("""COMPUTED_VALUE"""),"")</f>
        <v/>
      </c>
      <c r="Q309" s="2" t="str">
        <f ca="1">IFERROR(__xludf.DUMMYFUNCTION("""COMPUTED_VALUE"""),"")</f>
        <v/>
      </c>
      <c r="R309" s="2" t="str">
        <f ca="1">IFERROR(__xludf.DUMMYFUNCTION("""COMPUTED_VALUE"""),"")</f>
        <v/>
      </c>
      <c r="S309" s="2" t="str">
        <f ca="1">IFERROR(__xludf.DUMMYFUNCTION("""COMPUTED_VALUE"""),"")</f>
        <v/>
      </c>
      <c r="T309" s="2" t="str">
        <f ca="1">IFERROR(__xludf.DUMMYFUNCTION("""COMPUTED_VALUE"""),"")</f>
        <v/>
      </c>
      <c r="U309" s="2" t="str">
        <f ca="1">IFERROR(__xludf.DUMMYFUNCTION("""COMPUTED_VALUE"""),"")</f>
        <v/>
      </c>
      <c r="V309" s="2" t="str">
        <f ca="1">IFERROR(__xludf.DUMMYFUNCTION("""COMPUTED_VALUE"""),"")</f>
        <v/>
      </c>
      <c r="W309" s="2" t="str">
        <f ca="1">IFERROR(__xludf.DUMMYFUNCTION("""COMPUTED_VALUE"""),"")</f>
        <v/>
      </c>
      <c r="X309" s="2" t="str">
        <f ca="1">IFERROR(__xludf.DUMMYFUNCTION("""COMPUTED_VALUE"""),"")</f>
        <v/>
      </c>
      <c r="Y309" s="2" t="str">
        <f ca="1">IFERROR(__xludf.DUMMYFUNCTION("""COMPUTED_VALUE"""),"")</f>
        <v/>
      </c>
      <c r="Z309" s="2" t="str">
        <f ca="1">IFERROR(__xludf.DUMMYFUNCTION("""COMPUTED_VALUE"""),"")</f>
        <v/>
      </c>
      <c r="AA309" s="2" t="str">
        <f ca="1">IFERROR(__xludf.DUMMYFUNCTION("""COMPUTED_VALUE"""),"")</f>
        <v/>
      </c>
      <c r="AB309" s="2" t="str">
        <f ca="1">IFERROR(__xludf.DUMMYFUNCTION("""COMPUTED_VALUE"""),"")</f>
        <v/>
      </c>
      <c r="AC309" s="2" t="str">
        <f ca="1">IFERROR(__xludf.DUMMYFUNCTION("""COMPUTED_VALUE"""),"")</f>
        <v/>
      </c>
      <c r="AD309" s="2" t="str">
        <f ca="1">IFERROR(__xludf.DUMMYFUNCTION("""COMPUTED_VALUE"""),"")</f>
        <v/>
      </c>
      <c r="AE309" s="2" t="str">
        <f ca="1">IFERROR(__xludf.DUMMYFUNCTION("""COMPUTED_VALUE"""),"")</f>
        <v/>
      </c>
      <c r="AF309" s="2" t="str">
        <f ca="1">IFERROR(__xludf.DUMMYFUNCTION("""COMPUTED_VALUE"""),"")</f>
        <v/>
      </c>
      <c r="AG309" s="2" t="str">
        <f ca="1">IFERROR(__xludf.DUMMYFUNCTION("""COMPUTED_VALUE"""),"")</f>
        <v/>
      </c>
      <c r="AH309" s="2" t="str">
        <f ca="1">IFERROR(__xludf.DUMMYFUNCTION("""COMPUTED_VALUE"""),"")</f>
        <v/>
      </c>
      <c r="AI309" s="2" t="str">
        <f ca="1">IFERROR(__xludf.DUMMYFUNCTION("""COMPUTED_VALUE"""),"")</f>
        <v/>
      </c>
      <c r="AJ309" s="2" t="str">
        <f ca="1">IFERROR(__xludf.DUMMYFUNCTION("""COMPUTED_VALUE"""),"")</f>
        <v/>
      </c>
      <c r="AK309" s="2" t="str">
        <f ca="1">IFERROR(__xludf.DUMMYFUNCTION("""COMPUTED_VALUE"""),"")</f>
        <v/>
      </c>
      <c r="AL309" s="2" t="str">
        <f ca="1">IFERROR(__xludf.DUMMYFUNCTION("""COMPUTED_VALUE"""),"")</f>
        <v/>
      </c>
      <c r="AM309" s="2" t="str">
        <f ca="1">IFERROR(__xludf.DUMMYFUNCTION("""COMPUTED_VALUE"""),"")</f>
        <v/>
      </c>
      <c r="AN309" s="2" t="str">
        <f ca="1">IFERROR(__xludf.DUMMYFUNCTION("""COMPUTED_VALUE"""),"")</f>
        <v/>
      </c>
      <c r="AO309" s="2" t="str">
        <f ca="1">IFERROR(__xludf.DUMMYFUNCTION("""COMPUTED_VALUE"""),"")</f>
        <v/>
      </c>
      <c r="AP309" s="2" t="str">
        <f ca="1">IFERROR(__xludf.DUMMYFUNCTION("""COMPUTED_VALUE"""),"")</f>
        <v/>
      </c>
      <c r="AQ309" s="2" t="str">
        <f ca="1">IFERROR(__xludf.DUMMYFUNCTION("""COMPUTED_VALUE"""),"")</f>
        <v/>
      </c>
      <c r="AR309" s="2" t="str">
        <f ca="1">IFERROR(__xludf.DUMMYFUNCTION("""COMPUTED_VALUE"""),"")</f>
        <v/>
      </c>
      <c r="AS309" s="2" t="str">
        <f ca="1">IFERROR(__xludf.DUMMYFUNCTION("""COMPUTED_VALUE"""),"")</f>
        <v/>
      </c>
      <c r="AT309" s="2" t="str">
        <f ca="1">IFERROR(__xludf.DUMMYFUNCTION("""COMPUTED_VALUE"""),"")</f>
        <v/>
      </c>
      <c r="AU309" s="2" t="str">
        <f ca="1">IFERROR(__xludf.DUMMYFUNCTION("""COMPUTED_VALUE"""),"")</f>
        <v/>
      </c>
      <c r="AV309" s="2" t="str">
        <f ca="1">IFERROR(__xludf.DUMMYFUNCTION("""COMPUTED_VALUE"""),"")</f>
        <v/>
      </c>
      <c r="AW309" s="2" t="str">
        <f ca="1">IFERROR(__xludf.DUMMYFUNCTION("""COMPUTED_VALUE"""),"")</f>
        <v/>
      </c>
      <c r="AX309" s="2" t="str">
        <f ca="1">IFERROR(__xludf.DUMMYFUNCTION("""COMPUTED_VALUE"""),"")</f>
        <v/>
      </c>
      <c r="AY309" s="2" t="str">
        <f ca="1">IFERROR(__xludf.DUMMYFUNCTION("""COMPUTED_VALUE"""),"")</f>
        <v/>
      </c>
      <c r="AZ309" s="2" t="str">
        <f ca="1">IFERROR(__xludf.DUMMYFUNCTION("""COMPUTED_VALUE"""),"")</f>
        <v/>
      </c>
      <c r="BA309" s="2" t="str">
        <f ca="1">IFERROR(__xludf.DUMMYFUNCTION("""COMPUTED_VALUE"""),"")</f>
        <v/>
      </c>
      <c r="BB309" s="2" t="str">
        <f ca="1">IFERROR(__xludf.DUMMYFUNCTION("""COMPUTED_VALUE"""),"")</f>
        <v/>
      </c>
      <c r="BC309" s="2" t="str">
        <f ca="1">IFERROR(__xludf.DUMMYFUNCTION("""COMPUTED_VALUE"""),"")</f>
        <v/>
      </c>
      <c r="BD309" s="2" t="str">
        <f ca="1">IFERROR(__xludf.DUMMYFUNCTION("""COMPUTED_VALUE"""),"")</f>
        <v/>
      </c>
      <c r="BE309" s="2" t="str">
        <f ca="1">IFERROR(__xludf.DUMMYFUNCTION("""COMPUTED_VALUE"""),"")</f>
        <v/>
      </c>
      <c r="BF309" t="str">
        <f ca="1">IFERROR(__xludf.DUMMYFUNCTION("""COMPUTED_VALUE"""),"")</f>
        <v/>
      </c>
      <c r="BG309" t="str">
        <f ca="1">IFERROR(__xludf.DUMMYFUNCTION("""COMPUTED_VALUE"""),"")</f>
        <v/>
      </c>
      <c r="BH309" s="2">
        <f ca="1">IFERROR(__xludf.DUMMYFUNCTION("""COMPUTED_VALUE"""),-37.2719727)</f>
        <v>-37.271972699999999</v>
      </c>
      <c r="BI309" s="12">
        <f ca="1">IFERROR(__xludf.DUMMYFUNCTION("""COMPUTED_VALUE"""),175.1407471)</f>
        <v>175.1407471</v>
      </c>
      <c r="BJ309" s="9">
        <f ca="1">IFERROR(__xludf.DUMMYFUNCTION("""COMPUTED_VALUE"""),43412)</f>
        <v>43412</v>
      </c>
      <c r="BK309" s="4">
        <f ca="1">IFERROR(__xludf.DUMMYFUNCTION("""COMPUTED_VALUE"""),0.958518518516939)</f>
        <v>0.95851851851693903</v>
      </c>
    </row>
    <row r="310" spans="1:63" ht="12.5" x14ac:dyDescent="0.25">
      <c r="A310" s="7" t="str">
        <f ca="1">IFERROR(__xludf.DUMMYFUNCTION("""COMPUTED_VALUE"""),"")</f>
        <v/>
      </c>
      <c r="B310" s="8" t="str">
        <f ca="1">IFERROR(__xludf.DUMMYFUNCTION("""COMPUTED_VALUE"""),"Waikato")</f>
        <v>Waikato</v>
      </c>
      <c r="C310" s="2">
        <f ca="1">IFERROR(__xludf.DUMMYFUNCTION("""COMPUTED_VALUE"""),21)</f>
        <v>21</v>
      </c>
      <c r="D310" s="9" t="str">
        <f ca="1">IFERROR(__xludf.DUMMYFUNCTION("""COMPUTED_VALUE"""),"")</f>
        <v/>
      </c>
      <c r="E310" s="4" t="str">
        <f ca="1">IFERROR(__xludf.DUMMYFUNCTION("""COMPUTED_VALUE"""),"")</f>
        <v/>
      </c>
      <c r="F310" s="2" t="str">
        <f ca="1">IFERROR(__xludf.DUMMYFUNCTION("""COMPUTED_VALUE"""),"")</f>
        <v/>
      </c>
      <c r="G310" s="2" t="str">
        <f ca="1">IFERROR(__xludf.DUMMYFUNCTION("""COMPUTED_VALUE"""),"GPS: I converted data downloaded from ARGOS using Pinpoint software")</f>
        <v>GPS: I converted data downloaded from ARGOS using Pinpoint software</v>
      </c>
      <c r="H310" s="2" t="str">
        <f ca="1">IFERROR(__xludf.DUMMYFUNCTION("""COMPUTED_VALUE"""),"3D")</f>
        <v>3D</v>
      </c>
      <c r="I310" s="2" t="str">
        <f ca="1">IFERROR(__xludf.DUMMYFUNCTION("""COMPUTED_VALUE"""),"")</f>
        <v/>
      </c>
      <c r="J310" s="2" t="str">
        <f ca="1">IFERROR(__xludf.DUMMYFUNCTION("""COMPUTED_VALUE"""),"")</f>
        <v/>
      </c>
      <c r="K310" s="2" t="str">
        <f ca="1">IFERROR(__xludf.DUMMYFUNCTION("""COMPUTED_VALUE"""),"")</f>
        <v/>
      </c>
      <c r="L310" s="2" t="str">
        <f ca="1">IFERROR(__xludf.DUMMYFUNCTION("""COMPUTED_VALUE"""),"")</f>
        <v/>
      </c>
      <c r="M310" s="5" t="str">
        <f ca="1">IFERROR(__xludf.DUMMYFUNCTION("""COMPUTED_VALUE"""),"")</f>
        <v/>
      </c>
      <c r="N310" s="5" t="str">
        <f ca="1">IFERROR(__xludf.DUMMYFUNCTION("""COMPUTED_VALUE"""),"")</f>
        <v/>
      </c>
      <c r="O310" s="2" t="str">
        <f ca="1">IFERROR(__xludf.DUMMYFUNCTION("""COMPUTED_VALUE"""),"")</f>
        <v/>
      </c>
      <c r="P310" s="2" t="str">
        <f ca="1">IFERROR(__xludf.DUMMYFUNCTION("""COMPUTED_VALUE"""),"")</f>
        <v/>
      </c>
      <c r="Q310" s="2" t="str">
        <f ca="1">IFERROR(__xludf.DUMMYFUNCTION("""COMPUTED_VALUE"""),"")</f>
        <v/>
      </c>
      <c r="R310" s="2" t="str">
        <f ca="1">IFERROR(__xludf.DUMMYFUNCTION("""COMPUTED_VALUE"""),"")</f>
        <v/>
      </c>
      <c r="S310" s="2" t="str">
        <f ca="1">IFERROR(__xludf.DUMMYFUNCTION("""COMPUTED_VALUE"""),"")</f>
        <v/>
      </c>
      <c r="T310" s="2" t="str">
        <f ca="1">IFERROR(__xludf.DUMMYFUNCTION("""COMPUTED_VALUE"""),"")</f>
        <v/>
      </c>
      <c r="U310" s="2" t="str">
        <f ca="1">IFERROR(__xludf.DUMMYFUNCTION("""COMPUTED_VALUE"""),"")</f>
        <v/>
      </c>
      <c r="V310" s="2" t="str">
        <f ca="1">IFERROR(__xludf.DUMMYFUNCTION("""COMPUTED_VALUE"""),"")</f>
        <v/>
      </c>
      <c r="W310" s="2" t="str">
        <f ca="1">IFERROR(__xludf.DUMMYFUNCTION("""COMPUTED_VALUE"""),"")</f>
        <v/>
      </c>
      <c r="X310" s="2" t="str">
        <f ca="1">IFERROR(__xludf.DUMMYFUNCTION("""COMPUTED_VALUE"""),"")</f>
        <v/>
      </c>
      <c r="Y310" s="2" t="str">
        <f ca="1">IFERROR(__xludf.DUMMYFUNCTION("""COMPUTED_VALUE"""),"")</f>
        <v/>
      </c>
      <c r="Z310" s="2" t="str">
        <f ca="1">IFERROR(__xludf.DUMMYFUNCTION("""COMPUTED_VALUE"""),"")</f>
        <v/>
      </c>
      <c r="AA310" s="2" t="str">
        <f ca="1">IFERROR(__xludf.DUMMYFUNCTION("""COMPUTED_VALUE"""),"")</f>
        <v/>
      </c>
      <c r="AB310" s="2" t="str">
        <f ca="1">IFERROR(__xludf.DUMMYFUNCTION("""COMPUTED_VALUE"""),"")</f>
        <v/>
      </c>
      <c r="AC310" s="2" t="str">
        <f ca="1">IFERROR(__xludf.DUMMYFUNCTION("""COMPUTED_VALUE"""),"")</f>
        <v/>
      </c>
      <c r="AD310" s="2" t="str">
        <f ca="1">IFERROR(__xludf.DUMMYFUNCTION("""COMPUTED_VALUE"""),"")</f>
        <v/>
      </c>
      <c r="AE310" s="2" t="str">
        <f ca="1">IFERROR(__xludf.DUMMYFUNCTION("""COMPUTED_VALUE"""),"")</f>
        <v/>
      </c>
      <c r="AF310" s="2" t="str">
        <f ca="1">IFERROR(__xludf.DUMMYFUNCTION("""COMPUTED_VALUE"""),"")</f>
        <v/>
      </c>
      <c r="AG310" s="2" t="str">
        <f ca="1">IFERROR(__xludf.DUMMYFUNCTION("""COMPUTED_VALUE"""),"")</f>
        <v/>
      </c>
      <c r="AH310" s="2" t="str">
        <f ca="1">IFERROR(__xludf.DUMMYFUNCTION("""COMPUTED_VALUE"""),"")</f>
        <v/>
      </c>
      <c r="AI310" s="2" t="str">
        <f ca="1">IFERROR(__xludf.DUMMYFUNCTION("""COMPUTED_VALUE"""),"")</f>
        <v/>
      </c>
      <c r="AJ310" s="2" t="str">
        <f ca="1">IFERROR(__xludf.DUMMYFUNCTION("""COMPUTED_VALUE"""),"")</f>
        <v/>
      </c>
      <c r="AK310" s="2" t="str">
        <f ca="1">IFERROR(__xludf.DUMMYFUNCTION("""COMPUTED_VALUE"""),"")</f>
        <v/>
      </c>
      <c r="AL310" s="2" t="str">
        <f ca="1">IFERROR(__xludf.DUMMYFUNCTION("""COMPUTED_VALUE"""),"")</f>
        <v/>
      </c>
      <c r="AM310" s="2" t="str">
        <f ca="1">IFERROR(__xludf.DUMMYFUNCTION("""COMPUTED_VALUE"""),"")</f>
        <v/>
      </c>
      <c r="AN310" s="2" t="str">
        <f ca="1">IFERROR(__xludf.DUMMYFUNCTION("""COMPUTED_VALUE"""),"")</f>
        <v/>
      </c>
      <c r="AO310" s="2" t="str">
        <f ca="1">IFERROR(__xludf.DUMMYFUNCTION("""COMPUTED_VALUE"""),"")</f>
        <v/>
      </c>
      <c r="AP310" s="2" t="str">
        <f ca="1">IFERROR(__xludf.DUMMYFUNCTION("""COMPUTED_VALUE"""),"")</f>
        <v/>
      </c>
      <c r="AQ310" s="2" t="str">
        <f ca="1">IFERROR(__xludf.DUMMYFUNCTION("""COMPUTED_VALUE"""),"")</f>
        <v/>
      </c>
      <c r="AR310" s="2" t="str">
        <f ca="1">IFERROR(__xludf.DUMMYFUNCTION("""COMPUTED_VALUE"""),"")</f>
        <v/>
      </c>
      <c r="AS310" s="2" t="str">
        <f ca="1">IFERROR(__xludf.DUMMYFUNCTION("""COMPUTED_VALUE"""),"")</f>
        <v/>
      </c>
      <c r="AT310" s="2" t="str">
        <f ca="1">IFERROR(__xludf.DUMMYFUNCTION("""COMPUTED_VALUE"""),"")</f>
        <v/>
      </c>
      <c r="AU310" s="2" t="str">
        <f ca="1">IFERROR(__xludf.DUMMYFUNCTION("""COMPUTED_VALUE"""),"")</f>
        <v/>
      </c>
      <c r="AV310" s="2" t="str">
        <f ca="1">IFERROR(__xludf.DUMMYFUNCTION("""COMPUTED_VALUE"""),"")</f>
        <v/>
      </c>
      <c r="AW310" s="2" t="str">
        <f ca="1">IFERROR(__xludf.DUMMYFUNCTION("""COMPUTED_VALUE"""),"")</f>
        <v/>
      </c>
      <c r="AX310" s="2" t="str">
        <f ca="1">IFERROR(__xludf.DUMMYFUNCTION("""COMPUTED_VALUE"""),"")</f>
        <v/>
      </c>
      <c r="AY310" s="2" t="str">
        <f ca="1">IFERROR(__xludf.DUMMYFUNCTION("""COMPUTED_VALUE"""),"")</f>
        <v/>
      </c>
      <c r="AZ310" s="2" t="str">
        <f ca="1">IFERROR(__xludf.DUMMYFUNCTION("""COMPUTED_VALUE"""),"")</f>
        <v/>
      </c>
      <c r="BA310" s="2" t="str">
        <f ca="1">IFERROR(__xludf.DUMMYFUNCTION("""COMPUTED_VALUE"""),"")</f>
        <v/>
      </c>
      <c r="BB310" s="2" t="str">
        <f ca="1">IFERROR(__xludf.DUMMYFUNCTION("""COMPUTED_VALUE"""),"")</f>
        <v/>
      </c>
      <c r="BC310" s="2" t="str">
        <f ca="1">IFERROR(__xludf.DUMMYFUNCTION("""COMPUTED_VALUE"""),"")</f>
        <v/>
      </c>
      <c r="BD310" s="2" t="str">
        <f ca="1">IFERROR(__xludf.DUMMYFUNCTION("""COMPUTED_VALUE"""),"")</f>
        <v/>
      </c>
      <c r="BE310" s="2" t="str">
        <f ca="1">IFERROR(__xludf.DUMMYFUNCTION("""COMPUTED_VALUE"""),"")</f>
        <v/>
      </c>
      <c r="BF310" t="str">
        <f ca="1">IFERROR(__xludf.DUMMYFUNCTION("""COMPUTED_VALUE"""),"")</f>
        <v/>
      </c>
      <c r="BG310" t="str">
        <f ca="1">IFERROR(__xludf.DUMMYFUNCTION("""COMPUTED_VALUE"""),"")</f>
        <v/>
      </c>
      <c r="BH310" s="2">
        <f ca="1">IFERROR(__xludf.DUMMYFUNCTION("""COMPUTED_VALUE"""),-37.2896881)</f>
        <v>-37.289688099999999</v>
      </c>
      <c r="BI310" s="13">
        <f ca="1">IFERROR(__xludf.DUMMYFUNCTION("""COMPUTED_VALUE"""),175.1108551)</f>
        <v>175.11085510000001</v>
      </c>
      <c r="BJ310" s="9">
        <f ca="1">IFERROR(__xludf.DUMMYFUNCTION("""COMPUTED_VALUE"""),43413)</f>
        <v>43413</v>
      </c>
      <c r="BK310" s="4">
        <f ca="1">IFERROR(__xludf.DUMMYFUNCTION("""COMPUTED_VALUE"""),0.874074074072268)</f>
        <v>0.874074074072268</v>
      </c>
    </row>
    <row r="311" spans="1:63" ht="12.5" x14ac:dyDescent="0.25">
      <c r="A311" s="7" t="str">
        <f ca="1">IFERROR(__xludf.DUMMYFUNCTION("""COMPUTED_VALUE"""),"")</f>
        <v/>
      </c>
      <c r="B311" s="8" t="str">
        <f ca="1">IFERROR(__xludf.DUMMYFUNCTION("""COMPUTED_VALUE"""),"Waikato")</f>
        <v>Waikato</v>
      </c>
      <c r="C311" s="2">
        <f ca="1">IFERROR(__xludf.DUMMYFUNCTION("""COMPUTED_VALUE"""),21)</f>
        <v>21</v>
      </c>
      <c r="D311" s="9" t="str">
        <f ca="1">IFERROR(__xludf.DUMMYFUNCTION("""COMPUTED_VALUE"""),"")</f>
        <v/>
      </c>
      <c r="E311" s="4" t="str">
        <f ca="1">IFERROR(__xludf.DUMMYFUNCTION("""COMPUTED_VALUE"""),"")</f>
        <v/>
      </c>
      <c r="F311" s="2" t="str">
        <f ca="1">IFERROR(__xludf.DUMMYFUNCTION("""COMPUTED_VALUE"""),"")</f>
        <v/>
      </c>
      <c r="G311" s="2" t="str">
        <f ca="1">IFERROR(__xludf.DUMMYFUNCTION("""COMPUTED_VALUE"""),"GPS: I converted data downloaded from ARGOS using Pinpoint software")</f>
        <v>GPS: I converted data downloaded from ARGOS using Pinpoint software</v>
      </c>
      <c r="H311" s="2" t="str">
        <f ca="1">IFERROR(__xludf.DUMMYFUNCTION("""COMPUTED_VALUE"""),"3D")</f>
        <v>3D</v>
      </c>
      <c r="I311" s="2" t="str">
        <f ca="1">IFERROR(__xludf.DUMMYFUNCTION("""COMPUTED_VALUE"""),"")</f>
        <v/>
      </c>
      <c r="J311" s="2" t="str">
        <f ca="1">IFERROR(__xludf.DUMMYFUNCTION("""COMPUTED_VALUE"""),"")</f>
        <v/>
      </c>
      <c r="K311" s="2" t="str">
        <f ca="1">IFERROR(__xludf.DUMMYFUNCTION("""COMPUTED_VALUE"""),"")</f>
        <v/>
      </c>
      <c r="L311" s="2" t="str">
        <f ca="1">IFERROR(__xludf.DUMMYFUNCTION("""COMPUTED_VALUE"""),"")</f>
        <v/>
      </c>
      <c r="M311" s="5" t="str">
        <f ca="1">IFERROR(__xludf.DUMMYFUNCTION("""COMPUTED_VALUE"""),"")</f>
        <v/>
      </c>
      <c r="N311" s="5" t="str">
        <f ca="1">IFERROR(__xludf.DUMMYFUNCTION("""COMPUTED_VALUE"""),"")</f>
        <v/>
      </c>
      <c r="O311" s="2" t="str">
        <f ca="1">IFERROR(__xludf.DUMMYFUNCTION("""COMPUTED_VALUE"""),"")</f>
        <v/>
      </c>
      <c r="P311" s="2" t="str">
        <f ca="1">IFERROR(__xludf.DUMMYFUNCTION("""COMPUTED_VALUE"""),"")</f>
        <v/>
      </c>
      <c r="Q311" s="2" t="str">
        <f ca="1">IFERROR(__xludf.DUMMYFUNCTION("""COMPUTED_VALUE"""),"")</f>
        <v/>
      </c>
      <c r="R311" s="2" t="str">
        <f ca="1">IFERROR(__xludf.DUMMYFUNCTION("""COMPUTED_VALUE"""),"")</f>
        <v/>
      </c>
      <c r="S311" s="2" t="str">
        <f ca="1">IFERROR(__xludf.DUMMYFUNCTION("""COMPUTED_VALUE"""),"")</f>
        <v/>
      </c>
      <c r="T311" s="2" t="str">
        <f ca="1">IFERROR(__xludf.DUMMYFUNCTION("""COMPUTED_VALUE"""),"")</f>
        <v/>
      </c>
      <c r="U311" s="2" t="str">
        <f ca="1">IFERROR(__xludf.DUMMYFUNCTION("""COMPUTED_VALUE"""),"")</f>
        <v/>
      </c>
      <c r="V311" s="2" t="str">
        <f ca="1">IFERROR(__xludf.DUMMYFUNCTION("""COMPUTED_VALUE"""),"")</f>
        <v/>
      </c>
      <c r="W311" s="2" t="str">
        <f ca="1">IFERROR(__xludf.DUMMYFUNCTION("""COMPUTED_VALUE"""),"")</f>
        <v/>
      </c>
      <c r="X311" s="2" t="str">
        <f ca="1">IFERROR(__xludf.DUMMYFUNCTION("""COMPUTED_VALUE"""),"")</f>
        <v/>
      </c>
      <c r="Y311" s="2" t="str">
        <f ca="1">IFERROR(__xludf.DUMMYFUNCTION("""COMPUTED_VALUE"""),"")</f>
        <v/>
      </c>
      <c r="Z311" s="2" t="str">
        <f ca="1">IFERROR(__xludf.DUMMYFUNCTION("""COMPUTED_VALUE"""),"")</f>
        <v/>
      </c>
      <c r="AA311" s="2" t="str">
        <f ca="1">IFERROR(__xludf.DUMMYFUNCTION("""COMPUTED_VALUE"""),"")</f>
        <v/>
      </c>
      <c r="AB311" s="2" t="str">
        <f ca="1">IFERROR(__xludf.DUMMYFUNCTION("""COMPUTED_VALUE"""),"")</f>
        <v/>
      </c>
      <c r="AC311" s="2" t="str">
        <f ca="1">IFERROR(__xludf.DUMMYFUNCTION("""COMPUTED_VALUE"""),"")</f>
        <v/>
      </c>
      <c r="AD311" s="2" t="str">
        <f ca="1">IFERROR(__xludf.DUMMYFUNCTION("""COMPUTED_VALUE"""),"")</f>
        <v/>
      </c>
      <c r="AE311" s="2" t="str">
        <f ca="1">IFERROR(__xludf.DUMMYFUNCTION("""COMPUTED_VALUE"""),"")</f>
        <v/>
      </c>
      <c r="AF311" s="2" t="str">
        <f ca="1">IFERROR(__xludf.DUMMYFUNCTION("""COMPUTED_VALUE"""),"")</f>
        <v/>
      </c>
      <c r="AG311" s="2" t="str">
        <f ca="1">IFERROR(__xludf.DUMMYFUNCTION("""COMPUTED_VALUE"""),"")</f>
        <v/>
      </c>
      <c r="AH311" s="2" t="str">
        <f ca="1">IFERROR(__xludf.DUMMYFUNCTION("""COMPUTED_VALUE"""),"")</f>
        <v/>
      </c>
      <c r="AI311" s="2" t="str">
        <f ca="1">IFERROR(__xludf.DUMMYFUNCTION("""COMPUTED_VALUE"""),"")</f>
        <v/>
      </c>
      <c r="AJ311" s="2" t="str">
        <f ca="1">IFERROR(__xludf.DUMMYFUNCTION("""COMPUTED_VALUE"""),"")</f>
        <v/>
      </c>
      <c r="AK311" s="2" t="str">
        <f ca="1">IFERROR(__xludf.DUMMYFUNCTION("""COMPUTED_VALUE"""),"")</f>
        <v/>
      </c>
      <c r="AL311" s="2" t="str">
        <f ca="1">IFERROR(__xludf.DUMMYFUNCTION("""COMPUTED_VALUE"""),"")</f>
        <v/>
      </c>
      <c r="AM311" s="2" t="str">
        <f ca="1">IFERROR(__xludf.DUMMYFUNCTION("""COMPUTED_VALUE"""),"")</f>
        <v/>
      </c>
      <c r="AN311" s="2" t="str">
        <f ca="1">IFERROR(__xludf.DUMMYFUNCTION("""COMPUTED_VALUE"""),"")</f>
        <v/>
      </c>
      <c r="AO311" s="2" t="str">
        <f ca="1">IFERROR(__xludf.DUMMYFUNCTION("""COMPUTED_VALUE"""),"")</f>
        <v/>
      </c>
      <c r="AP311" s="2" t="str">
        <f ca="1">IFERROR(__xludf.DUMMYFUNCTION("""COMPUTED_VALUE"""),"")</f>
        <v/>
      </c>
      <c r="AQ311" s="2" t="str">
        <f ca="1">IFERROR(__xludf.DUMMYFUNCTION("""COMPUTED_VALUE"""),"")</f>
        <v/>
      </c>
      <c r="AR311" s="2" t="str">
        <f ca="1">IFERROR(__xludf.DUMMYFUNCTION("""COMPUTED_VALUE"""),"")</f>
        <v/>
      </c>
      <c r="AS311" s="2" t="str">
        <f ca="1">IFERROR(__xludf.DUMMYFUNCTION("""COMPUTED_VALUE"""),"")</f>
        <v/>
      </c>
      <c r="AT311" s="2" t="str">
        <f ca="1">IFERROR(__xludf.DUMMYFUNCTION("""COMPUTED_VALUE"""),"")</f>
        <v/>
      </c>
      <c r="AU311" s="2" t="str">
        <f ca="1">IFERROR(__xludf.DUMMYFUNCTION("""COMPUTED_VALUE"""),"")</f>
        <v/>
      </c>
      <c r="AV311" s="2" t="str">
        <f ca="1">IFERROR(__xludf.DUMMYFUNCTION("""COMPUTED_VALUE"""),"")</f>
        <v/>
      </c>
      <c r="AW311" s="2" t="str">
        <f ca="1">IFERROR(__xludf.DUMMYFUNCTION("""COMPUTED_VALUE"""),"")</f>
        <v/>
      </c>
      <c r="AX311" s="2" t="str">
        <f ca="1">IFERROR(__xludf.DUMMYFUNCTION("""COMPUTED_VALUE"""),"")</f>
        <v/>
      </c>
      <c r="AY311" s="2" t="str">
        <f ca="1">IFERROR(__xludf.DUMMYFUNCTION("""COMPUTED_VALUE"""),"")</f>
        <v/>
      </c>
      <c r="AZ311" s="2" t="str">
        <f ca="1">IFERROR(__xludf.DUMMYFUNCTION("""COMPUTED_VALUE"""),"")</f>
        <v/>
      </c>
      <c r="BA311" s="2" t="str">
        <f ca="1">IFERROR(__xludf.DUMMYFUNCTION("""COMPUTED_VALUE"""),"")</f>
        <v/>
      </c>
      <c r="BB311" s="2" t="str">
        <f ca="1">IFERROR(__xludf.DUMMYFUNCTION("""COMPUTED_VALUE"""),"")</f>
        <v/>
      </c>
      <c r="BC311" s="2" t="str">
        <f ca="1">IFERROR(__xludf.DUMMYFUNCTION("""COMPUTED_VALUE"""),"")</f>
        <v/>
      </c>
      <c r="BD311" s="2" t="str">
        <f ca="1">IFERROR(__xludf.DUMMYFUNCTION("""COMPUTED_VALUE"""),"")</f>
        <v/>
      </c>
      <c r="BE311" s="2" t="str">
        <f ca="1">IFERROR(__xludf.DUMMYFUNCTION("""COMPUTED_VALUE"""),"")</f>
        <v/>
      </c>
      <c r="BF311" t="str">
        <f ca="1">IFERROR(__xludf.DUMMYFUNCTION("""COMPUTED_VALUE"""),"")</f>
        <v/>
      </c>
      <c r="BG311" t="str">
        <f ca="1">IFERROR(__xludf.DUMMYFUNCTION("""COMPUTED_VALUE"""),"")</f>
        <v/>
      </c>
      <c r="BH311" s="2">
        <f ca="1">IFERROR(__xludf.DUMMYFUNCTION("""COMPUTED_VALUE"""),-37.2921486)</f>
        <v>-37.292148599999997</v>
      </c>
      <c r="BI311" s="12">
        <f ca="1">IFERROR(__xludf.DUMMYFUNCTION("""COMPUTED_VALUE"""),175.1132507)</f>
        <v>175.11325070000001</v>
      </c>
      <c r="BJ311" s="9">
        <f ca="1">IFERROR(__xludf.DUMMYFUNCTION("""COMPUTED_VALUE"""),43414)</f>
        <v>43414</v>
      </c>
      <c r="BK311" s="4">
        <f ca="1">IFERROR(__xludf.DUMMYFUNCTION("""COMPUTED_VALUE"""),0.457777777777664)</f>
        <v>0.45777777777766399</v>
      </c>
    </row>
    <row r="312" spans="1:63" ht="12.5" x14ac:dyDescent="0.25">
      <c r="A312" s="7" t="str">
        <f ca="1">IFERROR(__xludf.DUMMYFUNCTION("""COMPUTED_VALUE"""),"")</f>
        <v/>
      </c>
      <c r="B312" s="8" t="str">
        <f ca="1">IFERROR(__xludf.DUMMYFUNCTION("""COMPUTED_VALUE"""),"Waikato")</f>
        <v>Waikato</v>
      </c>
      <c r="C312" s="2">
        <f ca="1">IFERROR(__xludf.DUMMYFUNCTION("""COMPUTED_VALUE"""),21)</f>
        <v>21</v>
      </c>
      <c r="D312" s="9" t="str">
        <f ca="1">IFERROR(__xludf.DUMMYFUNCTION("""COMPUTED_VALUE"""),"")</f>
        <v/>
      </c>
      <c r="E312" s="4" t="str">
        <f ca="1">IFERROR(__xludf.DUMMYFUNCTION("""COMPUTED_VALUE"""),"")</f>
        <v/>
      </c>
      <c r="F312" s="2" t="str">
        <f ca="1">IFERROR(__xludf.DUMMYFUNCTION("""COMPUTED_VALUE"""),"")</f>
        <v/>
      </c>
      <c r="G312" s="2" t="str">
        <f ca="1">IFERROR(__xludf.DUMMYFUNCTION("""COMPUTED_VALUE"""),"GPS: I converted data downloaded from ARGOS using Pinpoint software")</f>
        <v>GPS: I converted data downloaded from ARGOS using Pinpoint software</v>
      </c>
      <c r="H312" s="2" t="str">
        <f ca="1">IFERROR(__xludf.DUMMYFUNCTION("""COMPUTED_VALUE"""),"3D")</f>
        <v>3D</v>
      </c>
      <c r="I312" s="2" t="str">
        <f ca="1">IFERROR(__xludf.DUMMYFUNCTION("""COMPUTED_VALUE"""),"")</f>
        <v/>
      </c>
      <c r="J312" s="2" t="str">
        <f ca="1">IFERROR(__xludf.DUMMYFUNCTION("""COMPUTED_VALUE"""),"")</f>
        <v/>
      </c>
      <c r="K312" s="2" t="str">
        <f ca="1">IFERROR(__xludf.DUMMYFUNCTION("""COMPUTED_VALUE"""),"")</f>
        <v/>
      </c>
      <c r="L312" s="2" t="str">
        <f ca="1">IFERROR(__xludf.DUMMYFUNCTION("""COMPUTED_VALUE"""),"")</f>
        <v/>
      </c>
      <c r="M312" s="5" t="str">
        <f ca="1">IFERROR(__xludf.DUMMYFUNCTION("""COMPUTED_VALUE"""),"")</f>
        <v/>
      </c>
      <c r="N312" s="5" t="str">
        <f ca="1">IFERROR(__xludf.DUMMYFUNCTION("""COMPUTED_VALUE"""),"")</f>
        <v/>
      </c>
      <c r="O312" s="2" t="str">
        <f ca="1">IFERROR(__xludf.DUMMYFUNCTION("""COMPUTED_VALUE"""),"")</f>
        <v/>
      </c>
      <c r="P312" s="2" t="str">
        <f ca="1">IFERROR(__xludf.DUMMYFUNCTION("""COMPUTED_VALUE"""),"")</f>
        <v/>
      </c>
      <c r="Q312" s="2" t="str">
        <f ca="1">IFERROR(__xludf.DUMMYFUNCTION("""COMPUTED_VALUE"""),"")</f>
        <v/>
      </c>
      <c r="R312" s="2" t="str">
        <f ca="1">IFERROR(__xludf.DUMMYFUNCTION("""COMPUTED_VALUE"""),"")</f>
        <v/>
      </c>
      <c r="S312" s="2" t="str">
        <f ca="1">IFERROR(__xludf.DUMMYFUNCTION("""COMPUTED_VALUE"""),"")</f>
        <v/>
      </c>
      <c r="T312" s="2" t="str">
        <f ca="1">IFERROR(__xludf.DUMMYFUNCTION("""COMPUTED_VALUE"""),"")</f>
        <v/>
      </c>
      <c r="U312" s="2" t="str">
        <f ca="1">IFERROR(__xludf.DUMMYFUNCTION("""COMPUTED_VALUE"""),"")</f>
        <v/>
      </c>
      <c r="V312" s="2" t="str">
        <f ca="1">IFERROR(__xludf.DUMMYFUNCTION("""COMPUTED_VALUE"""),"")</f>
        <v/>
      </c>
      <c r="W312" s="2" t="str">
        <f ca="1">IFERROR(__xludf.DUMMYFUNCTION("""COMPUTED_VALUE"""),"")</f>
        <v/>
      </c>
      <c r="X312" s="2" t="str">
        <f ca="1">IFERROR(__xludf.DUMMYFUNCTION("""COMPUTED_VALUE"""),"")</f>
        <v/>
      </c>
      <c r="Y312" s="2" t="str">
        <f ca="1">IFERROR(__xludf.DUMMYFUNCTION("""COMPUTED_VALUE"""),"")</f>
        <v/>
      </c>
      <c r="Z312" s="2" t="str">
        <f ca="1">IFERROR(__xludf.DUMMYFUNCTION("""COMPUTED_VALUE"""),"")</f>
        <v/>
      </c>
      <c r="AA312" s="2" t="str">
        <f ca="1">IFERROR(__xludf.DUMMYFUNCTION("""COMPUTED_VALUE"""),"")</f>
        <v/>
      </c>
      <c r="AB312" s="2" t="str">
        <f ca="1">IFERROR(__xludf.DUMMYFUNCTION("""COMPUTED_VALUE"""),"")</f>
        <v/>
      </c>
      <c r="AC312" s="2" t="str">
        <f ca="1">IFERROR(__xludf.DUMMYFUNCTION("""COMPUTED_VALUE"""),"")</f>
        <v/>
      </c>
      <c r="AD312" s="2" t="str">
        <f ca="1">IFERROR(__xludf.DUMMYFUNCTION("""COMPUTED_VALUE"""),"")</f>
        <v/>
      </c>
      <c r="AE312" s="2" t="str">
        <f ca="1">IFERROR(__xludf.DUMMYFUNCTION("""COMPUTED_VALUE"""),"")</f>
        <v/>
      </c>
      <c r="AF312" s="2" t="str">
        <f ca="1">IFERROR(__xludf.DUMMYFUNCTION("""COMPUTED_VALUE"""),"")</f>
        <v/>
      </c>
      <c r="AG312" s="2" t="str">
        <f ca="1">IFERROR(__xludf.DUMMYFUNCTION("""COMPUTED_VALUE"""),"")</f>
        <v/>
      </c>
      <c r="AH312" s="2" t="str">
        <f ca="1">IFERROR(__xludf.DUMMYFUNCTION("""COMPUTED_VALUE"""),"")</f>
        <v/>
      </c>
      <c r="AI312" s="2" t="str">
        <f ca="1">IFERROR(__xludf.DUMMYFUNCTION("""COMPUTED_VALUE"""),"")</f>
        <v/>
      </c>
      <c r="AJ312" s="2" t="str">
        <f ca="1">IFERROR(__xludf.DUMMYFUNCTION("""COMPUTED_VALUE"""),"")</f>
        <v/>
      </c>
      <c r="AK312" s="2" t="str">
        <f ca="1">IFERROR(__xludf.DUMMYFUNCTION("""COMPUTED_VALUE"""),"")</f>
        <v/>
      </c>
      <c r="AL312" s="2" t="str">
        <f ca="1">IFERROR(__xludf.DUMMYFUNCTION("""COMPUTED_VALUE"""),"")</f>
        <v/>
      </c>
      <c r="AM312" s="2" t="str">
        <f ca="1">IFERROR(__xludf.DUMMYFUNCTION("""COMPUTED_VALUE"""),"")</f>
        <v/>
      </c>
      <c r="AN312" s="2" t="str">
        <f ca="1">IFERROR(__xludf.DUMMYFUNCTION("""COMPUTED_VALUE"""),"")</f>
        <v/>
      </c>
      <c r="AO312" s="2" t="str">
        <f ca="1">IFERROR(__xludf.DUMMYFUNCTION("""COMPUTED_VALUE"""),"")</f>
        <v/>
      </c>
      <c r="AP312" s="2" t="str">
        <f ca="1">IFERROR(__xludf.DUMMYFUNCTION("""COMPUTED_VALUE"""),"")</f>
        <v/>
      </c>
      <c r="AQ312" s="2" t="str">
        <f ca="1">IFERROR(__xludf.DUMMYFUNCTION("""COMPUTED_VALUE"""),"")</f>
        <v/>
      </c>
      <c r="AR312" s="2" t="str">
        <f ca="1">IFERROR(__xludf.DUMMYFUNCTION("""COMPUTED_VALUE"""),"")</f>
        <v/>
      </c>
      <c r="AS312" s="2" t="str">
        <f ca="1">IFERROR(__xludf.DUMMYFUNCTION("""COMPUTED_VALUE"""),"")</f>
        <v/>
      </c>
      <c r="AT312" s="2" t="str">
        <f ca="1">IFERROR(__xludf.DUMMYFUNCTION("""COMPUTED_VALUE"""),"")</f>
        <v/>
      </c>
      <c r="AU312" s="2" t="str">
        <f ca="1">IFERROR(__xludf.DUMMYFUNCTION("""COMPUTED_VALUE"""),"")</f>
        <v/>
      </c>
      <c r="AV312" s="2" t="str">
        <f ca="1">IFERROR(__xludf.DUMMYFUNCTION("""COMPUTED_VALUE"""),"")</f>
        <v/>
      </c>
      <c r="AW312" s="2" t="str">
        <f ca="1">IFERROR(__xludf.DUMMYFUNCTION("""COMPUTED_VALUE"""),"")</f>
        <v/>
      </c>
      <c r="AX312" s="2" t="str">
        <f ca="1">IFERROR(__xludf.DUMMYFUNCTION("""COMPUTED_VALUE"""),"")</f>
        <v/>
      </c>
      <c r="AY312" s="2" t="str">
        <f ca="1">IFERROR(__xludf.DUMMYFUNCTION("""COMPUTED_VALUE"""),"")</f>
        <v/>
      </c>
      <c r="AZ312" s="2" t="str">
        <f ca="1">IFERROR(__xludf.DUMMYFUNCTION("""COMPUTED_VALUE"""),"")</f>
        <v/>
      </c>
      <c r="BA312" s="2" t="str">
        <f ca="1">IFERROR(__xludf.DUMMYFUNCTION("""COMPUTED_VALUE"""),"")</f>
        <v/>
      </c>
      <c r="BB312" s="2" t="str">
        <f ca="1">IFERROR(__xludf.DUMMYFUNCTION("""COMPUTED_VALUE"""),"")</f>
        <v/>
      </c>
      <c r="BC312" s="2" t="str">
        <f ca="1">IFERROR(__xludf.DUMMYFUNCTION("""COMPUTED_VALUE"""),"")</f>
        <v/>
      </c>
      <c r="BD312" s="2" t="str">
        <f ca="1">IFERROR(__xludf.DUMMYFUNCTION("""COMPUTED_VALUE"""),"")</f>
        <v/>
      </c>
      <c r="BE312" s="2" t="str">
        <f ca="1">IFERROR(__xludf.DUMMYFUNCTION("""COMPUTED_VALUE"""),"")</f>
        <v/>
      </c>
      <c r="BF312" t="str">
        <f ca="1">IFERROR(__xludf.DUMMYFUNCTION("""COMPUTED_VALUE"""),"")</f>
        <v/>
      </c>
      <c r="BG312" t="str">
        <f ca="1">IFERROR(__xludf.DUMMYFUNCTION("""COMPUTED_VALUE"""),"")</f>
        <v/>
      </c>
      <c r="BH312" s="2">
        <f ca="1">IFERROR(__xludf.DUMMYFUNCTION("""COMPUTED_VALUE"""),-37.2744331)</f>
        <v>-37.274433100000003</v>
      </c>
      <c r="BI312" s="13">
        <f ca="1">IFERROR(__xludf.DUMMYFUNCTION("""COMPUTED_VALUE"""),175.1410065)</f>
        <v>175.1410065</v>
      </c>
      <c r="BJ312" s="9">
        <f ca="1">IFERROR(__xludf.DUMMYFUNCTION("""COMPUTED_VALUE"""),43414)</f>
        <v>43414</v>
      </c>
      <c r="BK312" s="4">
        <f ca="1">IFERROR(__xludf.DUMMYFUNCTION("""COMPUTED_VALUE"""),0.958518518516939)</f>
        <v>0.95851851851693903</v>
      </c>
    </row>
    <row r="313" spans="1:63" ht="12.5" x14ac:dyDescent="0.25">
      <c r="A313" s="7" t="str">
        <f ca="1">IFERROR(__xludf.DUMMYFUNCTION("""COMPUTED_VALUE"""),"")</f>
        <v/>
      </c>
      <c r="B313" s="8" t="str">
        <f ca="1">IFERROR(__xludf.DUMMYFUNCTION("""COMPUTED_VALUE"""),"Waikato")</f>
        <v>Waikato</v>
      </c>
      <c r="C313" s="2">
        <f ca="1">IFERROR(__xludf.DUMMYFUNCTION("""COMPUTED_VALUE"""),21)</f>
        <v>21</v>
      </c>
      <c r="D313" s="9" t="str">
        <f ca="1">IFERROR(__xludf.DUMMYFUNCTION("""COMPUTED_VALUE"""),"")</f>
        <v/>
      </c>
      <c r="E313" s="4" t="str">
        <f ca="1">IFERROR(__xludf.DUMMYFUNCTION("""COMPUTED_VALUE"""),"")</f>
        <v/>
      </c>
      <c r="F313" s="2" t="str">
        <f ca="1">IFERROR(__xludf.DUMMYFUNCTION("""COMPUTED_VALUE"""),"")</f>
        <v/>
      </c>
      <c r="G313" s="2" t="str">
        <f ca="1">IFERROR(__xludf.DUMMYFUNCTION("""COMPUTED_VALUE"""),"GPS: I converted data downloaded from ARGOS using Pinpoint software")</f>
        <v>GPS: I converted data downloaded from ARGOS using Pinpoint software</v>
      </c>
      <c r="H313" s="2" t="str">
        <f ca="1">IFERROR(__xludf.DUMMYFUNCTION("""COMPUTED_VALUE"""),"3D")</f>
        <v>3D</v>
      </c>
      <c r="I313" s="2" t="str">
        <f ca="1">IFERROR(__xludf.DUMMYFUNCTION("""COMPUTED_VALUE"""),"")</f>
        <v/>
      </c>
      <c r="J313" s="2" t="str">
        <f ca="1">IFERROR(__xludf.DUMMYFUNCTION("""COMPUTED_VALUE"""),"")</f>
        <v/>
      </c>
      <c r="K313" s="2" t="str">
        <f ca="1">IFERROR(__xludf.DUMMYFUNCTION("""COMPUTED_VALUE"""),"")</f>
        <v/>
      </c>
      <c r="L313" s="2" t="str">
        <f ca="1">IFERROR(__xludf.DUMMYFUNCTION("""COMPUTED_VALUE"""),"")</f>
        <v/>
      </c>
      <c r="M313" s="5" t="str">
        <f ca="1">IFERROR(__xludf.DUMMYFUNCTION("""COMPUTED_VALUE"""),"")</f>
        <v/>
      </c>
      <c r="N313" s="5" t="str">
        <f ca="1">IFERROR(__xludf.DUMMYFUNCTION("""COMPUTED_VALUE"""),"")</f>
        <v/>
      </c>
      <c r="O313" s="2" t="str">
        <f ca="1">IFERROR(__xludf.DUMMYFUNCTION("""COMPUTED_VALUE"""),"")</f>
        <v/>
      </c>
      <c r="P313" s="2" t="str">
        <f ca="1">IFERROR(__xludf.DUMMYFUNCTION("""COMPUTED_VALUE"""),"")</f>
        <v/>
      </c>
      <c r="Q313" s="2" t="str">
        <f ca="1">IFERROR(__xludf.DUMMYFUNCTION("""COMPUTED_VALUE"""),"")</f>
        <v/>
      </c>
      <c r="R313" s="2" t="str">
        <f ca="1">IFERROR(__xludf.DUMMYFUNCTION("""COMPUTED_VALUE"""),"")</f>
        <v/>
      </c>
      <c r="S313" s="2" t="str">
        <f ca="1">IFERROR(__xludf.DUMMYFUNCTION("""COMPUTED_VALUE"""),"")</f>
        <v/>
      </c>
      <c r="T313" s="2" t="str">
        <f ca="1">IFERROR(__xludf.DUMMYFUNCTION("""COMPUTED_VALUE"""),"")</f>
        <v/>
      </c>
      <c r="U313" s="2" t="str">
        <f ca="1">IFERROR(__xludf.DUMMYFUNCTION("""COMPUTED_VALUE"""),"")</f>
        <v/>
      </c>
      <c r="V313" s="2" t="str">
        <f ca="1">IFERROR(__xludf.DUMMYFUNCTION("""COMPUTED_VALUE"""),"")</f>
        <v/>
      </c>
      <c r="W313" s="2" t="str">
        <f ca="1">IFERROR(__xludf.DUMMYFUNCTION("""COMPUTED_VALUE"""),"")</f>
        <v/>
      </c>
      <c r="X313" s="2" t="str">
        <f ca="1">IFERROR(__xludf.DUMMYFUNCTION("""COMPUTED_VALUE"""),"")</f>
        <v/>
      </c>
      <c r="Y313" s="2" t="str">
        <f ca="1">IFERROR(__xludf.DUMMYFUNCTION("""COMPUTED_VALUE"""),"")</f>
        <v/>
      </c>
      <c r="Z313" s="2" t="str">
        <f ca="1">IFERROR(__xludf.DUMMYFUNCTION("""COMPUTED_VALUE"""),"")</f>
        <v/>
      </c>
      <c r="AA313" s="2" t="str">
        <f ca="1">IFERROR(__xludf.DUMMYFUNCTION("""COMPUTED_VALUE"""),"")</f>
        <v/>
      </c>
      <c r="AB313" s="2" t="str">
        <f ca="1">IFERROR(__xludf.DUMMYFUNCTION("""COMPUTED_VALUE"""),"")</f>
        <v/>
      </c>
      <c r="AC313" s="2" t="str">
        <f ca="1">IFERROR(__xludf.DUMMYFUNCTION("""COMPUTED_VALUE"""),"")</f>
        <v/>
      </c>
      <c r="AD313" s="2" t="str">
        <f ca="1">IFERROR(__xludf.DUMMYFUNCTION("""COMPUTED_VALUE"""),"")</f>
        <v/>
      </c>
      <c r="AE313" s="2" t="str">
        <f ca="1">IFERROR(__xludf.DUMMYFUNCTION("""COMPUTED_VALUE"""),"")</f>
        <v/>
      </c>
      <c r="AF313" s="2" t="str">
        <f ca="1">IFERROR(__xludf.DUMMYFUNCTION("""COMPUTED_VALUE"""),"")</f>
        <v/>
      </c>
      <c r="AG313" s="2" t="str">
        <f ca="1">IFERROR(__xludf.DUMMYFUNCTION("""COMPUTED_VALUE"""),"")</f>
        <v/>
      </c>
      <c r="AH313" s="2" t="str">
        <f ca="1">IFERROR(__xludf.DUMMYFUNCTION("""COMPUTED_VALUE"""),"")</f>
        <v/>
      </c>
      <c r="AI313" s="2" t="str">
        <f ca="1">IFERROR(__xludf.DUMMYFUNCTION("""COMPUTED_VALUE"""),"")</f>
        <v/>
      </c>
      <c r="AJ313" s="2" t="str">
        <f ca="1">IFERROR(__xludf.DUMMYFUNCTION("""COMPUTED_VALUE"""),"")</f>
        <v/>
      </c>
      <c r="AK313" s="2" t="str">
        <f ca="1">IFERROR(__xludf.DUMMYFUNCTION("""COMPUTED_VALUE"""),"")</f>
        <v/>
      </c>
      <c r="AL313" s="2" t="str">
        <f ca="1">IFERROR(__xludf.DUMMYFUNCTION("""COMPUTED_VALUE"""),"")</f>
        <v/>
      </c>
      <c r="AM313" s="2" t="str">
        <f ca="1">IFERROR(__xludf.DUMMYFUNCTION("""COMPUTED_VALUE"""),"")</f>
        <v/>
      </c>
      <c r="AN313" s="2" t="str">
        <f ca="1">IFERROR(__xludf.DUMMYFUNCTION("""COMPUTED_VALUE"""),"")</f>
        <v/>
      </c>
      <c r="AO313" s="2" t="str">
        <f ca="1">IFERROR(__xludf.DUMMYFUNCTION("""COMPUTED_VALUE"""),"")</f>
        <v/>
      </c>
      <c r="AP313" s="2" t="str">
        <f ca="1">IFERROR(__xludf.DUMMYFUNCTION("""COMPUTED_VALUE"""),"")</f>
        <v/>
      </c>
      <c r="AQ313" s="2" t="str">
        <f ca="1">IFERROR(__xludf.DUMMYFUNCTION("""COMPUTED_VALUE"""),"")</f>
        <v/>
      </c>
      <c r="AR313" s="2" t="str">
        <f ca="1">IFERROR(__xludf.DUMMYFUNCTION("""COMPUTED_VALUE"""),"")</f>
        <v/>
      </c>
      <c r="AS313" s="2" t="str">
        <f ca="1">IFERROR(__xludf.DUMMYFUNCTION("""COMPUTED_VALUE"""),"")</f>
        <v/>
      </c>
      <c r="AT313" s="2" t="str">
        <f ca="1">IFERROR(__xludf.DUMMYFUNCTION("""COMPUTED_VALUE"""),"")</f>
        <v/>
      </c>
      <c r="AU313" s="2" t="str">
        <f ca="1">IFERROR(__xludf.DUMMYFUNCTION("""COMPUTED_VALUE"""),"")</f>
        <v/>
      </c>
      <c r="AV313" s="2" t="str">
        <f ca="1">IFERROR(__xludf.DUMMYFUNCTION("""COMPUTED_VALUE"""),"")</f>
        <v/>
      </c>
      <c r="AW313" s="2" t="str">
        <f ca="1">IFERROR(__xludf.DUMMYFUNCTION("""COMPUTED_VALUE"""),"")</f>
        <v/>
      </c>
      <c r="AX313" s="2" t="str">
        <f ca="1">IFERROR(__xludf.DUMMYFUNCTION("""COMPUTED_VALUE"""),"")</f>
        <v/>
      </c>
      <c r="AY313" s="2" t="str">
        <f ca="1">IFERROR(__xludf.DUMMYFUNCTION("""COMPUTED_VALUE"""),"")</f>
        <v/>
      </c>
      <c r="AZ313" s="2" t="str">
        <f ca="1">IFERROR(__xludf.DUMMYFUNCTION("""COMPUTED_VALUE"""),"")</f>
        <v/>
      </c>
      <c r="BA313" s="2" t="str">
        <f ca="1">IFERROR(__xludf.DUMMYFUNCTION("""COMPUTED_VALUE"""),"")</f>
        <v/>
      </c>
      <c r="BB313" s="2" t="str">
        <f ca="1">IFERROR(__xludf.DUMMYFUNCTION("""COMPUTED_VALUE"""),"")</f>
        <v/>
      </c>
      <c r="BC313" s="2" t="str">
        <f ca="1">IFERROR(__xludf.DUMMYFUNCTION("""COMPUTED_VALUE"""),"")</f>
        <v/>
      </c>
      <c r="BD313" s="2" t="str">
        <f ca="1">IFERROR(__xludf.DUMMYFUNCTION("""COMPUTED_VALUE"""),"")</f>
        <v/>
      </c>
      <c r="BE313" s="2" t="str">
        <f ca="1">IFERROR(__xludf.DUMMYFUNCTION("""COMPUTED_VALUE"""),"")</f>
        <v/>
      </c>
      <c r="BF313" t="str">
        <f ca="1">IFERROR(__xludf.DUMMYFUNCTION("""COMPUTED_VALUE"""),"")</f>
        <v/>
      </c>
      <c r="BG313" t="str">
        <f ca="1">IFERROR(__xludf.DUMMYFUNCTION("""COMPUTED_VALUE"""),"")</f>
        <v/>
      </c>
      <c r="BH313" s="2">
        <f ca="1">IFERROR(__xludf.DUMMYFUNCTION("""COMPUTED_VALUE"""),-37.2883835)</f>
        <v>-37.288383500000002</v>
      </c>
      <c r="BI313" s="12">
        <f ca="1">IFERROR(__xludf.DUMMYFUNCTION("""COMPUTED_VALUE"""),175.140213)</f>
        <v>175.14021299999999</v>
      </c>
      <c r="BJ313" s="9">
        <f ca="1">IFERROR(__xludf.DUMMYFUNCTION("""COMPUTED_VALUE"""),43416)</f>
        <v>43416</v>
      </c>
      <c r="BK313" s="4">
        <f ca="1">IFERROR(__xludf.DUMMYFUNCTION("""COMPUTED_VALUE"""),0.457777777777664)</f>
        <v>0.45777777777766399</v>
      </c>
    </row>
    <row r="314" spans="1:63" ht="12.5" x14ac:dyDescent="0.25">
      <c r="A314" s="7" t="str">
        <f ca="1">IFERROR(__xludf.DUMMYFUNCTION("""COMPUTED_VALUE"""),"")</f>
        <v/>
      </c>
      <c r="B314" s="8" t="str">
        <f ca="1">IFERROR(__xludf.DUMMYFUNCTION("""COMPUTED_VALUE"""),"Waikato")</f>
        <v>Waikato</v>
      </c>
      <c r="C314" s="2">
        <f ca="1">IFERROR(__xludf.DUMMYFUNCTION("""COMPUTED_VALUE"""),21)</f>
        <v>21</v>
      </c>
      <c r="D314" s="9" t="str">
        <f ca="1">IFERROR(__xludf.DUMMYFUNCTION("""COMPUTED_VALUE"""),"")</f>
        <v/>
      </c>
      <c r="E314" s="4" t="str">
        <f ca="1">IFERROR(__xludf.DUMMYFUNCTION("""COMPUTED_VALUE"""),"")</f>
        <v/>
      </c>
      <c r="F314" s="2" t="str">
        <f ca="1">IFERROR(__xludf.DUMMYFUNCTION("""COMPUTED_VALUE"""),"")</f>
        <v/>
      </c>
      <c r="G314" s="2" t="str">
        <f ca="1">IFERROR(__xludf.DUMMYFUNCTION("""COMPUTED_VALUE"""),"GPS: I converted data downloaded from ARGOS using Pinpoint software")</f>
        <v>GPS: I converted data downloaded from ARGOS using Pinpoint software</v>
      </c>
      <c r="H314" s="2" t="str">
        <f ca="1">IFERROR(__xludf.DUMMYFUNCTION("""COMPUTED_VALUE"""),"3D")</f>
        <v>3D</v>
      </c>
      <c r="I314" s="2" t="str">
        <f ca="1">IFERROR(__xludf.DUMMYFUNCTION("""COMPUTED_VALUE"""),"")</f>
        <v/>
      </c>
      <c r="J314" s="2" t="str">
        <f ca="1">IFERROR(__xludf.DUMMYFUNCTION("""COMPUTED_VALUE"""),"")</f>
        <v/>
      </c>
      <c r="K314" s="2" t="str">
        <f ca="1">IFERROR(__xludf.DUMMYFUNCTION("""COMPUTED_VALUE"""),"")</f>
        <v/>
      </c>
      <c r="L314" s="2" t="str">
        <f ca="1">IFERROR(__xludf.DUMMYFUNCTION("""COMPUTED_VALUE"""),"")</f>
        <v/>
      </c>
      <c r="M314" s="5" t="str">
        <f ca="1">IFERROR(__xludf.DUMMYFUNCTION("""COMPUTED_VALUE"""),"")</f>
        <v/>
      </c>
      <c r="N314" s="5" t="str">
        <f ca="1">IFERROR(__xludf.DUMMYFUNCTION("""COMPUTED_VALUE"""),"")</f>
        <v/>
      </c>
      <c r="O314" s="2" t="str">
        <f ca="1">IFERROR(__xludf.DUMMYFUNCTION("""COMPUTED_VALUE"""),"")</f>
        <v/>
      </c>
      <c r="P314" s="2" t="str">
        <f ca="1">IFERROR(__xludf.DUMMYFUNCTION("""COMPUTED_VALUE"""),"")</f>
        <v/>
      </c>
      <c r="Q314" s="2" t="str">
        <f ca="1">IFERROR(__xludf.DUMMYFUNCTION("""COMPUTED_VALUE"""),"")</f>
        <v/>
      </c>
      <c r="R314" s="2" t="str">
        <f ca="1">IFERROR(__xludf.DUMMYFUNCTION("""COMPUTED_VALUE"""),"")</f>
        <v/>
      </c>
      <c r="S314" s="2" t="str">
        <f ca="1">IFERROR(__xludf.DUMMYFUNCTION("""COMPUTED_VALUE"""),"")</f>
        <v/>
      </c>
      <c r="T314" s="2" t="str">
        <f ca="1">IFERROR(__xludf.DUMMYFUNCTION("""COMPUTED_VALUE"""),"")</f>
        <v/>
      </c>
      <c r="U314" s="2" t="str">
        <f ca="1">IFERROR(__xludf.DUMMYFUNCTION("""COMPUTED_VALUE"""),"")</f>
        <v/>
      </c>
      <c r="V314" s="2" t="str">
        <f ca="1">IFERROR(__xludf.DUMMYFUNCTION("""COMPUTED_VALUE"""),"")</f>
        <v/>
      </c>
      <c r="W314" s="2" t="str">
        <f ca="1">IFERROR(__xludf.DUMMYFUNCTION("""COMPUTED_VALUE"""),"")</f>
        <v/>
      </c>
      <c r="X314" s="2" t="str">
        <f ca="1">IFERROR(__xludf.DUMMYFUNCTION("""COMPUTED_VALUE"""),"")</f>
        <v/>
      </c>
      <c r="Y314" s="2" t="str">
        <f ca="1">IFERROR(__xludf.DUMMYFUNCTION("""COMPUTED_VALUE"""),"")</f>
        <v/>
      </c>
      <c r="Z314" s="2" t="str">
        <f ca="1">IFERROR(__xludf.DUMMYFUNCTION("""COMPUTED_VALUE"""),"")</f>
        <v/>
      </c>
      <c r="AA314" s="2" t="str">
        <f ca="1">IFERROR(__xludf.DUMMYFUNCTION("""COMPUTED_VALUE"""),"")</f>
        <v/>
      </c>
      <c r="AB314" s="2" t="str">
        <f ca="1">IFERROR(__xludf.DUMMYFUNCTION("""COMPUTED_VALUE"""),"")</f>
        <v/>
      </c>
      <c r="AC314" s="2" t="str">
        <f ca="1">IFERROR(__xludf.DUMMYFUNCTION("""COMPUTED_VALUE"""),"")</f>
        <v/>
      </c>
      <c r="AD314" s="2" t="str">
        <f ca="1">IFERROR(__xludf.DUMMYFUNCTION("""COMPUTED_VALUE"""),"")</f>
        <v/>
      </c>
      <c r="AE314" s="2" t="str">
        <f ca="1">IFERROR(__xludf.DUMMYFUNCTION("""COMPUTED_VALUE"""),"")</f>
        <v/>
      </c>
      <c r="AF314" s="2" t="str">
        <f ca="1">IFERROR(__xludf.DUMMYFUNCTION("""COMPUTED_VALUE"""),"")</f>
        <v/>
      </c>
      <c r="AG314" s="2" t="str">
        <f ca="1">IFERROR(__xludf.DUMMYFUNCTION("""COMPUTED_VALUE"""),"")</f>
        <v/>
      </c>
      <c r="AH314" s="2" t="str">
        <f ca="1">IFERROR(__xludf.DUMMYFUNCTION("""COMPUTED_VALUE"""),"")</f>
        <v/>
      </c>
      <c r="AI314" s="2" t="str">
        <f ca="1">IFERROR(__xludf.DUMMYFUNCTION("""COMPUTED_VALUE"""),"")</f>
        <v/>
      </c>
      <c r="AJ314" s="2" t="str">
        <f ca="1">IFERROR(__xludf.DUMMYFUNCTION("""COMPUTED_VALUE"""),"")</f>
        <v/>
      </c>
      <c r="AK314" s="2" t="str">
        <f ca="1">IFERROR(__xludf.DUMMYFUNCTION("""COMPUTED_VALUE"""),"")</f>
        <v/>
      </c>
      <c r="AL314" s="2" t="str">
        <f ca="1">IFERROR(__xludf.DUMMYFUNCTION("""COMPUTED_VALUE"""),"")</f>
        <v/>
      </c>
      <c r="AM314" s="2" t="str">
        <f ca="1">IFERROR(__xludf.DUMMYFUNCTION("""COMPUTED_VALUE"""),"")</f>
        <v/>
      </c>
      <c r="AN314" s="2" t="str">
        <f ca="1">IFERROR(__xludf.DUMMYFUNCTION("""COMPUTED_VALUE"""),"")</f>
        <v/>
      </c>
      <c r="AO314" s="2" t="str">
        <f ca="1">IFERROR(__xludf.DUMMYFUNCTION("""COMPUTED_VALUE"""),"")</f>
        <v/>
      </c>
      <c r="AP314" s="2" t="str">
        <f ca="1">IFERROR(__xludf.DUMMYFUNCTION("""COMPUTED_VALUE"""),"")</f>
        <v/>
      </c>
      <c r="AQ314" s="2" t="str">
        <f ca="1">IFERROR(__xludf.DUMMYFUNCTION("""COMPUTED_VALUE"""),"")</f>
        <v/>
      </c>
      <c r="AR314" s="2" t="str">
        <f ca="1">IFERROR(__xludf.DUMMYFUNCTION("""COMPUTED_VALUE"""),"")</f>
        <v/>
      </c>
      <c r="AS314" s="2" t="str">
        <f ca="1">IFERROR(__xludf.DUMMYFUNCTION("""COMPUTED_VALUE"""),"")</f>
        <v/>
      </c>
      <c r="AT314" s="2" t="str">
        <f ca="1">IFERROR(__xludf.DUMMYFUNCTION("""COMPUTED_VALUE"""),"")</f>
        <v/>
      </c>
      <c r="AU314" s="2" t="str">
        <f ca="1">IFERROR(__xludf.DUMMYFUNCTION("""COMPUTED_VALUE"""),"")</f>
        <v/>
      </c>
      <c r="AV314" s="2" t="str">
        <f ca="1">IFERROR(__xludf.DUMMYFUNCTION("""COMPUTED_VALUE"""),"")</f>
        <v/>
      </c>
      <c r="AW314" s="2" t="str">
        <f ca="1">IFERROR(__xludf.DUMMYFUNCTION("""COMPUTED_VALUE"""),"")</f>
        <v/>
      </c>
      <c r="AX314" s="2" t="str">
        <f ca="1">IFERROR(__xludf.DUMMYFUNCTION("""COMPUTED_VALUE"""),"")</f>
        <v/>
      </c>
      <c r="AY314" s="2" t="str">
        <f ca="1">IFERROR(__xludf.DUMMYFUNCTION("""COMPUTED_VALUE"""),"")</f>
        <v/>
      </c>
      <c r="AZ314" s="2" t="str">
        <f ca="1">IFERROR(__xludf.DUMMYFUNCTION("""COMPUTED_VALUE"""),"")</f>
        <v/>
      </c>
      <c r="BA314" s="2" t="str">
        <f ca="1">IFERROR(__xludf.DUMMYFUNCTION("""COMPUTED_VALUE"""),"")</f>
        <v/>
      </c>
      <c r="BB314" s="2" t="str">
        <f ca="1">IFERROR(__xludf.DUMMYFUNCTION("""COMPUTED_VALUE"""),"")</f>
        <v/>
      </c>
      <c r="BC314" s="2" t="str">
        <f ca="1">IFERROR(__xludf.DUMMYFUNCTION("""COMPUTED_VALUE"""),"")</f>
        <v/>
      </c>
      <c r="BD314" s="2" t="str">
        <f ca="1">IFERROR(__xludf.DUMMYFUNCTION("""COMPUTED_VALUE"""),"")</f>
        <v/>
      </c>
      <c r="BE314" s="2" t="str">
        <f ca="1">IFERROR(__xludf.DUMMYFUNCTION("""COMPUTED_VALUE"""),"")</f>
        <v/>
      </c>
      <c r="BF314" t="str">
        <f ca="1">IFERROR(__xludf.DUMMYFUNCTION("""COMPUTED_VALUE"""),"")</f>
        <v/>
      </c>
      <c r="BG314" t="str">
        <f ca="1">IFERROR(__xludf.DUMMYFUNCTION("""COMPUTED_VALUE"""),"")</f>
        <v/>
      </c>
      <c r="BH314" s="2">
        <f ca="1">IFERROR(__xludf.DUMMYFUNCTION("""COMPUTED_VALUE"""),-37.2917366)</f>
        <v>-37.2917366</v>
      </c>
      <c r="BI314" s="13">
        <f ca="1">IFERROR(__xludf.DUMMYFUNCTION("""COMPUTED_VALUE"""),175.1115723)</f>
        <v>175.11157230000001</v>
      </c>
      <c r="BJ314" s="9">
        <f ca="1">IFERROR(__xludf.DUMMYFUNCTION("""COMPUTED_VALUE"""),43416)</f>
        <v>43416</v>
      </c>
      <c r="BK314" s="4">
        <f ca="1">IFERROR(__xludf.DUMMYFUNCTION("""COMPUTED_VALUE"""),0.958518518516939)</f>
        <v>0.95851851851693903</v>
      </c>
    </row>
    <row r="315" spans="1:63" ht="12.5" x14ac:dyDescent="0.25">
      <c r="A315" s="7" t="str">
        <f ca="1">IFERROR(__xludf.DUMMYFUNCTION("""COMPUTED_VALUE"""),"")</f>
        <v/>
      </c>
      <c r="B315" s="8" t="str">
        <f ca="1">IFERROR(__xludf.DUMMYFUNCTION("""COMPUTED_VALUE"""),"Waikato")</f>
        <v>Waikato</v>
      </c>
      <c r="C315" s="2">
        <f ca="1">IFERROR(__xludf.DUMMYFUNCTION("""COMPUTED_VALUE"""),21)</f>
        <v>21</v>
      </c>
      <c r="D315" s="9" t="str">
        <f ca="1">IFERROR(__xludf.DUMMYFUNCTION("""COMPUTED_VALUE"""),"")</f>
        <v/>
      </c>
      <c r="E315" s="4" t="str">
        <f ca="1">IFERROR(__xludf.DUMMYFUNCTION("""COMPUTED_VALUE"""),"")</f>
        <v/>
      </c>
      <c r="F315" s="2" t="str">
        <f ca="1">IFERROR(__xludf.DUMMYFUNCTION("""COMPUTED_VALUE"""),"")</f>
        <v/>
      </c>
      <c r="G315" s="2" t="str">
        <f ca="1">IFERROR(__xludf.DUMMYFUNCTION("""COMPUTED_VALUE"""),"GPS: I converted data downloaded from ARGOS using Pinpoint software")</f>
        <v>GPS: I converted data downloaded from ARGOS using Pinpoint software</v>
      </c>
      <c r="H315" s="2" t="str">
        <f ca="1">IFERROR(__xludf.DUMMYFUNCTION("""COMPUTED_VALUE"""),"3D")</f>
        <v>3D</v>
      </c>
      <c r="I315" s="2" t="str">
        <f ca="1">IFERROR(__xludf.DUMMYFUNCTION("""COMPUTED_VALUE"""),"")</f>
        <v/>
      </c>
      <c r="J315" s="2" t="str">
        <f ca="1">IFERROR(__xludf.DUMMYFUNCTION("""COMPUTED_VALUE"""),"")</f>
        <v/>
      </c>
      <c r="K315" s="2" t="str">
        <f ca="1">IFERROR(__xludf.DUMMYFUNCTION("""COMPUTED_VALUE"""),"")</f>
        <v/>
      </c>
      <c r="L315" s="2" t="str">
        <f ca="1">IFERROR(__xludf.DUMMYFUNCTION("""COMPUTED_VALUE"""),"")</f>
        <v/>
      </c>
      <c r="M315" s="5" t="str">
        <f ca="1">IFERROR(__xludf.DUMMYFUNCTION("""COMPUTED_VALUE"""),"")</f>
        <v/>
      </c>
      <c r="N315" s="5" t="str">
        <f ca="1">IFERROR(__xludf.DUMMYFUNCTION("""COMPUTED_VALUE"""),"")</f>
        <v/>
      </c>
      <c r="O315" s="2" t="str">
        <f ca="1">IFERROR(__xludf.DUMMYFUNCTION("""COMPUTED_VALUE"""),"")</f>
        <v/>
      </c>
      <c r="P315" s="2" t="str">
        <f ca="1">IFERROR(__xludf.DUMMYFUNCTION("""COMPUTED_VALUE"""),"")</f>
        <v/>
      </c>
      <c r="Q315" s="2" t="str">
        <f ca="1">IFERROR(__xludf.DUMMYFUNCTION("""COMPUTED_VALUE"""),"")</f>
        <v/>
      </c>
      <c r="R315" s="2" t="str">
        <f ca="1">IFERROR(__xludf.DUMMYFUNCTION("""COMPUTED_VALUE"""),"")</f>
        <v/>
      </c>
      <c r="S315" s="2" t="str">
        <f ca="1">IFERROR(__xludf.DUMMYFUNCTION("""COMPUTED_VALUE"""),"")</f>
        <v/>
      </c>
      <c r="T315" s="2" t="str">
        <f ca="1">IFERROR(__xludf.DUMMYFUNCTION("""COMPUTED_VALUE"""),"")</f>
        <v/>
      </c>
      <c r="U315" s="2" t="str">
        <f ca="1">IFERROR(__xludf.DUMMYFUNCTION("""COMPUTED_VALUE"""),"")</f>
        <v/>
      </c>
      <c r="V315" s="2" t="str">
        <f ca="1">IFERROR(__xludf.DUMMYFUNCTION("""COMPUTED_VALUE"""),"")</f>
        <v/>
      </c>
      <c r="W315" s="2" t="str">
        <f ca="1">IFERROR(__xludf.DUMMYFUNCTION("""COMPUTED_VALUE"""),"")</f>
        <v/>
      </c>
      <c r="X315" s="2" t="str">
        <f ca="1">IFERROR(__xludf.DUMMYFUNCTION("""COMPUTED_VALUE"""),"")</f>
        <v/>
      </c>
      <c r="Y315" s="2" t="str">
        <f ca="1">IFERROR(__xludf.DUMMYFUNCTION("""COMPUTED_VALUE"""),"")</f>
        <v/>
      </c>
      <c r="Z315" s="2" t="str">
        <f ca="1">IFERROR(__xludf.DUMMYFUNCTION("""COMPUTED_VALUE"""),"")</f>
        <v/>
      </c>
      <c r="AA315" s="2" t="str">
        <f ca="1">IFERROR(__xludf.DUMMYFUNCTION("""COMPUTED_VALUE"""),"")</f>
        <v/>
      </c>
      <c r="AB315" s="2" t="str">
        <f ca="1">IFERROR(__xludf.DUMMYFUNCTION("""COMPUTED_VALUE"""),"")</f>
        <v/>
      </c>
      <c r="AC315" s="2" t="str">
        <f ca="1">IFERROR(__xludf.DUMMYFUNCTION("""COMPUTED_VALUE"""),"")</f>
        <v/>
      </c>
      <c r="AD315" s="2" t="str">
        <f ca="1">IFERROR(__xludf.DUMMYFUNCTION("""COMPUTED_VALUE"""),"")</f>
        <v/>
      </c>
      <c r="AE315" s="2" t="str">
        <f ca="1">IFERROR(__xludf.DUMMYFUNCTION("""COMPUTED_VALUE"""),"")</f>
        <v/>
      </c>
      <c r="AF315" s="2" t="str">
        <f ca="1">IFERROR(__xludf.DUMMYFUNCTION("""COMPUTED_VALUE"""),"")</f>
        <v/>
      </c>
      <c r="AG315" s="2" t="str">
        <f ca="1">IFERROR(__xludf.DUMMYFUNCTION("""COMPUTED_VALUE"""),"")</f>
        <v/>
      </c>
      <c r="AH315" s="2" t="str">
        <f ca="1">IFERROR(__xludf.DUMMYFUNCTION("""COMPUTED_VALUE"""),"")</f>
        <v/>
      </c>
      <c r="AI315" s="2" t="str">
        <f ca="1">IFERROR(__xludf.DUMMYFUNCTION("""COMPUTED_VALUE"""),"")</f>
        <v/>
      </c>
      <c r="AJ315" s="2" t="str">
        <f ca="1">IFERROR(__xludf.DUMMYFUNCTION("""COMPUTED_VALUE"""),"")</f>
        <v/>
      </c>
      <c r="AK315" s="2" t="str">
        <f ca="1">IFERROR(__xludf.DUMMYFUNCTION("""COMPUTED_VALUE"""),"")</f>
        <v/>
      </c>
      <c r="AL315" s="2" t="str">
        <f ca="1">IFERROR(__xludf.DUMMYFUNCTION("""COMPUTED_VALUE"""),"")</f>
        <v/>
      </c>
      <c r="AM315" s="2" t="str">
        <f ca="1">IFERROR(__xludf.DUMMYFUNCTION("""COMPUTED_VALUE"""),"")</f>
        <v/>
      </c>
      <c r="AN315" s="2" t="str">
        <f ca="1">IFERROR(__xludf.DUMMYFUNCTION("""COMPUTED_VALUE"""),"")</f>
        <v/>
      </c>
      <c r="AO315" s="2" t="str">
        <f ca="1">IFERROR(__xludf.DUMMYFUNCTION("""COMPUTED_VALUE"""),"")</f>
        <v/>
      </c>
      <c r="AP315" s="2" t="str">
        <f ca="1">IFERROR(__xludf.DUMMYFUNCTION("""COMPUTED_VALUE"""),"")</f>
        <v/>
      </c>
      <c r="AQ315" s="2" t="str">
        <f ca="1">IFERROR(__xludf.DUMMYFUNCTION("""COMPUTED_VALUE"""),"")</f>
        <v/>
      </c>
      <c r="AR315" s="2" t="str">
        <f ca="1">IFERROR(__xludf.DUMMYFUNCTION("""COMPUTED_VALUE"""),"")</f>
        <v/>
      </c>
      <c r="AS315" s="2" t="str">
        <f ca="1">IFERROR(__xludf.DUMMYFUNCTION("""COMPUTED_VALUE"""),"")</f>
        <v/>
      </c>
      <c r="AT315" s="2" t="str">
        <f ca="1">IFERROR(__xludf.DUMMYFUNCTION("""COMPUTED_VALUE"""),"")</f>
        <v/>
      </c>
      <c r="AU315" s="2" t="str">
        <f ca="1">IFERROR(__xludf.DUMMYFUNCTION("""COMPUTED_VALUE"""),"")</f>
        <v/>
      </c>
      <c r="AV315" s="2" t="str">
        <f ca="1">IFERROR(__xludf.DUMMYFUNCTION("""COMPUTED_VALUE"""),"")</f>
        <v/>
      </c>
      <c r="AW315" s="2" t="str">
        <f ca="1">IFERROR(__xludf.DUMMYFUNCTION("""COMPUTED_VALUE"""),"")</f>
        <v/>
      </c>
      <c r="AX315" s="2" t="str">
        <f ca="1">IFERROR(__xludf.DUMMYFUNCTION("""COMPUTED_VALUE"""),"")</f>
        <v/>
      </c>
      <c r="AY315" s="2" t="str">
        <f ca="1">IFERROR(__xludf.DUMMYFUNCTION("""COMPUTED_VALUE"""),"")</f>
        <v/>
      </c>
      <c r="AZ315" s="2" t="str">
        <f ca="1">IFERROR(__xludf.DUMMYFUNCTION("""COMPUTED_VALUE"""),"")</f>
        <v/>
      </c>
      <c r="BA315" s="2" t="str">
        <f ca="1">IFERROR(__xludf.DUMMYFUNCTION("""COMPUTED_VALUE"""),"")</f>
        <v/>
      </c>
      <c r="BB315" s="2" t="str">
        <f ca="1">IFERROR(__xludf.DUMMYFUNCTION("""COMPUTED_VALUE"""),"")</f>
        <v/>
      </c>
      <c r="BC315" s="2" t="str">
        <f ca="1">IFERROR(__xludf.DUMMYFUNCTION("""COMPUTED_VALUE"""),"")</f>
        <v/>
      </c>
      <c r="BD315" s="2" t="str">
        <f ca="1">IFERROR(__xludf.DUMMYFUNCTION("""COMPUTED_VALUE"""),"")</f>
        <v/>
      </c>
      <c r="BE315" s="2" t="str">
        <f ca="1">IFERROR(__xludf.DUMMYFUNCTION("""COMPUTED_VALUE"""),"")</f>
        <v/>
      </c>
      <c r="BF315" t="str">
        <f ca="1">IFERROR(__xludf.DUMMYFUNCTION("""COMPUTED_VALUE"""),"")</f>
        <v/>
      </c>
      <c r="BG315" t="str">
        <f ca="1">IFERROR(__xludf.DUMMYFUNCTION("""COMPUTED_VALUE"""),"")</f>
        <v/>
      </c>
      <c r="BH315" s="2">
        <f ca="1">IFERROR(__xludf.DUMMYFUNCTION("""COMPUTED_VALUE"""),-37.2929649)</f>
        <v>-37.292964900000001</v>
      </c>
      <c r="BI315" s="12">
        <f ca="1">IFERROR(__xludf.DUMMYFUNCTION("""COMPUTED_VALUE"""),175.1128235)</f>
        <v>175.11282349999999</v>
      </c>
      <c r="BJ315" s="9">
        <f ca="1">IFERROR(__xludf.DUMMYFUNCTION("""COMPUTED_VALUE"""),43418)</f>
        <v>43418</v>
      </c>
      <c r="BK315" s="4">
        <f ca="1">IFERROR(__xludf.DUMMYFUNCTION("""COMPUTED_VALUE"""),0.457777777777664)</f>
        <v>0.45777777777766399</v>
      </c>
    </row>
    <row r="316" spans="1:63" ht="12.5" x14ac:dyDescent="0.25">
      <c r="A316" s="7" t="str">
        <f ca="1">IFERROR(__xludf.DUMMYFUNCTION("""COMPUTED_VALUE"""),"")</f>
        <v/>
      </c>
      <c r="B316" s="8" t="str">
        <f ca="1">IFERROR(__xludf.DUMMYFUNCTION("""COMPUTED_VALUE"""),"Waikato")</f>
        <v>Waikato</v>
      </c>
      <c r="C316" s="2">
        <f ca="1">IFERROR(__xludf.DUMMYFUNCTION("""COMPUTED_VALUE"""),21)</f>
        <v>21</v>
      </c>
      <c r="D316" s="9" t="str">
        <f ca="1">IFERROR(__xludf.DUMMYFUNCTION("""COMPUTED_VALUE"""),"")</f>
        <v/>
      </c>
      <c r="E316" s="4" t="str">
        <f ca="1">IFERROR(__xludf.DUMMYFUNCTION("""COMPUTED_VALUE"""),"")</f>
        <v/>
      </c>
      <c r="F316" s="2" t="str">
        <f ca="1">IFERROR(__xludf.DUMMYFUNCTION("""COMPUTED_VALUE"""),"")</f>
        <v/>
      </c>
      <c r="G316" s="2" t="str">
        <f ca="1">IFERROR(__xludf.DUMMYFUNCTION("""COMPUTED_VALUE"""),"GPS: I converted data downloaded from ARGOS using Pinpoint software")</f>
        <v>GPS: I converted data downloaded from ARGOS using Pinpoint software</v>
      </c>
      <c r="H316" s="2" t="str">
        <f ca="1">IFERROR(__xludf.DUMMYFUNCTION("""COMPUTED_VALUE"""),"3D")</f>
        <v>3D</v>
      </c>
      <c r="I316" s="2" t="str">
        <f ca="1">IFERROR(__xludf.DUMMYFUNCTION("""COMPUTED_VALUE"""),"")</f>
        <v/>
      </c>
      <c r="J316" s="2" t="str">
        <f ca="1">IFERROR(__xludf.DUMMYFUNCTION("""COMPUTED_VALUE"""),"")</f>
        <v/>
      </c>
      <c r="K316" s="2" t="str">
        <f ca="1">IFERROR(__xludf.DUMMYFUNCTION("""COMPUTED_VALUE"""),"")</f>
        <v/>
      </c>
      <c r="L316" s="2" t="str">
        <f ca="1">IFERROR(__xludf.DUMMYFUNCTION("""COMPUTED_VALUE"""),"")</f>
        <v/>
      </c>
      <c r="M316" s="5" t="str">
        <f ca="1">IFERROR(__xludf.DUMMYFUNCTION("""COMPUTED_VALUE"""),"")</f>
        <v/>
      </c>
      <c r="N316" s="5" t="str">
        <f ca="1">IFERROR(__xludf.DUMMYFUNCTION("""COMPUTED_VALUE"""),"")</f>
        <v/>
      </c>
      <c r="O316" s="2" t="str">
        <f ca="1">IFERROR(__xludf.DUMMYFUNCTION("""COMPUTED_VALUE"""),"")</f>
        <v/>
      </c>
      <c r="P316" s="2" t="str">
        <f ca="1">IFERROR(__xludf.DUMMYFUNCTION("""COMPUTED_VALUE"""),"")</f>
        <v/>
      </c>
      <c r="Q316" s="2" t="str">
        <f ca="1">IFERROR(__xludf.DUMMYFUNCTION("""COMPUTED_VALUE"""),"")</f>
        <v/>
      </c>
      <c r="R316" s="2" t="str">
        <f ca="1">IFERROR(__xludf.DUMMYFUNCTION("""COMPUTED_VALUE"""),"")</f>
        <v/>
      </c>
      <c r="S316" s="2" t="str">
        <f ca="1">IFERROR(__xludf.DUMMYFUNCTION("""COMPUTED_VALUE"""),"")</f>
        <v/>
      </c>
      <c r="T316" s="2" t="str">
        <f ca="1">IFERROR(__xludf.DUMMYFUNCTION("""COMPUTED_VALUE"""),"")</f>
        <v/>
      </c>
      <c r="U316" s="2" t="str">
        <f ca="1">IFERROR(__xludf.DUMMYFUNCTION("""COMPUTED_VALUE"""),"")</f>
        <v/>
      </c>
      <c r="V316" s="2" t="str">
        <f ca="1">IFERROR(__xludf.DUMMYFUNCTION("""COMPUTED_VALUE"""),"")</f>
        <v/>
      </c>
      <c r="W316" s="2" t="str">
        <f ca="1">IFERROR(__xludf.DUMMYFUNCTION("""COMPUTED_VALUE"""),"")</f>
        <v/>
      </c>
      <c r="X316" s="2" t="str">
        <f ca="1">IFERROR(__xludf.DUMMYFUNCTION("""COMPUTED_VALUE"""),"")</f>
        <v/>
      </c>
      <c r="Y316" s="2" t="str">
        <f ca="1">IFERROR(__xludf.DUMMYFUNCTION("""COMPUTED_VALUE"""),"")</f>
        <v/>
      </c>
      <c r="Z316" s="2" t="str">
        <f ca="1">IFERROR(__xludf.DUMMYFUNCTION("""COMPUTED_VALUE"""),"")</f>
        <v/>
      </c>
      <c r="AA316" s="2" t="str">
        <f ca="1">IFERROR(__xludf.DUMMYFUNCTION("""COMPUTED_VALUE"""),"")</f>
        <v/>
      </c>
      <c r="AB316" s="2" t="str">
        <f ca="1">IFERROR(__xludf.DUMMYFUNCTION("""COMPUTED_VALUE"""),"")</f>
        <v/>
      </c>
      <c r="AC316" s="2" t="str">
        <f ca="1">IFERROR(__xludf.DUMMYFUNCTION("""COMPUTED_VALUE"""),"")</f>
        <v/>
      </c>
      <c r="AD316" s="2" t="str">
        <f ca="1">IFERROR(__xludf.DUMMYFUNCTION("""COMPUTED_VALUE"""),"")</f>
        <v/>
      </c>
      <c r="AE316" s="2" t="str">
        <f ca="1">IFERROR(__xludf.DUMMYFUNCTION("""COMPUTED_VALUE"""),"")</f>
        <v/>
      </c>
      <c r="AF316" s="2" t="str">
        <f ca="1">IFERROR(__xludf.DUMMYFUNCTION("""COMPUTED_VALUE"""),"")</f>
        <v/>
      </c>
      <c r="AG316" s="2" t="str">
        <f ca="1">IFERROR(__xludf.DUMMYFUNCTION("""COMPUTED_VALUE"""),"")</f>
        <v/>
      </c>
      <c r="AH316" s="2" t="str">
        <f ca="1">IFERROR(__xludf.DUMMYFUNCTION("""COMPUTED_VALUE"""),"")</f>
        <v/>
      </c>
      <c r="AI316" s="2" t="str">
        <f ca="1">IFERROR(__xludf.DUMMYFUNCTION("""COMPUTED_VALUE"""),"")</f>
        <v/>
      </c>
      <c r="AJ316" s="2" t="str">
        <f ca="1">IFERROR(__xludf.DUMMYFUNCTION("""COMPUTED_VALUE"""),"")</f>
        <v/>
      </c>
      <c r="AK316" s="2" t="str">
        <f ca="1">IFERROR(__xludf.DUMMYFUNCTION("""COMPUTED_VALUE"""),"")</f>
        <v/>
      </c>
      <c r="AL316" s="2" t="str">
        <f ca="1">IFERROR(__xludf.DUMMYFUNCTION("""COMPUTED_VALUE"""),"")</f>
        <v/>
      </c>
      <c r="AM316" s="2" t="str">
        <f ca="1">IFERROR(__xludf.DUMMYFUNCTION("""COMPUTED_VALUE"""),"")</f>
        <v/>
      </c>
      <c r="AN316" s="2" t="str">
        <f ca="1">IFERROR(__xludf.DUMMYFUNCTION("""COMPUTED_VALUE"""),"")</f>
        <v/>
      </c>
      <c r="AO316" s="2" t="str">
        <f ca="1">IFERROR(__xludf.DUMMYFUNCTION("""COMPUTED_VALUE"""),"")</f>
        <v/>
      </c>
      <c r="AP316" s="2" t="str">
        <f ca="1">IFERROR(__xludf.DUMMYFUNCTION("""COMPUTED_VALUE"""),"")</f>
        <v/>
      </c>
      <c r="AQ316" s="2" t="str">
        <f ca="1">IFERROR(__xludf.DUMMYFUNCTION("""COMPUTED_VALUE"""),"")</f>
        <v/>
      </c>
      <c r="AR316" s="2" t="str">
        <f ca="1">IFERROR(__xludf.DUMMYFUNCTION("""COMPUTED_VALUE"""),"")</f>
        <v/>
      </c>
      <c r="AS316" s="2" t="str">
        <f ca="1">IFERROR(__xludf.DUMMYFUNCTION("""COMPUTED_VALUE"""),"")</f>
        <v/>
      </c>
      <c r="AT316" s="2" t="str">
        <f ca="1">IFERROR(__xludf.DUMMYFUNCTION("""COMPUTED_VALUE"""),"")</f>
        <v/>
      </c>
      <c r="AU316" s="2" t="str">
        <f ca="1">IFERROR(__xludf.DUMMYFUNCTION("""COMPUTED_VALUE"""),"")</f>
        <v/>
      </c>
      <c r="AV316" s="2" t="str">
        <f ca="1">IFERROR(__xludf.DUMMYFUNCTION("""COMPUTED_VALUE"""),"")</f>
        <v/>
      </c>
      <c r="AW316" s="2" t="str">
        <f ca="1">IFERROR(__xludf.DUMMYFUNCTION("""COMPUTED_VALUE"""),"")</f>
        <v/>
      </c>
      <c r="AX316" s="2" t="str">
        <f ca="1">IFERROR(__xludf.DUMMYFUNCTION("""COMPUTED_VALUE"""),"")</f>
        <v/>
      </c>
      <c r="AY316" s="2" t="str">
        <f ca="1">IFERROR(__xludf.DUMMYFUNCTION("""COMPUTED_VALUE"""),"")</f>
        <v/>
      </c>
      <c r="AZ316" s="2" t="str">
        <f ca="1">IFERROR(__xludf.DUMMYFUNCTION("""COMPUTED_VALUE"""),"")</f>
        <v/>
      </c>
      <c r="BA316" s="2" t="str">
        <f ca="1">IFERROR(__xludf.DUMMYFUNCTION("""COMPUTED_VALUE"""),"")</f>
        <v/>
      </c>
      <c r="BB316" s="2" t="str">
        <f ca="1">IFERROR(__xludf.DUMMYFUNCTION("""COMPUTED_VALUE"""),"")</f>
        <v/>
      </c>
      <c r="BC316" s="2" t="str">
        <f ca="1">IFERROR(__xludf.DUMMYFUNCTION("""COMPUTED_VALUE"""),"")</f>
        <v/>
      </c>
      <c r="BD316" s="2" t="str">
        <f ca="1">IFERROR(__xludf.DUMMYFUNCTION("""COMPUTED_VALUE"""),"")</f>
        <v/>
      </c>
      <c r="BE316" s="2" t="str">
        <f ca="1">IFERROR(__xludf.DUMMYFUNCTION("""COMPUTED_VALUE"""),"")</f>
        <v/>
      </c>
      <c r="BF316" t="str">
        <f ca="1">IFERROR(__xludf.DUMMYFUNCTION("""COMPUTED_VALUE"""),"")</f>
        <v/>
      </c>
      <c r="BG316" t="str">
        <f ca="1">IFERROR(__xludf.DUMMYFUNCTION("""COMPUTED_VALUE"""),"")</f>
        <v/>
      </c>
      <c r="BH316" s="2">
        <f ca="1">IFERROR(__xludf.DUMMYFUNCTION("""COMPUTED_VALUE"""),-37.2904053)</f>
        <v>-37.290405300000003</v>
      </c>
      <c r="BI316" s="13">
        <f ca="1">IFERROR(__xludf.DUMMYFUNCTION("""COMPUTED_VALUE"""),175.1107788)</f>
        <v>175.11077879999999</v>
      </c>
      <c r="BJ316" s="9">
        <f ca="1">IFERROR(__xludf.DUMMYFUNCTION("""COMPUTED_VALUE"""),43418)</f>
        <v>43418</v>
      </c>
      <c r="BK316" s="4">
        <f ca="1">IFERROR(__xludf.DUMMYFUNCTION("""COMPUTED_VALUE"""),0.958518518516939)</f>
        <v>0.95851851851693903</v>
      </c>
    </row>
    <row r="317" spans="1:63" ht="12.5" x14ac:dyDescent="0.25">
      <c r="A317" s="7" t="str">
        <f ca="1">IFERROR(__xludf.DUMMYFUNCTION("""COMPUTED_VALUE"""),"")</f>
        <v/>
      </c>
      <c r="B317" s="8" t="str">
        <f ca="1">IFERROR(__xludf.DUMMYFUNCTION("""COMPUTED_VALUE"""),"Waikato")</f>
        <v>Waikato</v>
      </c>
      <c r="C317" s="2">
        <f ca="1">IFERROR(__xludf.DUMMYFUNCTION("""COMPUTED_VALUE"""),21)</f>
        <v>21</v>
      </c>
      <c r="D317" s="9" t="str">
        <f ca="1">IFERROR(__xludf.DUMMYFUNCTION("""COMPUTED_VALUE"""),"")</f>
        <v/>
      </c>
      <c r="E317" s="4" t="str">
        <f ca="1">IFERROR(__xludf.DUMMYFUNCTION("""COMPUTED_VALUE"""),"")</f>
        <v/>
      </c>
      <c r="F317" s="2" t="str">
        <f ca="1">IFERROR(__xludf.DUMMYFUNCTION("""COMPUTED_VALUE"""),"")</f>
        <v/>
      </c>
      <c r="G317" s="2" t="str">
        <f ca="1">IFERROR(__xludf.DUMMYFUNCTION("""COMPUTED_VALUE"""),"GPS: I converted data downloaded from ARGOS using Pinpoint software")</f>
        <v>GPS: I converted data downloaded from ARGOS using Pinpoint software</v>
      </c>
      <c r="H317" s="2" t="str">
        <f ca="1">IFERROR(__xludf.DUMMYFUNCTION("""COMPUTED_VALUE"""),"3D")</f>
        <v>3D</v>
      </c>
      <c r="I317" s="2" t="str">
        <f ca="1">IFERROR(__xludf.DUMMYFUNCTION("""COMPUTED_VALUE"""),"")</f>
        <v/>
      </c>
      <c r="J317" s="2" t="str">
        <f ca="1">IFERROR(__xludf.DUMMYFUNCTION("""COMPUTED_VALUE"""),"")</f>
        <v/>
      </c>
      <c r="K317" s="2" t="str">
        <f ca="1">IFERROR(__xludf.DUMMYFUNCTION("""COMPUTED_VALUE"""),"")</f>
        <v/>
      </c>
      <c r="L317" s="2" t="str">
        <f ca="1">IFERROR(__xludf.DUMMYFUNCTION("""COMPUTED_VALUE"""),"")</f>
        <v/>
      </c>
      <c r="M317" s="5" t="str">
        <f ca="1">IFERROR(__xludf.DUMMYFUNCTION("""COMPUTED_VALUE"""),"")</f>
        <v/>
      </c>
      <c r="N317" s="5" t="str">
        <f ca="1">IFERROR(__xludf.DUMMYFUNCTION("""COMPUTED_VALUE"""),"")</f>
        <v/>
      </c>
      <c r="O317" s="2" t="str">
        <f ca="1">IFERROR(__xludf.DUMMYFUNCTION("""COMPUTED_VALUE"""),"")</f>
        <v/>
      </c>
      <c r="P317" s="2" t="str">
        <f ca="1">IFERROR(__xludf.DUMMYFUNCTION("""COMPUTED_VALUE"""),"")</f>
        <v/>
      </c>
      <c r="Q317" s="2" t="str">
        <f ca="1">IFERROR(__xludf.DUMMYFUNCTION("""COMPUTED_VALUE"""),"")</f>
        <v/>
      </c>
      <c r="R317" s="2" t="str">
        <f ca="1">IFERROR(__xludf.DUMMYFUNCTION("""COMPUTED_VALUE"""),"")</f>
        <v/>
      </c>
      <c r="S317" s="2" t="str">
        <f ca="1">IFERROR(__xludf.DUMMYFUNCTION("""COMPUTED_VALUE"""),"")</f>
        <v/>
      </c>
      <c r="T317" s="2" t="str">
        <f ca="1">IFERROR(__xludf.DUMMYFUNCTION("""COMPUTED_VALUE"""),"")</f>
        <v/>
      </c>
      <c r="U317" s="2" t="str">
        <f ca="1">IFERROR(__xludf.DUMMYFUNCTION("""COMPUTED_VALUE"""),"")</f>
        <v/>
      </c>
      <c r="V317" s="2" t="str">
        <f ca="1">IFERROR(__xludf.DUMMYFUNCTION("""COMPUTED_VALUE"""),"")</f>
        <v/>
      </c>
      <c r="W317" s="2" t="str">
        <f ca="1">IFERROR(__xludf.DUMMYFUNCTION("""COMPUTED_VALUE"""),"")</f>
        <v/>
      </c>
      <c r="X317" s="2" t="str">
        <f ca="1">IFERROR(__xludf.DUMMYFUNCTION("""COMPUTED_VALUE"""),"")</f>
        <v/>
      </c>
      <c r="Y317" s="2" t="str">
        <f ca="1">IFERROR(__xludf.DUMMYFUNCTION("""COMPUTED_VALUE"""),"")</f>
        <v/>
      </c>
      <c r="Z317" s="2" t="str">
        <f ca="1">IFERROR(__xludf.DUMMYFUNCTION("""COMPUTED_VALUE"""),"")</f>
        <v/>
      </c>
      <c r="AA317" s="2" t="str">
        <f ca="1">IFERROR(__xludf.DUMMYFUNCTION("""COMPUTED_VALUE"""),"")</f>
        <v/>
      </c>
      <c r="AB317" s="2" t="str">
        <f ca="1">IFERROR(__xludf.DUMMYFUNCTION("""COMPUTED_VALUE"""),"")</f>
        <v/>
      </c>
      <c r="AC317" s="2" t="str">
        <f ca="1">IFERROR(__xludf.DUMMYFUNCTION("""COMPUTED_VALUE"""),"")</f>
        <v/>
      </c>
      <c r="AD317" s="2" t="str">
        <f ca="1">IFERROR(__xludf.DUMMYFUNCTION("""COMPUTED_VALUE"""),"")</f>
        <v/>
      </c>
      <c r="AE317" s="2" t="str">
        <f ca="1">IFERROR(__xludf.DUMMYFUNCTION("""COMPUTED_VALUE"""),"")</f>
        <v/>
      </c>
      <c r="AF317" s="2" t="str">
        <f ca="1">IFERROR(__xludf.DUMMYFUNCTION("""COMPUTED_VALUE"""),"")</f>
        <v/>
      </c>
      <c r="AG317" s="2" t="str">
        <f ca="1">IFERROR(__xludf.DUMMYFUNCTION("""COMPUTED_VALUE"""),"")</f>
        <v/>
      </c>
      <c r="AH317" s="2" t="str">
        <f ca="1">IFERROR(__xludf.DUMMYFUNCTION("""COMPUTED_VALUE"""),"")</f>
        <v/>
      </c>
      <c r="AI317" s="2" t="str">
        <f ca="1">IFERROR(__xludf.DUMMYFUNCTION("""COMPUTED_VALUE"""),"")</f>
        <v/>
      </c>
      <c r="AJ317" s="2" t="str">
        <f ca="1">IFERROR(__xludf.DUMMYFUNCTION("""COMPUTED_VALUE"""),"")</f>
        <v/>
      </c>
      <c r="AK317" s="2" t="str">
        <f ca="1">IFERROR(__xludf.DUMMYFUNCTION("""COMPUTED_VALUE"""),"")</f>
        <v/>
      </c>
      <c r="AL317" s="2" t="str">
        <f ca="1">IFERROR(__xludf.DUMMYFUNCTION("""COMPUTED_VALUE"""),"")</f>
        <v/>
      </c>
      <c r="AM317" s="2" t="str">
        <f ca="1">IFERROR(__xludf.DUMMYFUNCTION("""COMPUTED_VALUE"""),"")</f>
        <v/>
      </c>
      <c r="AN317" s="2" t="str">
        <f ca="1">IFERROR(__xludf.DUMMYFUNCTION("""COMPUTED_VALUE"""),"")</f>
        <v/>
      </c>
      <c r="AO317" s="2" t="str">
        <f ca="1">IFERROR(__xludf.DUMMYFUNCTION("""COMPUTED_VALUE"""),"")</f>
        <v/>
      </c>
      <c r="AP317" s="2" t="str">
        <f ca="1">IFERROR(__xludf.DUMMYFUNCTION("""COMPUTED_VALUE"""),"")</f>
        <v/>
      </c>
      <c r="AQ317" s="2" t="str">
        <f ca="1">IFERROR(__xludf.DUMMYFUNCTION("""COMPUTED_VALUE"""),"")</f>
        <v/>
      </c>
      <c r="AR317" s="2" t="str">
        <f ca="1">IFERROR(__xludf.DUMMYFUNCTION("""COMPUTED_VALUE"""),"")</f>
        <v/>
      </c>
      <c r="AS317" s="2" t="str">
        <f ca="1">IFERROR(__xludf.DUMMYFUNCTION("""COMPUTED_VALUE"""),"")</f>
        <v/>
      </c>
      <c r="AT317" s="2" t="str">
        <f ca="1">IFERROR(__xludf.DUMMYFUNCTION("""COMPUTED_VALUE"""),"")</f>
        <v/>
      </c>
      <c r="AU317" s="2" t="str">
        <f ca="1">IFERROR(__xludf.DUMMYFUNCTION("""COMPUTED_VALUE"""),"")</f>
        <v/>
      </c>
      <c r="AV317" s="2" t="str">
        <f ca="1">IFERROR(__xludf.DUMMYFUNCTION("""COMPUTED_VALUE"""),"")</f>
        <v/>
      </c>
      <c r="AW317" s="2" t="str">
        <f ca="1">IFERROR(__xludf.DUMMYFUNCTION("""COMPUTED_VALUE"""),"")</f>
        <v/>
      </c>
      <c r="AX317" s="2" t="str">
        <f ca="1">IFERROR(__xludf.DUMMYFUNCTION("""COMPUTED_VALUE"""),"")</f>
        <v/>
      </c>
      <c r="AY317" s="2" t="str">
        <f ca="1">IFERROR(__xludf.DUMMYFUNCTION("""COMPUTED_VALUE"""),"")</f>
        <v/>
      </c>
      <c r="AZ317" s="2" t="str">
        <f ca="1">IFERROR(__xludf.DUMMYFUNCTION("""COMPUTED_VALUE"""),"")</f>
        <v/>
      </c>
      <c r="BA317" s="2" t="str">
        <f ca="1">IFERROR(__xludf.DUMMYFUNCTION("""COMPUTED_VALUE"""),"")</f>
        <v/>
      </c>
      <c r="BB317" s="2" t="str">
        <f ca="1">IFERROR(__xludf.DUMMYFUNCTION("""COMPUTED_VALUE"""),"")</f>
        <v/>
      </c>
      <c r="BC317" s="2" t="str">
        <f ca="1">IFERROR(__xludf.DUMMYFUNCTION("""COMPUTED_VALUE"""),"")</f>
        <v/>
      </c>
      <c r="BD317" s="2" t="str">
        <f ca="1">IFERROR(__xludf.DUMMYFUNCTION("""COMPUTED_VALUE"""),"")</f>
        <v/>
      </c>
      <c r="BE317" s="2" t="str">
        <f ca="1">IFERROR(__xludf.DUMMYFUNCTION("""COMPUTED_VALUE"""),"")</f>
        <v/>
      </c>
      <c r="BF317" t="str">
        <f ca="1">IFERROR(__xludf.DUMMYFUNCTION("""COMPUTED_VALUE"""),"")</f>
        <v/>
      </c>
      <c r="BG317" t="str">
        <f ca="1">IFERROR(__xludf.DUMMYFUNCTION("""COMPUTED_VALUE"""),"")</f>
        <v/>
      </c>
      <c r="BH317" s="2">
        <f ca="1">IFERROR(__xludf.DUMMYFUNCTION("""COMPUTED_VALUE"""),-37.3098106)</f>
        <v>-37.309810599999999</v>
      </c>
      <c r="BI317" s="12">
        <f ca="1">IFERROR(__xludf.DUMMYFUNCTION("""COMPUTED_VALUE"""),174.7818604)</f>
        <v>174.7818604</v>
      </c>
      <c r="BJ317" s="9">
        <f ca="1">IFERROR(__xludf.DUMMYFUNCTION("""COMPUTED_VALUE"""),43420)</f>
        <v>43420</v>
      </c>
      <c r="BK317" s="4">
        <f ca="1">IFERROR(__xludf.DUMMYFUNCTION("""COMPUTED_VALUE"""),0.457777777777664)</f>
        <v>0.45777777777766399</v>
      </c>
    </row>
    <row r="318" spans="1:63" ht="12.5" x14ac:dyDescent="0.25">
      <c r="A318" s="7" t="str">
        <f ca="1">IFERROR(__xludf.DUMMYFUNCTION("""COMPUTED_VALUE"""),"")</f>
        <v/>
      </c>
      <c r="B318" s="8" t="str">
        <f ca="1">IFERROR(__xludf.DUMMYFUNCTION("""COMPUTED_VALUE"""),"Waikato")</f>
        <v>Waikato</v>
      </c>
      <c r="C318" s="2">
        <f ca="1">IFERROR(__xludf.DUMMYFUNCTION("""COMPUTED_VALUE"""),21)</f>
        <v>21</v>
      </c>
      <c r="D318" s="9" t="str">
        <f ca="1">IFERROR(__xludf.DUMMYFUNCTION("""COMPUTED_VALUE"""),"")</f>
        <v/>
      </c>
      <c r="E318" s="4" t="str">
        <f ca="1">IFERROR(__xludf.DUMMYFUNCTION("""COMPUTED_VALUE"""),"")</f>
        <v/>
      </c>
      <c r="F318" s="2" t="str">
        <f ca="1">IFERROR(__xludf.DUMMYFUNCTION("""COMPUTED_VALUE"""),"")</f>
        <v/>
      </c>
      <c r="G318" s="2" t="str">
        <f ca="1">IFERROR(__xludf.DUMMYFUNCTION("""COMPUTED_VALUE"""),"GPS: I converted data downloaded from ARGOS using Pinpoint software")</f>
        <v>GPS: I converted data downloaded from ARGOS using Pinpoint software</v>
      </c>
      <c r="H318" s="2" t="str">
        <f ca="1">IFERROR(__xludf.DUMMYFUNCTION("""COMPUTED_VALUE"""),"3D")</f>
        <v>3D</v>
      </c>
      <c r="I318" s="2" t="str">
        <f ca="1">IFERROR(__xludf.DUMMYFUNCTION("""COMPUTED_VALUE"""),"")</f>
        <v/>
      </c>
      <c r="J318" s="2" t="str">
        <f ca="1">IFERROR(__xludf.DUMMYFUNCTION("""COMPUTED_VALUE"""),"")</f>
        <v/>
      </c>
      <c r="K318" s="2" t="str">
        <f ca="1">IFERROR(__xludf.DUMMYFUNCTION("""COMPUTED_VALUE"""),"")</f>
        <v/>
      </c>
      <c r="L318" s="2" t="str">
        <f ca="1">IFERROR(__xludf.DUMMYFUNCTION("""COMPUTED_VALUE"""),"")</f>
        <v/>
      </c>
      <c r="M318" s="5" t="str">
        <f ca="1">IFERROR(__xludf.DUMMYFUNCTION("""COMPUTED_VALUE"""),"")</f>
        <v/>
      </c>
      <c r="N318" s="5" t="str">
        <f ca="1">IFERROR(__xludf.DUMMYFUNCTION("""COMPUTED_VALUE"""),"")</f>
        <v/>
      </c>
      <c r="O318" s="2" t="str">
        <f ca="1">IFERROR(__xludf.DUMMYFUNCTION("""COMPUTED_VALUE"""),"")</f>
        <v/>
      </c>
      <c r="P318" s="2" t="str">
        <f ca="1">IFERROR(__xludf.DUMMYFUNCTION("""COMPUTED_VALUE"""),"")</f>
        <v/>
      </c>
      <c r="Q318" s="2" t="str">
        <f ca="1">IFERROR(__xludf.DUMMYFUNCTION("""COMPUTED_VALUE"""),"")</f>
        <v/>
      </c>
      <c r="R318" s="2" t="str">
        <f ca="1">IFERROR(__xludf.DUMMYFUNCTION("""COMPUTED_VALUE"""),"")</f>
        <v/>
      </c>
      <c r="S318" s="2" t="str">
        <f ca="1">IFERROR(__xludf.DUMMYFUNCTION("""COMPUTED_VALUE"""),"")</f>
        <v/>
      </c>
      <c r="T318" s="2" t="str">
        <f ca="1">IFERROR(__xludf.DUMMYFUNCTION("""COMPUTED_VALUE"""),"")</f>
        <v/>
      </c>
      <c r="U318" s="2" t="str">
        <f ca="1">IFERROR(__xludf.DUMMYFUNCTION("""COMPUTED_VALUE"""),"")</f>
        <v/>
      </c>
      <c r="V318" s="2" t="str">
        <f ca="1">IFERROR(__xludf.DUMMYFUNCTION("""COMPUTED_VALUE"""),"")</f>
        <v/>
      </c>
      <c r="W318" s="2" t="str">
        <f ca="1">IFERROR(__xludf.DUMMYFUNCTION("""COMPUTED_VALUE"""),"")</f>
        <v/>
      </c>
      <c r="X318" s="2" t="str">
        <f ca="1">IFERROR(__xludf.DUMMYFUNCTION("""COMPUTED_VALUE"""),"")</f>
        <v/>
      </c>
      <c r="Y318" s="2" t="str">
        <f ca="1">IFERROR(__xludf.DUMMYFUNCTION("""COMPUTED_VALUE"""),"")</f>
        <v/>
      </c>
      <c r="Z318" s="2" t="str">
        <f ca="1">IFERROR(__xludf.DUMMYFUNCTION("""COMPUTED_VALUE"""),"")</f>
        <v/>
      </c>
      <c r="AA318" s="2" t="str">
        <f ca="1">IFERROR(__xludf.DUMMYFUNCTION("""COMPUTED_VALUE"""),"")</f>
        <v/>
      </c>
      <c r="AB318" s="2" t="str">
        <f ca="1">IFERROR(__xludf.DUMMYFUNCTION("""COMPUTED_VALUE"""),"")</f>
        <v/>
      </c>
      <c r="AC318" s="2" t="str">
        <f ca="1">IFERROR(__xludf.DUMMYFUNCTION("""COMPUTED_VALUE"""),"")</f>
        <v/>
      </c>
      <c r="AD318" s="2" t="str">
        <f ca="1">IFERROR(__xludf.DUMMYFUNCTION("""COMPUTED_VALUE"""),"")</f>
        <v/>
      </c>
      <c r="AE318" s="2" t="str">
        <f ca="1">IFERROR(__xludf.DUMMYFUNCTION("""COMPUTED_VALUE"""),"")</f>
        <v/>
      </c>
      <c r="AF318" s="2" t="str">
        <f ca="1">IFERROR(__xludf.DUMMYFUNCTION("""COMPUTED_VALUE"""),"")</f>
        <v/>
      </c>
      <c r="AG318" s="2" t="str">
        <f ca="1">IFERROR(__xludf.DUMMYFUNCTION("""COMPUTED_VALUE"""),"")</f>
        <v/>
      </c>
      <c r="AH318" s="2" t="str">
        <f ca="1">IFERROR(__xludf.DUMMYFUNCTION("""COMPUTED_VALUE"""),"")</f>
        <v/>
      </c>
      <c r="AI318" s="2" t="str">
        <f ca="1">IFERROR(__xludf.DUMMYFUNCTION("""COMPUTED_VALUE"""),"")</f>
        <v/>
      </c>
      <c r="AJ318" s="2" t="str">
        <f ca="1">IFERROR(__xludf.DUMMYFUNCTION("""COMPUTED_VALUE"""),"")</f>
        <v/>
      </c>
      <c r="AK318" s="2" t="str">
        <f ca="1">IFERROR(__xludf.DUMMYFUNCTION("""COMPUTED_VALUE"""),"")</f>
        <v/>
      </c>
      <c r="AL318" s="2" t="str">
        <f ca="1">IFERROR(__xludf.DUMMYFUNCTION("""COMPUTED_VALUE"""),"")</f>
        <v/>
      </c>
      <c r="AM318" s="2" t="str">
        <f ca="1">IFERROR(__xludf.DUMMYFUNCTION("""COMPUTED_VALUE"""),"")</f>
        <v/>
      </c>
      <c r="AN318" s="2" t="str">
        <f ca="1">IFERROR(__xludf.DUMMYFUNCTION("""COMPUTED_VALUE"""),"")</f>
        <v/>
      </c>
      <c r="AO318" s="2" t="str">
        <f ca="1">IFERROR(__xludf.DUMMYFUNCTION("""COMPUTED_VALUE"""),"")</f>
        <v/>
      </c>
      <c r="AP318" s="2" t="str">
        <f ca="1">IFERROR(__xludf.DUMMYFUNCTION("""COMPUTED_VALUE"""),"")</f>
        <v/>
      </c>
      <c r="AQ318" s="2" t="str">
        <f ca="1">IFERROR(__xludf.DUMMYFUNCTION("""COMPUTED_VALUE"""),"")</f>
        <v/>
      </c>
      <c r="AR318" s="2" t="str">
        <f ca="1">IFERROR(__xludf.DUMMYFUNCTION("""COMPUTED_VALUE"""),"")</f>
        <v/>
      </c>
      <c r="AS318" s="2" t="str">
        <f ca="1">IFERROR(__xludf.DUMMYFUNCTION("""COMPUTED_VALUE"""),"")</f>
        <v/>
      </c>
      <c r="AT318" s="2" t="str">
        <f ca="1">IFERROR(__xludf.DUMMYFUNCTION("""COMPUTED_VALUE"""),"")</f>
        <v/>
      </c>
      <c r="AU318" s="2" t="str">
        <f ca="1">IFERROR(__xludf.DUMMYFUNCTION("""COMPUTED_VALUE"""),"")</f>
        <v/>
      </c>
      <c r="AV318" s="2" t="str">
        <f ca="1">IFERROR(__xludf.DUMMYFUNCTION("""COMPUTED_VALUE"""),"")</f>
        <v/>
      </c>
      <c r="AW318" s="2" t="str">
        <f ca="1">IFERROR(__xludf.DUMMYFUNCTION("""COMPUTED_VALUE"""),"")</f>
        <v/>
      </c>
      <c r="AX318" s="2" t="str">
        <f ca="1">IFERROR(__xludf.DUMMYFUNCTION("""COMPUTED_VALUE"""),"")</f>
        <v/>
      </c>
      <c r="AY318" s="2" t="str">
        <f ca="1">IFERROR(__xludf.DUMMYFUNCTION("""COMPUTED_VALUE"""),"")</f>
        <v/>
      </c>
      <c r="AZ318" s="2" t="str">
        <f ca="1">IFERROR(__xludf.DUMMYFUNCTION("""COMPUTED_VALUE"""),"")</f>
        <v/>
      </c>
      <c r="BA318" s="2" t="str">
        <f ca="1">IFERROR(__xludf.DUMMYFUNCTION("""COMPUTED_VALUE"""),"")</f>
        <v/>
      </c>
      <c r="BB318" s="2" t="str">
        <f ca="1">IFERROR(__xludf.DUMMYFUNCTION("""COMPUTED_VALUE"""),"")</f>
        <v/>
      </c>
      <c r="BC318" s="2" t="str">
        <f ca="1">IFERROR(__xludf.DUMMYFUNCTION("""COMPUTED_VALUE"""),"")</f>
        <v/>
      </c>
      <c r="BD318" s="2" t="str">
        <f ca="1">IFERROR(__xludf.DUMMYFUNCTION("""COMPUTED_VALUE"""),"")</f>
        <v/>
      </c>
      <c r="BE318" s="2" t="str">
        <f ca="1">IFERROR(__xludf.DUMMYFUNCTION("""COMPUTED_VALUE"""),"")</f>
        <v/>
      </c>
      <c r="BF318" t="str">
        <f ca="1">IFERROR(__xludf.DUMMYFUNCTION("""COMPUTED_VALUE"""),"")</f>
        <v/>
      </c>
      <c r="BG318" t="str">
        <f ca="1">IFERROR(__xludf.DUMMYFUNCTION("""COMPUTED_VALUE"""),"")</f>
        <v/>
      </c>
      <c r="BH318" s="2">
        <f ca="1">IFERROR(__xludf.DUMMYFUNCTION("""COMPUTED_VALUE"""),-37.3102722)</f>
        <v>-37.3102722</v>
      </c>
      <c r="BI318" s="13">
        <f ca="1">IFERROR(__xludf.DUMMYFUNCTION("""COMPUTED_VALUE"""),174.7862091)</f>
        <v>174.78620910000001</v>
      </c>
      <c r="BJ318" s="9">
        <f ca="1">IFERROR(__xludf.DUMMYFUNCTION("""COMPUTED_VALUE"""),43420)</f>
        <v>43420</v>
      </c>
      <c r="BK318" s="4">
        <f ca="1">IFERROR(__xludf.DUMMYFUNCTION("""COMPUTED_VALUE"""),0.875555555554456)</f>
        <v>0.87555555555445597</v>
      </c>
    </row>
    <row r="319" spans="1:63" ht="12.5" x14ac:dyDescent="0.25">
      <c r="A319" s="7" t="str">
        <f ca="1">IFERROR(__xludf.DUMMYFUNCTION("""COMPUTED_VALUE"""),"")</f>
        <v/>
      </c>
      <c r="B319" s="8" t="str">
        <f ca="1">IFERROR(__xludf.DUMMYFUNCTION("""COMPUTED_VALUE"""),"Waikato")</f>
        <v>Waikato</v>
      </c>
      <c r="C319" s="2">
        <f ca="1">IFERROR(__xludf.DUMMYFUNCTION("""COMPUTED_VALUE"""),21)</f>
        <v>21</v>
      </c>
      <c r="D319" s="9" t="str">
        <f ca="1">IFERROR(__xludf.DUMMYFUNCTION("""COMPUTED_VALUE"""),"")</f>
        <v/>
      </c>
      <c r="E319" s="4" t="str">
        <f ca="1">IFERROR(__xludf.DUMMYFUNCTION("""COMPUTED_VALUE"""),"")</f>
        <v/>
      </c>
      <c r="F319" s="2" t="str">
        <f ca="1">IFERROR(__xludf.DUMMYFUNCTION("""COMPUTED_VALUE"""),"")</f>
        <v/>
      </c>
      <c r="G319" s="2" t="str">
        <f ca="1">IFERROR(__xludf.DUMMYFUNCTION("""COMPUTED_VALUE"""),"GPS: I converted data downloaded from ARGOS using Pinpoint software")</f>
        <v>GPS: I converted data downloaded from ARGOS using Pinpoint software</v>
      </c>
      <c r="H319" s="2" t="str">
        <f ca="1">IFERROR(__xludf.DUMMYFUNCTION("""COMPUTED_VALUE"""),"3D")</f>
        <v>3D</v>
      </c>
      <c r="I319" s="2" t="str">
        <f ca="1">IFERROR(__xludf.DUMMYFUNCTION("""COMPUTED_VALUE"""),"")</f>
        <v/>
      </c>
      <c r="J319" s="2" t="str">
        <f ca="1">IFERROR(__xludf.DUMMYFUNCTION("""COMPUTED_VALUE"""),"")</f>
        <v/>
      </c>
      <c r="K319" s="2" t="str">
        <f ca="1">IFERROR(__xludf.DUMMYFUNCTION("""COMPUTED_VALUE"""),"")</f>
        <v/>
      </c>
      <c r="L319" s="2" t="str">
        <f ca="1">IFERROR(__xludf.DUMMYFUNCTION("""COMPUTED_VALUE"""),"")</f>
        <v/>
      </c>
      <c r="M319" s="5" t="str">
        <f ca="1">IFERROR(__xludf.DUMMYFUNCTION("""COMPUTED_VALUE"""),"")</f>
        <v/>
      </c>
      <c r="N319" s="5" t="str">
        <f ca="1">IFERROR(__xludf.DUMMYFUNCTION("""COMPUTED_VALUE"""),"")</f>
        <v/>
      </c>
      <c r="O319" s="2" t="str">
        <f ca="1">IFERROR(__xludf.DUMMYFUNCTION("""COMPUTED_VALUE"""),"")</f>
        <v/>
      </c>
      <c r="P319" s="2" t="str">
        <f ca="1">IFERROR(__xludf.DUMMYFUNCTION("""COMPUTED_VALUE"""),"")</f>
        <v/>
      </c>
      <c r="Q319" s="2" t="str">
        <f ca="1">IFERROR(__xludf.DUMMYFUNCTION("""COMPUTED_VALUE"""),"")</f>
        <v/>
      </c>
      <c r="R319" s="2" t="str">
        <f ca="1">IFERROR(__xludf.DUMMYFUNCTION("""COMPUTED_VALUE"""),"")</f>
        <v/>
      </c>
      <c r="S319" s="2" t="str">
        <f ca="1">IFERROR(__xludf.DUMMYFUNCTION("""COMPUTED_VALUE"""),"")</f>
        <v/>
      </c>
      <c r="T319" s="2" t="str">
        <f ca="1">IFERROR(__xludf.DUMMYFUNCTION("""COMPUTED_VALUE"""),"")</f>
        <v/>
      </c>
      <c r="U319" s="2" t="str">
        <f ca="1">IFERROR(__xludf.DUMMYFUNCTION("""COMPUTED_VALUE"""),"")</f>
        <v/>
      </c>
      <c r="V319" s="2" t="str">
        <f ca="1">IFERROR(__xludf.DUMMYFUNCTION("""COMPUTED_VALUE"""),"")</f>
        <v/>
      </c>
      <c r="W319" s="2" t="str">
        <f ca="1">IFERROR(__xludf.DUMMYFUNCTION("""COMPUTED_VALUE"""),"")</f>
        <v/>
      </c>
      <c r="X319" s="2" t="str">
        <f ca="1">IFERROR(__xludf.DUMMYFUNCTION("""COMPUTED_VALUE"""),"")</f>
        <v/>
      </c>
      <c r="Y319" s="2" t="str">
        <f ca="1">IFERROR(__xludf.DUMMYFUNCTION("""COMPUTED_VALUE"""),"")</f>
        <v/>
      </c>
      <c r="Z319" s="2" t="str">
        <f ca="1">IFERROR(__xludf.DUMMYFUNCTION("""COMPUTED_VALUE"""),"")</f>
        <v/>
      </c>
      <c r="AA319" s="2" t="str">
        <f ca="1">IFERROR(__xludf.DUMMYFUNCTION("""COMPUTED_VALUE"""),"")</f>
        <v/>
      </c>
      <c r="AB319" s="2" t="str">
        <f ca="1">IFERROR(__xludf.DUMMYFUNCTION("""COMPUTED_VALUE"""),"")</f>
        <v/>
      </c>
      <c r="AC319" s="2" t="str">
        <f ca="1">IFERROR(__xludf.DUMMYFUNCTION("""COMPUTED_VALUE"""),"")</f>
        <v/>
      </c>
      <c r="AD319" s="2" t="str">
        <f ca="1">IFERROR(__xludf.DUMMYFUNCTION("""COMPUTED_VALUE"""),"")</f>
        <v/>
      </c>
      <c r="AE319" s="2" t="str">
        <f ca="1">IFERROR(__xludf.DUMMYFUNCTION("""COMPUTED_VALUE"""),"")</f>
        <v/>
      </c>
      <c r="AF319" s="2" t="str">
        <f ca="1">IFERROR(__xludf.DUMMYFUNCTION("""COMPUTED_VALUE"""),"")</f>
        <v/>
      </c>
      <c r="AG319" s="2" t="str">
        <f ca="1">IFERROR(__xludf.DUMMYFUNCTION("""COMPUTED_VALUE"""),"")</f>
        <v/>
      </c>
      <c r="AH319" s="2" t="str">
        <f ca="1">IFERROR(__xludf.DUMMYFUNCTION("""COMPUTED_VALUE"""),"")</f>
        <v/>
      </c>
      <c r="AI319" s="2" t="str">
        <f ca="1">IFERROR(__xludf.DUMMYFUNCTION("""COMPUTED_VALUE"""),"")</f>
        <v/>
      </c>
      <c r="AJ319" s="2" t="str">
        <f ca="1">IFERROR(__xludf.DUMMYFUNCTION("""COMPUTED_VALUE"""),"")</f>
        <v/>
      </c>
      <c r="AK319" s="2" t="str">
        <f ca="1">IFERROR(__xludf.DUMMYFUNCTION("""COMPUTED_VALUE"""),"")</f>
        <v/>
      </c>
      <c r="AL319" s="2" t="str">
        <f ca="1">IFERROR(__xludf.DUMMYFUNCTION("""COMPUTED_VALUE"""),"")</f>
        <v/>
      </c>
      <c r="AM319" s="2" t="str">
        <f ca="1">IFERROR(__xludf.DUMMYFUNCTION("""COMPUTED_VALUE"""),"")</f>
        <v/>
      </c>
      <c r="AN319" s="2" t="str">
        <f ca="1">IFERROR(__xludf.DUMMYFUNCTION("""COMPUTED_VALUE"""),"")</f>
        <v/>
      </c>
      <c r="AO319" s="2" t="str">
        <f ca="1">IFERROR(__xludf.DUMMYFUNCTION("""COMPUTED_VALUE"""),"")</f>
        <v/>
      </c>
      <c r="AP319" s="2" t="str">
        <f ca="1">IFERROR(__xludf.DUMMYFUNCTION("""COMPUTED_VALUE"""),"")</f>
        <v/>
      </c>
      <c r="AQ319" s="2" t="str">
        <f ca="1">IFERROR(__xludf.DUMMYFUNCTION("""COMPUTED_VALUE"""),"")</f>
        <v/>
      </c>
      <c r="AR319" s="2" t="str">
        <f ca="1">IFERROR(__xludf.DUMMYFUNCTION("""COMPUTED_VALUE"""),"")</f>
        <v/>
      </c>
      <c r="AS319" s="2" t="str">
        <f ca="1">IFERROR(__xludf.DUMMYFUNCTION("""COMPUTED_VALUE"""),"")</f>
        <v/>
      </c>
      <c r="AT319" s="2" t="str">
        <f ca="1">IFERROR(__xludf.DUMMYFUNCTION("""COMPUTED_VALUE"""),"")</f>
        <v/>
      </c>
      <c r="AU319" s="2" t="str">
        <f ca="1">IFERROR(__xludf.DUMMYFUNCTION("""COMPUTED_VALUE"""),"")</f>
        <v/>
      </c>
      <c r="AV319" s="2" t="str">
        <f ca="1">IFERROR(__xludf.DUMMYFUNCTION("""COMPUTED_VALUE"""),"")</f>
        <v/>
      </c>
      <c r="AW319" s="2" t="str">
        <f ca="1">IFERROR(__xludf.DUMMYFUNCTION("""COMPUTED_VALUE"""),"")</f>
        <v/>
      </c>
      <c r="AX319" s="2" t="str">
        <f ca="1">IFERROR(__xludf.DUMMYFUNCTION("""COMPUTED_VALUE"""),"")</f>
        <v/>
      </c>
      <c r="AY319" s="2" t="str">
        <f ca="1">IFERROR(__xludf.DUMMYFUNCTION("""COMPUTED_VALUE"""),"")</f>
        <v/>
      </c>
      <c r="AZ319" s="2" t="str">
        <f ca="1">IFERROR(__xludf.DUMMYFUNCTION("""COMPUTED_VALUE"""),"")</f>
        <v/>
      </c>
      <c r="BA319" s="2" t="str">
        <f ca="1">IFERROR(__xludf.DUMMYFUNCTION("""COMPUTED_VALUE"""),"")</f>
        <v/>
      </c>
      <c r="BB319" s="2" t="str">
        <f ca="1">IFERROR(__xludf.DUMMYFUNCTION("""COMPUTED_VALUE"""),"")</f>
        <v/>
      </c>
      <c r="BC319" s="2" t="str">
        <f ca="1">IFERROR(__xludf.DUMMYFUNCTION("""COMPUTED_VALUE"""),"")</f>
        <v/>
      </c>
      <c r="BD319" s="2" t="str">
        <f ca="1">IFERROR(__xludf.DUMMYFUNCTION("""COMPUTED_VALUE"""),"")</f>
        <v/>
      </c>
      <c r="BE319" s="2" t="str">
        <f ca="1">IFERROR(__xludf.DUMMYFUNCTION("""COMPUTED_VALUE"""),"")</f>
        <v/>
      </c>
      <c r="BF319" t="str">
        <f ca="1">IFERROR(__xludf.DUMMYFUNCTION("""COMPUTED_VALUE"""),"")</f>
        <v/>
      </c>
      <c r="BG319" t="str">
        <f ca="1">IFERROR(__xludf.DUMMYFUNCTION("""COMPUTED_VALUE"""),"")</f>
        <v/>
      </c>
      <c r="BH319" s="2">
        <f ca="1">IFERROR(__xludf.DUMMYFUNCTION("""COMPUTED_VALUE"""),-37.3098869)</f>
        <v>-37.309886900000002</v>
      </c>
      <c r="BI319" s="12">
        <f ca="1">IFERROR(__xludf.DUMMYFUNCTION("""COMPUTED_VALUE"""),174.7826843)</f>
        <v>174.7826843</v>
      </c>
      <c r="BJ319" s="9">
        <f ca="1">IFERROR(__xludf.DUMMYFUNCTION("""COMPUTED_VALUE"""),43422)</f>
        <v>43422</v>
      </c>
      <c r="BK319" s="4">
        <f ca="1">IFERROR(__xludf.DUMMYFUNCTION("""COMPUTED_VALUE"""),0.457777777777664)</f>
        <v>0.45777777777766399</v>
      </c>
    </row>
    <row r="320" spans="1:63" ht="12.5" x14ac:dyDescent="0.25">
      <c r="A320" s="7" t="str">
        <f ca="1">IFERROR(__xludf.DUMMYFUNCTION("""COMPUTED_VALUE"""),"")</f>
        <v/>
      </c>
      <c r="B320" s="8" t="str">
        <f ca="1">IFERROR(__xludf.DUMMYFUNCTION("""COMPUTED_VALUE"""),"Waikato")</f>
        <v>Waikato</v>
      </c>
      <c r="C320" s="2">
        <f ca="1">IFERROR(__xludf.DUMMYFUNCTION("""COMPUTED_VALUE"""),21)</f>
        <v>21</v>
      </c>
      <c r="D320" s="9" t="str">
        <f ca="1">IFERROR(__xludf.DUMMYFUNCTION("""COMPUTED_VALUE"""),"")</f>
        <v/>
      </c>
      <c r="E320" s="4" t="str">
        <f ca="1">IFERROR(__xludf.DUMMYFUNCTION("""COMPUTED_VALUE"""),"")</f>
        <v/>
      </c>
      <c r="F320" s="2" t="str">
        <f ca="1">IFERROR(__xludf.DUMMYFUNCTION("""COMPUTED_VALUE"""),"")</f>
        <v/>
      </c>
      <c r="G320" s="2" t="str">
        <f ca="1">IFERROR(__xludf.DUMMYFUNCTION("""COMPUTED_VALUE"""),"GPS: I converted data downloaded from ARGOS using Pinpoint software")</f>
        <v>GPS: I converted data downloaded from ARGOS using Pinpoint software</v>
      </c>
      <c r="H320" s="2" t="str">
        <f ca="1">IFERROR(__xludf.DUMMYFUNCTION("""COMPUTED_VALUE"""),"3D")</f>
        <v>3D</v>
      </c>
      <c r="I320" s="2" t="str">
        <f ca="1">IFERROR(__xludf.DUMMYFUNCTION("""COMPUTED_VALUE"""),"")</f>
        <v/>
      </c>
      <c r="J320" s="2" t="str">
        <f ca="1">IFERROR(__xludf.DUMMYFUNCTION("""COMPUTED_VALUE"""),"")</f>
        <v/>
      </c>
      <c r="K320" s="2" t="str">
        <f ca="1">IFERROR(__xludf.DUMMYFUNCTION("""COMPUTED_VALUE"""),"")</f>
        <v/>
      </c>
      <c r="L320" s="2" t="str">
        <f ca="1">IFERROR(__xludf.DUMMYFUNCTION("""COMPUTED_VALUE"""),"")</f>
        <v/>
      </c>
      <c r="M320" s="5" t="str">
        <f ca="1">IFERROR(__xludf.DUMMYFUNCTION("""COMPUTED_VALUE"""),"")</f>
        <v/>
      </c>
      <c r="N320" s="5" t="str">
        <f ca="1">IFERROR(__xludf.DUMMYFUNCTION("""COMPUTED_VALUE"""),"")</f>
        <v/>
      </c>
      <c r="O320" s="2" t="str">
        <f ca="1">IFERROR(__xludf.DUMMYFUNCTION("""COMPUTED_VALUE"""),"")</f>
        <v/>
      </c>
      <c r="P320" s="2" t="str">
        <f ca="1">IFERROR(__xludf.DUMMYFUNCTION("""COMPUTED_VALUE"""),"")</f>
        <v/>
      </c>
      <c r="Q320" s="2" t="str">
        <f ca="1">IFERROR(__xludf.DUMMYFUNCTION("""COMPUTED_VALUE"""),"")</f>
        <v/>
      </c>
      <c r="R320" s="2" t="str">
        <f ca="1">IFERROR(__xludf.DUMMYFUNCTION("""COMPUTED_VALUE"""),"")</f>
        <v/>
      </c>
      <c r="S320" s="2" t="str">
        <f ca="1">IFERROR(__xludf.DUMMYFUNCTION("""COMPUTED_VALUE"""),"")</f>
        <v/>
      </c>
      <c r="T320" s="2" t="str">
        <f ca="1">IFERROR(__xludf.DUMMYFUNCTION("""COMPUTED_VALUE"""),"")</f>
        <v/>
      </c>
      <c r="U320" s="2" t="str">
        <f ca="1">IFERROR(__xludf.DUMMYFUNCTION("""COMPUTED_VALUE"""),"")</f>
        <v/>
      </c>
      <c r="V320" s="2" t="str">
        <f ca="1">IFERROR(__xludf.DUMMYFUNCTION("""COMPUTED_VALUE"""),"")</f>
        <v/>
      </c>
      <c r="W320" s="2" t="str">
        <f ca="1">IFERROR(__xludf.DUMMYFUNCTION("""COMPUTED_VALUE"""),"")</f>
        <v/>
      </c>
      <c r="X320" s="2" t="str">
        <f ca="1">IFERROR(__xludf.DUMMYFUNCTION("""COMPUTED_VALUE"""),"")</f>
        <v/>
      </c>
      <c r="Y320" s="2" t="str">
        <f ca="1">IFERROR(__xludf.DUMMYFUNCTION("""COMPUTED_VALUE"""),"")</f>
        <v/>
      </c>
      <c r="Z320" s="2" t="str">
        <f ca="1">IFERROR(__xludf.DUMMYFUNCTION("""COMPUTED_VALUE"""),"")</f>
        <v/>
      </c>
      <c r="AA320" s="2" t="str">
        <f ca="1">IFERROR(__xludf.DUMMYFUNCTION("""COMPUTED_VALUE"""),"")</f>
        <v/>
      </c>
      <c r="AB320" s="2" t="str">
        <f ca="1">IFERROR(__xludf.DUMMYFUNCTION("""COMPUTED_VALUE"""),"")</f>
        <v/>
      </c>
      <c r="AC320" s="2" t="str">
        <f ca="1">IFERROR(__xludf.DUMMYFUNCTION("""COMPUTED_VALUE"""),"")</f>
        <v/>
      </c>
      <c r="AD320" s="2" t="str">
        <f ca="1">IFERROR(__xludf.DUMMYFUNCTION("""COMPUTED_VALUE"""),"")</f>
        <v/>
      </c>
      <c r="AE320" s="2" t="str">
        <f ca="1">IFERROR(__xludf.DUMMYFUNCTION("""COMPUTED_VALUE"""),"")</f>
        <v/>
      </c>
      <c r="AF320" s="2" t="str">
        <f ca="1">IFERROR(__xludf.DUMMYFUNCTION("""COMPUTED_VALUE"""),"")</f>
        <v/>
      </c>
      <c r="AG320" s="2" t="str">
        <f ca="1">IFERROR(__xludf.DUMMYFUNCTION("""COMPUTED_VALUE"""),"")</f>
        <v/>
      </c>
      <c r="AH320" s="2" t="str">
        <f ca="1">IFERROR(__xludf.DUMMYFUNCTION("""COMPUTED_VALUE"""),"")</f>
        <v/>
      </c>
      <c r="AI320" s="2" t="str">
        <f ca="1">IFERROR(__xludf.DUMMYFUNCTION("""COMPUTED_VALUE"""),"")</f>
        <v/>
      </c>
      <c r="AJ320" s="2" t="str">
        <f ca="1">IFERROR(__xludf.DUMMYFUNCTION("""COMPUTED_VALUE"""),"")</f>
        <v/>
      </c>
      <c r="AK320" s="2" t="str">
        <f ca="1">IFERROR(__xludf.DUMMYFUNCTION("""COMPUTED_VALUE"""),"")</f>
        <v/>
      </c>
      <c r="AL320" s="2" t="str">
        <f ca="1">IFERROR(__xludf.DUMMYFUNCTION("""COMPUTED_VALUE"""),"")</f>
        <v/>
      </c>
      <c r="AM320" s="2" t="str">
        <f ca="1">IFERROR(__xludf.DUMMYFUNCTION("""COMPUTED_VALUE"""),"")</f>
        <v/>
      </c>
      <c r="AN320" s="2" t="str">
        <f ca="1">IFERROR(__xludf.DUMMYFUNCTION("""COMPUTED_VALUE"""),"")</f>
        <v/>
      </c>
      <c r="AO320" s="2" t="str">
        <f ca="1">IFERROR(__xludf.DUMMYFUNCTION("""COMPUTED_VALUE"""),"")</f>
        <v/>
      </c>
      <c r="AP320" s="2" t="str">
        <f ca="1">IFERROR(__xludf.DUMMYFUNCTION("""COMPUTED_VALUE"""),"")</f>
        <v/>
      </c>
      <c r="AQ320" s="2" t="str">
        <f ca="1">IFERROR(__xludf.DUMMYFUNCTION("""COMPUTED_VALUE"""),"")</f>
        <v/>
      </c>
      <c r="AR320" s="2" t="str">
        <f ca="1">IFERROR(__xludf.DUMMYFUNCTION("""COMPUTED_VALUE"""),"")</f>
        <v/>
      </c>
      <c r="AS320" s="2" t="str">
        <f ca="1">IFERROR(__xludf.DUMMYFUNCTION("""COMPUTED_VALUE"""),"")</f>
        <v/>
      </c>
      <c r="AT320" s="2" t="str">
        <f ca="1">IFERROR(__xludf.DUMMYFUNCTION("""COMPUTED_VALUE"""),"")</f>
        <v/>
      </c>
      <c r="AU320" s="2" t="str">
        <f ca="1">IFERROR(__xludf.DUMMYFUNCTION("""COMPUTED_VALUE"""),"")</f>
        <v/>
      </c>
      <c r="AV320" s="2" t="str">
        <f ca="1">IFERROR(__xludf.DUMMYFUNCTION("""COMPUTED_VALUE"""),"")</f>
        <v/>
      </c>
      <c r="AW320" s="2" t="str">
        <f ca="1">IFERROR(__xludf.DUMMYFUNCTION("""COMPUTED_VALUE"""),"")</f>
        <v/>
      </c>
      <c r="AX320" s="2" t="str">
        <f ca="1">IFERROR(__xludf.DUMMYFUNCTION("""COMPUTED_VALUE"""),"")</f>
        <v/>
      </c>
      <c r="AY320" s="2" t="str">
        <f ca="1">IFERROR(__xludf.DUMMYFUNCTION("""COMPUTED_VALUE"""),"")</f>
        <v/>
      </c>
      <c r="AZ320" s="2" t="str">
        <f ca="1">IFERROR(__xludf.DUMMYFUNCTION("""COMPUTED_VALUE"""),"")</f>
        <v/>
      </c>
      <c r="BA320" s="2" t="str">
        <f ca="1">IFERROR(__xludf.DUMMYFUNCTION("""COMPUTED_VALUE"""),"")</f>
        <v/>
      </c>
      <c r="BB320" s="2" t="str">
        <f ca="1">IFERROR(__xludf.DUMMYFUNCTION("""COMPUTED_VALUE"""),"")</f>
        <v/>
      </c>
      <c r="BC320" s="2" t="str">
        <f ca="1">IFERROR(__xludf.DUMMYFUNCTION("""COMPUTED_VALUE"""),"")</f>
        <v/>
      </c>
      <c r="BD320" s="2" t="str">
        <f ca="1">IFERROR(__xludf.DUMMYFUNCTION("""COMPUTED_VALUE"""),"")</f>
        <v/>
      </c>
      <c r="BE320" s="2" t="str">
        <f ca="1">IFERROR(__xludf.DUMMYFUNCTION("""COMPUTED_VALUE"""),"")</f>
        <v/>
      </c>
      <c r="BF320" t="str">
        <f ca="1">IFERROR(__xludf.DUMMYFUNCTION("""COMPUTED_VALUE"""),"")</f>
        <v/>
      </c>
      <c r="BG320" t="str">
        <f ca="1">IFERROR(__xludf.DUMMYFUNCTION("""COMPUTED_VALUE"""),"")</f>
        <v/>
      </c>
      <c r="BH320" s="2">
        <f ca="1">IFERROR(__xludf.DUMMYFUNCTION("""COMPUTED_VALUE"""),-37.2719727)</f>
        <v>-37.271972699999999</v>
      </c>
      <c r="BI320" s="13">
        <f ca="1">IFERROR(__xludf.DUMMYFUNCTION("""COMPUTED_VALUE"""),174.8594818)</f>
        <v>174.8594818</v>
      </c>
      <c r="BJ320" s="9">
        <f ca="1">IFERROR(__xludf.DUMMYFUNCTION("""COMPUTED_VALUE"""),43422)</f>
        <v>43422</v>
      </c>
      <c r="BK320" s="4">
        <f ca="1">IFERROR(__xludf.DUMMYFUNCTION("""COMPUTED_VALUE"""),0.958518518516939)</f>
        <v>0.95851851851693903</v>
      </c>
    </row>
    <row r="321" spans="1:63" ht="12.5" x14ac:dyDescent="0.25">
      <c r="A321" s="7" t="str">
        <f ca="1">IFERROR(__xludf.DUMMYFUNCTION("""COMPUTED_VALUE"""),"")</f>
        <v/>
      </c>
      <c r="B321" s="8" t="str">
        <f ca="1">IFERROR(__xludf.DUMMYFUNCTION("""COMPUTED_VALUE"""),"Waikato")</f>
        <v>Waikato</v>
      </c>
      <c r="C321" s="2">
        <f ca="1">IFERROR(__xludf.DUMMYFUNCTION("""COMPUTED_VALUE"""),21)</f>
        <v>21</v>
      </c>
      <c r="D321" s="9" t="str">
        <f ca="1">IFERROR(__xludf.DUMMYFUNCTION("""COMPUTED_VALUE"""),"")</f>
        <v/>
      </c>
      <c r="E321" s="4" t="str">
        <f ca="1">IFERROR(__xludf.DUMMYFUNCTION("""COMPUTED_VALUE"""),"")</f>
        <v/>
      </c>
      <c r="F321" s="2" t="str">
        <f ca="1">IFERROR(__xludf.DUMMYFUNCTION("""COMPUTED_VALUE"""),"")</f>
        <v/>
      </c>
      <c r="G321" s="2" t="str">
        <f ca="1">IFERROR(__xludf.DUMMYFUNCTION("""COMPUTED_VALUE"""),"GPS: I converted data downloaded from ARGOS using Pinpoint software")</f>
        <v>GPS: I converted data downloaded from ARGOS using Pinpoint software</v>
      </c>
      <c r="H321" s="2" t="str">
        <f ca="1">IFERROR(__xludf.DUMMYFUNCTION("""COMPUTED_VALUE"""),"3D")</f>
        <v>3D</v>
      </c>
      <c r="I321" s="2" t="str">
        <f ca="1">IFERROR(__xludf.DUMMYFUNCTION("""COMPUTED_VALUE"""),"")</f>
        <v/>
      </c>
      <c r="J321" s="2" t="str">
        <f ca="1">IFERROR(__xludf.DUMMYFUNCTION("""COMPUTED_VALUE"""),"")</f>
        <v/>
      </c>
      <c r="K321" s="2" t="str">
        <f ca="1">IFERROR(__xludf.DUMMYFUNCTION("""COMPUTED_VALUE"""),"")</f>
        <v/>
      </c>
      <c r="L321" s="2" t="str">
        <f ca="1">IFERROR(__xludf.DUMMYFUNCTION("""COMPUTED_VALUE"""),"")</f>
        <v/>
      </c>
      <c r="M321" s="5" t="str">
        <f ca="1">IFERROR(__xludf.DUMMYFUNCTION("""COMPUTED_VALUE"""),"")</f>
        <v/>
      </c>
      <c r="N321" s="5" t="str">
        <f ca="1">IFERROR(__xludf.DUMMYFUNCTION("""COMPUTED_VALUE"""),"")</f>
        <v/>
      </c>
      <c r="O321" s="2" t="str">
        <f ca="1">IFERROR(__xludf.DUMMYFUNCTION("""COMPUTED_VALUE"""),"")</f>
        <v/>
      </c>
      <c r="P321" s="2" t="str">
        <f ca="1">IFERROR(__xludf.DUMMYFUNCTION("""COMPUTED_VALUE"""),"")</f>
        <v/>
      </c>
      <c r="Q321" s="2" t="str">
        <f ca="1">IFERROR(__xludf.DUMMYFUNCTION("""COMPUTED_VALUE"""),"")</f>
        <v/>
      </c>
      <c r="R321" s="2" t="str">
        <f ca="1">IFERROR(__xludf.DUMMYFUNCTION("""COMPUTED_VALUE"""),"")</f>
        <v/>
      </c>
      <c r="S321" s="2" t="str">
        <f ca="1">IFERROR(__xludf.DUMMYFUNCTION("""COMPUTED_VALUE"""),"")</f>
        <v/>
      </c>
      <c r="T321" s="2" t="str">
        <f ca="1">IFERROR(__xludf.DUMMYFUNCTION("""COMPUTED_VALUE"""),"")</f>
        <v/>
      </c>
      <c r="U321" s="2" t="str">
        <f ca="1">IFERROR(__xludf.DUMMYFUNCTION("""COMPUTED_VALUE"""),"")</f>
        <v/>
      </c>
      <c r="V321" s="2" t="str">
        <f ca="1">IFERROR(__xludf.DUMMYFUNCTION("""COMPUTED_VALUE"""),"")</f>
        <v/>
      </c>
      <c r="W321" s="2" t="str">
        <f ca="1">IFERROR(__xludf.DUMMYFUNCTION("""COMPUTED_VALUE"""),"")</f>
        <v/>
      </c>
      <c r="X321" s="2" t="str">
        <f ca="1">IFERROR(__xludf.DUMMYFUNCTION("""COMPUTED_VALUE"""),"")</f>
        <v/>
      </c>
      <c r="Y321" s="2" t="str">
        <f ca="1">IFERROR(__xludf.DUMMYFUNCTION("""COMPUTED_VALUE"""),"")</f>
        <v/>
      </c>
      <c r="Z321" s="2" t="str">
        <f ca="1">IFERROR(__xludf.DUMMYFUNCTION("""COMPUTED_VALUE"""),"")</f>
        <v/>
      </c>
      <c r="AA321" s="2" t="str">
        <f ca="1">IFERROR(__xludf.DUMMYFUNCTION("""COMPUTED_VALUE"""),"")</f>
        <v/>
      </c>
      <c r="AB321" s="2" t="str">
        <f ca="1">IFERROR(__xludf.DUMMYFUNCTION("""COMPUTED_VALUE"""),"")</f>
        <v/>
      </c>
      <c r="AC321" s="2" t="str">
        <f ca="1">IFERROR(__xludf.DUMMYFUNCTION("""COMPUTED_VALUE"""),"")</f>
        <v/>
      </c>
      <c r="AD321" s="2" t="str">
        <f ca="1">IFERROR(__xludf.DUMMYFUNCTION("""COMPUTED_VALUE"""),"")</f>
        <v/>
      </c>
      <c r="AE321" s="2" t="str">
        <f ca="1">IFERROR(__xludf.DUMMYFUNCTION("""COMPUTED_VALUE"""),"")</f>
        <v/>
      </c>
      <c r="AF321" s="2" t="str">
        <f ca="1">IFERROR(__xludf.DUMMYFUNCTION("""COMPUTED_VALUE"""),"")</f>
        <v/>
      </c>
      <c r="AG321" s="2" t="str">
        <f ca="1">IFERROR(__xludf.DUMMYFUNCTION("""COMPUTED_VALUE"""),"")</f>
        <v/>
      </c>
      <c r="AH321" s="2" t="str">
        <f ca="1">IFERROR(__xludf.DUMMYFUNCTION("""COMPUTED_VALUE"""),"")</f>
        <v/>
      </c>
      <c r="AI321" s="2" t="str">
        <f ca="1">IFERROR(__xludf.DUMMYFUNCTION("""COMPUTED_VALUE"""),"")</f>
        <v/>
      </c>
      <c r="AJ321" s="2" t="str">
        <f ca="1">IFERROR(__xludf.DUMMYFUNCTION("""COMPUTED_VALUE"""),"")</f>
        <v/>
      </c>
      <c r="AK321" s="2" t="str">
        <f ca="1">IFERROR(__xludf.DUMMYFUNCTION("""COMPUTED_VALUE"""),"")</f>
        <v/>
      </c>
      <c r="AL321" s="2" t="str">
        <f ca="1">IFERROR(__xludf.DUMMYFUNCTION("""COMPUTED_VALUE"""),"")</f>
        <v/>
      </c>
      <c r="AM321" s="2" t="str">
        <f ca="1">IFERROR(__xludf.DUMMYFUNCTION("""COMPUTED_VALUE"""),"")</f>
        <v/>
      </c>
      <c r="AN321" s="2" t="str">
        <f ca="1">IFERROR(__xludf.DUMMYFUNCTION("""COMPUTED_VALUE"""),"")</f>
        <v/>
      </c>
      <c r="AO321" s="2" t="str">
        <f ca="1">IFERROR(__xludf.DUMMYFUNCTION("""COMPUTED_VALUE"""),"")</f>
        <v/>
      </c>
      <c r="AP321" s="2" t="str">
        <f ca="1">IFERROR(__xludf.DUMMYFUNCTION("""COMPUTED_VALUE"""),"")</f>
        <v/>
      </c>
      <c r="AQ321" s="2" t="str">
        <f ca="1">IFERROR(__xludf.DUMMYFUNCTION("""COMPUTED_VALUE"""),"")</f>
        <v/>
      </c>
      <c r="AR321" s="2" t="str">
        <f ca="1">IFERROR(__xludf.DUMMYFUNCTION("""COMPUTED_VALUE"""),"")</f>
        <v/>
      </c>
      <c r="AS321" s="2" t="str">
        <f ca="1">IFERROR(__xludf.DUMMYFUNCTION("""COMPUTED_VALUE"""),"")</f>
        <v/>
      </c>
      <c r="AT321" s="2" t="str">
        <f ca="1">IFERROR(__xludf.DUMMYFUNCTION("""COMPUTED_VALUE"""),"")</f>
        <v/>
      </c>
      <c r="AU321" s="2" t="str">
        <f ca="1">IFERROR(__xludf.DUMMYFUNCTION("""COMPUTED_VALUE"""),"")</f>
        <v/>
      </c>
      <c r="AV321" s="2" t="str">
        <f ca="1">IFERROR(__xludf.DUMMYFUNCTION("""COMPUTED_VALUE"""),"")</f>
        <v/>
      </c>
      <c r="AW321" s="2" t="str">
        <f ca="1">IFERROR(__xludf.DUMMYFUNCTION("""COMPUTED_VALUE"""),"")</f>
        <v/>
      </c>
      <c r="AX321" s="2" t="str">
        <f ca="1">IFERROR(__xludf.DUMMYFUNCTION("""COMPUTED_VALUE"""),"")</f>
        <v/>
      </c>
      <c r="AY321" s="2" t="str">
        <f ca="1">IFERROR(__xludf.DUMMYFUNCTION("""COMPUTED_VALUE"""),"")</f>
        <v/>
      </c>
      <c r="AZ321" s="2" t="str">
        <f ca="1">IFERROR(__xludf.DUMMYFUNCTION("""COMPUTED_VALUE"""),"")</f>
        <v/>
      </c>
      <c r="BA321" s="2" t="str">
        <f ca="1">IFERROR(__xludf.DUMMYFUNCTION("""COMPUTED_VALUE"""),"")</f>
        <v/>
      </c>
      <c r="BB321" s="2" t="str">
        <f ca="1">IFERROR(__xludf.DUMMYFUNCTION("""COMPUTED_VALUE"""),"")</f>
        <v/>
      </c>
      <c r="BC321" s="2" t="str">
        <f ca="1">IFERROR(__xludf.DUMMYFUNCTION("""COMPUTED_VALUE"""),"")</f>
        <v/>
      </c>
      <c r="BD321" s="2" t="str">
        <f ca="1">IFERROR(__xludf.DUMMYFUNCTION("""COMPUTED_VALUE"""),"")</f>
        <v/>
      </c>
      <c r="BE321" s="2" t="str">
        <f ca="1">IFERROR(__xludf.DUMMYFUNCTION("""COMPUTED_VALUE"""),"")</f>
        <v/>
      </c>
      <c r="BF321" t="str">
        <f ca="1">IFERROR(__xludf.DUMMYFUNCTION("""COMPUTED_VALUE"""),"")</f>
        <v/>
      </c>
      <c r="BG321" t="str">
        <f ca="1">IFERROR(__xludf.DUMMYFUNCTION("""COMPUTED_VALUE"""),"")</f>
        <v/>
      </c>
      <c r="BH321" s="2">
        <f ca="1">IFERROR(__xludf.DUMMYFUNCTION("""COMPUTED_VALUE"""),-37.3217163)</f>
        <v>-37.321716299999999</v>
      </c>
      <c r="BI321" s="12">
        <f ca="1">IFERROR(__xludf.DUMMYFUNCTION("""COMPUTED_VALUE"""),174.7647552)</f>
        <v>174.7647552</v>
      </c>
      <c r="BJ321" s="9">
        <f ca="1">IFERROR(__xludf.DUMMYFUNCTION("""COMPUTED_VALUE"""),43424)</f>
        <v>43424</v>
      </c>
      <c r="BK321" s="4">
        <f ca="1">IFERROR(__xludf.DUMMYFUNCTION("""COMPUTED_VALUE"""),0.457777777777664)</f>
        <v>0.45777777777766399</v>
      </c>
    </row>
    <row r="322" spans="1:63" ht="12.5" x14ac:dyDescent="0.25">
      <c r="A322" s="7" t="str">
        <f ca="1">IFERROR(__xludf.DUMMYFUNCTION("""COMPUTED_VALUE"""),"")</f>
        <v/>
      </c>
      <c r="B322" s="8" t="str">
        <f ca="1">IFERROR(__xludf.DUMMYFUNCTION("""COMPUTED_VALUE"""),"Waikato")</f>
        <v>Waikato</v>
      </c>
      <c r="C322" s="2">
        <f ca="1">IFERROR(__xludf.DUMMYFUNCTION("""COMPUTED_VALUE"""),21)</f>
        <v>21</v>
      </c>
      <c r="D322" s="9" t="str">
        <f ca="1">IFERROR(__xludf.DUMMYFUNCTION("""COMPUTED_VALUE"""),"")</f>
        <v/>
      </c>
      <c r="E322" s="4" t="str">
        <f ca="1">IFERROR(__xludf.DUMMYFUNCTION("""COMPUTED_VALUE"""),"")</f>
        <v/>
      </c>
      <c r="F322" s="2" t="str">
        <f ca="1">IFERROR(__xludf.DUMMYFUNCTION("""COMPUTED_VALUE"""),"")</f>
        <v/>
      </c>
      <c r="G322" s="2" t="str">
        <f ca="1">IFERROR(__xludf.DUMMYFUNCTION("""COMPUTED_VALUE"""),"GPS: I converted data downloaded from ARGOS using Pinpoint software")</f>
        <v>GPS: I converted data downloaded from ARGOS using Pinpoint software</v>
      </c>
      <c r="H322" s="2" t="str">
        <f ca="1">IFERROR(__xludf.DUMMYFUNCTION("""COMPUTED_VALUE"""),"3D")</f>
        <v>3D</v>
      </c>
      <c r="I322" s="2" t="str">
        <f ca="1">IFERROR(__xludf.DUMMYFUNCTION("""COMPUTED_VALUE"""),"")</f>
        <v/>
      </c>
      <c r="J322" s="2" t="str">
        <f ca="1">IFERROR(__xludf.DUMMYFUNCTION("""COMPUTED_VALUE"""),"")</f>
        <v/>
      </c>
      <c r="K322" s="2" t="str">
        <f ca="1">IFERROR(__xludf.DUMMYFUNCTION("""COMPUTED_VALUE"""),"")</f>
        <v/>
      </c>
      <c r="L322" s="2" t="str">
        <f ca="1">IFERROR(__xludf.DUMMYFUNCTION("""COMPUTED_VALUE"""),"")</f>
        <v/>
      </c>
      <c r="M322" s="5" t="str">
        <f ca="1">IFERROR(__xludf.DUMMYFUNCTION("""COMPUTED_VALUE"""),"")</f>
        <v/>
      </c>
      <c r="N322" s="5" t="str">
        <f ca="1">IFERROR(__xludf.DUMMYFUNCTION("""COMPUTED_VALUE"""),"")</f>
        <v/>
      </c>
      <c r="O322" s="2" t="str">
        <f ca="1">IFERROR(__xludf.DUMMYFUNCTION("""COMPUTED_VALUE"""),"")</f>
        <v/>
      </c>
      <c r="P322" s="2" t="str">
        <f ca="1">IFERROR(__xludf.DUMMYFUNCTION("""COMPUTED_VALUE"""),"")</f>
        <v/>
      </c>
      <c r="Q322" s="2" t="str">
        <f ca="1">IFERROR(__xludf.DUMMYFUNCTION("""COMPUTED_VALUE"""),"")</f>
        <v/>
      </c>
      <c r="R322" s="2" t="str">
        <f ca="1">IFERROR(__xludf.DUMMYFUNCTION("""COMPUTED_VALUE"""),"")</f>
        <v/>
      </c>
      <c r="S322" s="2" t="str">
        <f ca="1">IFERROR(__xludf.DUMMYFUNCTION("""COMPUTED_VALUE"""),"")</f>
        <v/>
      </c>
      <c r="T322" s="2" t="str">
        <f ca="1">IFERROR(__xludf.DUMMYFUNCTION("""COMPUTED_VALUE"""),"")</f>
        <v/>
      </c>
      <c r="U322" s="2" t="str">
        <f ca="1">IFERROR(__xludf.DUMMYFUNCTION("""COMPUTED_VALUE"""),"")</f>
        <v/>
      </c>
      <c r="V322" s="2" t="str">
        <f ca="1">IFERROR(__xludf.DUMMYFUNCTION("""COMPUTED_VALUE"""),"")</f>
        <v/>
      </c>
      <c r="W322" s="2" t="str">
        <f ca="1">IFERROR(__xludf.DUMMYFUNCTION("""COMPUTED_VALUE"""),"")</f>
        <v/>
      </c>
      <c r="X322" s="2" t="str">
        <f ca="1">IFERROR(__xludf.DUMMYFUNCTION("""COMPUTED_VALUE"""),"")</f>
        <v/>
      </c>
      <c r="Y322" s="2" t="str">
        <f ca="1">IFERROR(__xludf.DUMMYFUNCTION("""COMPUTED_VALUE"""),"")</f>
        <v/>
      </c>
      <c r="Z322" s="2" t="str">
        <f ca="1">IFERROR(__xludf.DUMMYFUNCTION("""COMPUTED_VALUE"""),"")</f>
        <v/>
      </c>
      <c r="AA322" s="2" t="str">
        <f ca="1">IFERROR(__xludf.DUMMYFUNCTION("""COMPUTED_VALUE"""),"")</f>
        <v/>
      </c>
      <c r="AB322" s="2" t="str">
        <f ca="1">IFERROR(__xludf.DUMMYFUNCTION("""COMPUTED_VALUE"""),"")</f>
        <v/>
      </c>
      <c r="AC322" s="2" t="str">
        <f ca="1">IFERROR(__xludf.DUMMYFUNCTION("""COMPUTED_VALUE"""),"")</f>
        <v/>
      </c>
      <c r="AD322" s="2" t="str">
        <f ca="1">IFERROR(__xludf.DUMMYFUNCTION("""COMPUTED_VALUE"""),"")</f>
        <v/>
      </c>
      <c r="AE322" s="2" t="str">
        <f ca="1">IFERROR(__xludf.DUMMYFUNCTION("""COMPUTED_VALUE"""),"")</f>
        <v/>
      </c>
      <c r="AF322" s="2" t="str">
        <f ca="1">IFERROR(__xludf.DUMMYFUNCTION("""COMPUTED_VALUE"""),"")</f>
        <v/>
      </c>
      <c r="AG322" s="2" t="str">
        <f ca="1">IFERROR(__xludf.DUMMYFUNCTION("""COMPUTED_VALUE"""),"")</f>
        <v/>
      </c>
      <c r="AH322" s="2" t="str">
        <f ca="1">IFERROR(__xludf.DUMMYFUNCTION("""COMPUTED_VALUE"""),"")</f>
        <v/>
      </c>
      <c r="AI322" s="2" t="str">
        <f ca="1">IFERROR(__xludf.DUMMYFUNCTION("""COMPUTED_VALUE"""),"")</f>
        <v/>
      </c>
      <c r="AJ322" s="2" t="str">
        <f ca="1">IFERROR(__xludf.DUMMYFUNCTION("""COMPUTED_VALUE"""),"")</f>
        <v/>
      </c>
      <c r="AK322" s="2" t="str">
        <f ca="1">IFERROR(__xludf.DUMMYFUNCTION("""COMPUTED_VALUE"""),"")</f>
        <v/>
      </c>
      <c r="AL322" s="2" t="str">
        <f ca="1">IFERROR(__xludf.DUMMYFUNCTION("""COMPUTED_VALUE"""),"")</f>
        <v/>
      </c>
      <c r="AM322" s="2" t="str">
        <f ca="1">IFERROR(__xludf.DUMMYFUNCTION("""COMPUTED_VALUE"""),"")</f>
        <v/>
      </c>
      <c r="AN322" s="2" t="str">
        <f ca="1">IFERROR(__xludf.DUMMYFUNCTION("""COMPUTED_VALUE"""),"")</f>
        <v/>
      </c>
      <c r="AO322" s="2" t="str">
        <f ca="1">IFERROR(__xludf.DUMMYFUNCTION("""COMPUTED_VALUE"""),"")</f>
        <v/>
      </c>
      <c r="AP322" s="2" t="str">
        <f ca="1">IFERROR(__xludf.DUMMYFUNCTION("""COMPUTED_VALUE"""),"")</f>
        <v/>
      </c>
      <c r="AQ322" s="2" t="str">
        <f ca="1">IFERROR(__xludf.DUMMYFUNCTION("""COMPUTED_VALUE"""),"")</f>
        <v/>
      </c>
      <c r="AR322" s="2" t="str">
        <f ca="1">IFERROR(__xludf.DUMMYFUNCTION("""COMPUTED_VALUE"""),"")</f>
        <v/>
      </c>
      <c r="AS322" s="2" t="str">
        <f ca="1">IFERROR(__xludf.DUMMYFUNCTION("""COMPUTED_VALUE"""),"")</f>
        <v/>
      </c>
      <c r="AT322" s="2" t="str">
        <f ca="1">IFERROR(__xludf.DUMMYFUNCTION("""COMPUTED_VALUE"""),"")</f>
        <v/>
      </c>
      <c r="AU322" s="2" t="str">
        <f ca="1">IFERROR(__xludf.DUMMYFUNCTION("""COMPUTED_VALUE"""),"")</f>
        <v/>
      </c>
      <c r="AV322" s="2" t="str">
        <f ca="1">IFERROR(__xludf.DUMMYFUNCTION("""COMPUTED_VALUE"""),"")</f>
        <v/>
      </c>
      <c r="AW322" s="2" t="str">
        <f ca="1">IFERROR(__xludf.DUMMYFUNCTION("""COMPUTED_VALUE"""),"")</f>
        <v/>
      </c>
      <c r="AX322" s="2" t="str">
        <f ca="1">IFERROR(__xludf.DUMMYFUNCTION("""COMPUTED_VALUE"""),"")</f>
        <v/>
      </c>
      <c r="AY322" s="2" t="str">
        <f ca="1">IFERROR(__xludf.DUMMYFUNCTION("""COMPUTED_VALUE"""),"")</f>
        <v/>
      </c>
      <c r="AZ322" s="2" t="str">
        <f ca="1">IFERROR(__xludf.DUMMYFUNCTION("""COMPUTED_VALUE"""),"")</f>
        <v/>
      </c>
      <c r="BA322" s="2" t="str">
        <f ca="1">IFERROR(__xludf.DUMMYFUNCTION("""COMPUTED_VALUE"""),"")</f>
        <v/>
      </c>
      <c r="BB322" s="2" t="str">
        <f ca="1">IFERROR(__xludf.DUMMYFUNCTION("""COMPUTED_VALUE"""),"")</f>
        <v/>
      </c>
      <c r="BC322" s="2" t="str">
        <f ca="1">IFERROR(__xludf.DUMMYFUNCTION("""COMPUTED_VALUE"""),"")</f>
        <v/>
      </c>
      <c r="BD322" s="2" t="str">
        <f ca="1">IFERROR(__xludf.DUMMYFUNCTION("""COMPUTED_VALUE"""),"")</f>
        <v/>
      </c>
      <c r="BE322" s="2" t="str">
        <f ca="1">IFERROR(__xludf.DUMMYFUNCTION("""COMPUTED_VALUE"""),"")</f>
        <v/>
      </c>
      <c r="BF322" t="str">
        <f ca="1">IFERROR(__xludf.DUMMYFUNCTION("""COMPUTED_VALUE"""),"")</f>
        <v/>
      </c>
      <c r="BG322" t="str">
        <f ca="1">IFERROR(__xludf.DUMMYFUNCTION("""COMPUTED_VALUE"""),"")</f>
        <v/>
      </c>
      <c r="BH322" s="2">
        <f ca="1">IFERROR(__xludf.DUMMYFUNCTION("""COMPUTED_VALUE"""),-37.3132172)</f>
        <v>-37.313217199999997</v>
      </c>
      <c r="BI322" s="13">
        <f ca="1">IFERROR(__xludf.DUMMYFUNCTION("""COMPUTED_VALUE"""),174.7822418)</f>
        <v>174.78224180000001</v>
      </c>
      <c r="BJ322" s="9">
        <f ca="1">IFERROR(__xludf.DUMMYFUNCTION("""COMPUTED_VALUE"""),43424)</f>
        <v>43424</v>
      </c>
      <c r="BK322" s="4">
        <f ca="1">IFERROR(__xludf.DUMMYFUNCTION("""COMPUTED_VALUE"""),0.958518518516939)</f>
        <v>0.95851851851693903</v>
      </c>
    </row>
    <row r="323" spans="1:63" ht="12.5" x14ac:dyDescent="0.25">
      <c r="A323" s="7" t="str">
        <f ca="1">IFERROR(__xludf.DUMMYFUNCTION("""COMPUTED_VALUE"""),"")</f>
        <v/>
      </c>
      <c r="B323" s="8" t="str">
        <f ca="1">IFERROR(__xludf.DUMMYFUNCTION("""COMPUTED_VALUE"""),"Waikato")</f>
        <v>Waikato</v>
      </c>
      <c r="C323" s="2">
        <f ca="1">IFERROR(__xludf.DUMMYFUNCTION("""COMPUTED_VALUE"""),21)</f>
        <v>21</v>
      </c>
      <c r="D323" s="9" t="str">
        <f ca="1">IFERROR(__xludf.DUMMYFUNCTION("""COMPUTED_VALUE"""),"")</f>
        <v/>
      </c>
      <c r="E323" s="4" t="str">
        <f ca="1">IFERROR(__xludf.DUMMYFUNCTION("""COMPUTED_VALUE"""),"")</f>
        <v/>
      </c>
      <c r="F323" s="2" t="str">
        <f ca="1">IFERROR(__xludf.DUMMYFUNCTION("""COMPUTED_VALUE"""),"")</f>
        <v/>
      </c>
      <c r="G323" s="2" t="str">
        <f ca="1">IFERROR(__xludf.DUMMYFUNCTION("""COMPUTED_VALUE"""),"GPS: I converted data downloaded from ARGOS using Pinpoint software")</f>
        <v>GPS: I converted data downloaded from ARGOS using Pinpoint software</v>
      </c>
      <c r="H323" s="2" t="str">
        <f ca="1">IFERROR(__xludf.DUMMYFUNCTION("""COMPUTED_VALUE"""),"3D")</f>
        <v>3D</v>
      </c>
      <c r="I323" s="2" t="str">
        <f ca="1">IFERROR(__xludf.DUMMYFUNCTION("""COMPUTED_VALUE"""),"")</f>
        <v/>
      </c>
      <c r="J323" s="2" t="str">
        <f ca="1">IFERROR(__xludf.DUMMYFUNCTION("""COMPUTED_VALUE"""),"")</f>
        <v/>
      </c>
      <c r="K323" s="2" t="str">
        <f ca="1">IFERROR(__xludf.DUMMYFUNCTION("""COMPUTED_VALUE"""),"")</f>
        <v/>
      </c>
      <c r="L323" s="2" t="str">
        <f ca="1">IFERROR(__xludf.DUMMYFUNCTION("""COMPUTED_VALUE"""),"")</f>
        <v/>
      </c>
      <c r="M323" s="5" t="str">
        <f ca="1">IFERROR(__xludf.DUMMYFUNCTION("""COMPUTED_VALUE"""),"")</f>
        <v/>
      </c>
      <c r="N323" s="5" t="str">
        <f ca="1">IFERROR(__xludf.DUMMYFUNCTION("""COMPUTED_VALUE"""),"")</f>
        <v/>
      </c>
      <c r="O323" s="2" t="str">
        <f ca="1">IFERROR(__xludf.DUMMYFUNCTION("""COMPUTED_VALUE"""),"")</f>
        <v/>
      </c>
      <c r="P323" s="2" t="str">
        <f ca="1">IFERROR(__xludf.DUMMYFUNCTION("""COMPUTED_VALUE"""),"")</f>
        <v/>
      </c>
      <c r="Q323" s="2" t="str">
        <f ca="1">IFERROR(__xludf.DUMMYFUNCTION("""COMPUTED_VALUE"""),"")</f>
        <v/>
      </c>
      <c r="R323" s="2" t="str">
        <f ca="1">IFERROR(__xludf.DUMMYFUNCTION("""COMPUTED_VALUE"""),"")</f>
        <v/>
      </c>
      <c r="S323" s="2" t="str">
        <f ca="1">IFERROR(__xludf.DUMMYFUNCTION("""COMPUTED_VALUE"""),"")</f>
        <v/>
      </c>
      <c r="T323" s="2" t="str">
        <f ca="1">IFERROR(__xludf.DUMMYFUNCTION("""COMPUTED_VALUE"""),"")</f>
        <v/>
      </c>
      <c r="U323" s="2" t="str">
        <f ca="1">IFERROR(__xludf.DUMMYFUNCTION("""COMPUTED_VALUE"""),"")</f>
        <v/>
      </c>
      <c r="V323" s="2" t="str">
        <f ca="1">IFERROR(__xludf.DUMMYFUNCTION("""COMPUTED_VALUE"""),"")</f>
        <v/>
      </c>
      <c r="W323" s="2" t="str">
        <f ca="1">IFERROR(__xludf.DUMMYFUNCTION("""COMPUTED_VALUE"""),"")</f>
        <v/>
      </c>
      <c r="X323" s="2" t="str">
        <f ca="1">IFERROR(__xludf.DUMMYFUNCTION("""COMPUTED_VALUE"""),"")</f>
        <v/>
      </c>
      <c r="Y323" s="2" t="str">
        <f ca="1">IFERROR(__xludf.DUMMYFUNCTION("""COMPUTED_VALUE"""),"")</f>
        <v/>
      </c>
      <c r="Z323" s="2" t="str">
        <f ca="1">IFERROR(__xludf.DUMMYFUNCTION("""COMPUTED_VALUE"""),"")</f>
        <v/>
      </c>
      <c r="AA323" s="2" t="str">
        <f ca="1">IFERROR(__xludf.DUMMYFUNCTION("""COMPUTED_VALUE"""),"")</f>
        <v/>
      </c>
      <c r="AB323" s="2" t="str">
        <f ca="1">IFERROR(__xludf.DUMMYFUNCTION("""COMPUTED_VALUE"""),"")</f>
        <v/>
      </c>
      <c r="AC323" s="2" t="str">
        <f ca="1">IFERROR(__xludf.DUMMYFUNCTION("""COMPUTED_VALUE"""),"")</f>
        <v/>
      </c>
      <c r="AD323" s="2" t="str">
        <f ca="1">IFERROR(__xludf.DUMMYFUNCTION("""COMPUTED_VALUE"""),"")</f>
        <v/>
      </c>
      <c r="AE323" s="2" t="str">
        <f ca="1">IFERROR(__xludf.DUMMYFUNCTION("""COMPUTED_VALUE"""),"")</f>
        <v/>
      </c>
      <c r="AF323" s="2" t="str">
        <f ca="1">IFERROR(__xludf.DUMMYFUNCTION("""COMPUTED_VALUE"""),"")</f>
        <v/>
      </c>
      <c r="AG323" s="2" t="str">
        <f ca="1">IFERROR(__xludf.DUMMYFUNCTION("""COMPUTED_VALUE"""),"")</f>
        <v/>
      </c>
      <c r="AH323" s="2" t="str">
        <f ca="1">IFERROR(__xludf.DUMMYFUNCTION("""COMPUTED_VALUE"""),"")</f>
        <v/>
      </c>
      <c r="AI323" s="2" t="str">
        <f ca="1">IFERROR(__xludf.DUMMYFUNCTION("""COMPUTED_VALUE"""),"")</f>
        <v/>
      </c>
      <c r="AJ323" s="2" t="str">
        <f ca="1">IFERROR(__xludf.DUMMYFUNCTION("""COMPUTED_VALUE"""),"")</f>
        <v/>
      </c>
      <c r="AK323" s="2" t="str">
        <f ca="1">IFERROR(__xludf.DUMMYFUNCTION("""COMPUTED_VALUE"""),"")</f>
        <v/>
      </c>
      <c r="AL323" s="2" t="str">
        <f ca="1">IFERROR(__xludf.DUMMYFUNCTION("""COMPUTED_VALUE"""),"")</f>
        <v/>
      </c>
      <c r="AM323" s="2" t="str">
        <f ca="1">IFERROR(__xludf.DUMMYFUNCTION("""COMPUTED_VALUE"""),"")</f>
        <v/>
      </c>
      <c r="AN323" s="2" t="str">
        <f ca="1">IFERROR(__xludf.DUMMYFUNCTION("""COMPUTED_VALUE"""),"")</f>
        <v/>
      </c>
      <c r="AO323" s="2" t="str">
        <f ca="1">IFERROR(__xludf.DUMMYFUNCTION("""COMPUTED_VALUE"""),"")</f>
        <v/>
      </c>
      <c r="AP323" s="2" t="str">
        <f ca="1">IFERROR(__xludf.DUMMYFUNCTION("""COMPUTED_VALUE"""),"")</f>
        <v/>
      </c>
      <c r="AQ323" s="2" t="str">
        <f ca="1">IFERROR(__xludf.DUMMYFUNCTION("""COMPUTED_VALUE"""),"")</f>
        <v/>
      </c>
      <c r="AR323" s="2" t="str">
        <f ca="1">IFERROR(__xludf.DUMMYFUNCTION("""COMPUTED_VALUE"""),"")</f>
        <v/>
      </c>
      <c r="AS323" s="2" t="str">
        <f ca="1">IFERROR(__xludf.DUMMYFUNCTION("""COMPUTED_VALUE"""),"")</f>
        <v/>
      </c>
      <c r="AT323" s="2" t="str">
        <f ca="1">IFERROR(__xludf.DUMMYFUNCTION("""COMPUTED_VALUE"""),"")</f>
        <v/>
      </c>
      <c r="AU323" s="2" t="str">
        <f ca="1">IFERROR(__xludf.DUMMYFUNCTION("""COMPUTED_VALUE"""),"")</f>
        <v/>
      </c>
      <c r="AV323" s="2" t="str">
        <f ca="1">IFERROR(__xludf.DUMMYFUNCTION("""COMPUTED_VALUE"""),"")</f>
        <v/>
      </c>
      <c r="AW323" s="2" t="str">
        <f ca="1">IFERROR(__xludf.DUMMYFUNCTION("""COMPUTED_VALUE"""),"")</f>
        <v/>
      </c>
      <c r="AX323" s="2" t="str">
        <f ca="1">IFERROR(__xludf.DUMMYFUNCTION("""COMPUTED_VALUE"""),"")</f>
        <v/>
      </c>
      <c r="AY323" s="2" t="str">
        <f ca="1">IFERROR(__xludf.DUMMYFUNCTION("""COMPUTED_VALUE"""),"")</f>
        <v/>
      </c>
      <c r="AZ323" s="2" t="str">
        <f ca="1">IFERROR(__xludf.DUMMYFUNCTION("""COMPUTED_VALUE"""),"")</f>
        <v/>
      </c>
      <c r="BA323" s="2" t="str">
        <f ca="1">IFERROR(__xludf.DUMMYFUNCTION("""COMPUTED_VALUE"""),"")</f>
        <v/>
      </c>
      <c r="BB323" s="2" t="str">
        <f ca="1">IFERROR(__xludf.DUMMYFUNCTION("""COMPUTED_VALUE"""),"")</f>
        <v/>
      </c>
      <c r="BC323" s="2" t="str">
        <f ca="1">IFERROR(__xludf.DUMMYFUNCTION("""COMPUTED_VALUE"""),"")</f>
        <v/>
      </c>
      <c r="BD323" s="2" t="str">
        <f ca="1">IFERROR(__xludf.DUMMYFUNCTION("""COMPUTED_VALUE"""),"")</f>
        <v/>
      </c>
      <c r="BE323" s="2" t="str">
        <f ca="1">IFERROR(__xludf.DUMMYFUNCTION("""COMPUTED_VALUE"""),"")</f>
        <v/>
      </c>
      <c r="BF323" t="str">
        <f ca="1">IFERROR(__xludf.DUMMYFUNCTION("""COMPUTED_VALUE"""),"")</f>
        <v/>
      </c>
      <c r="BG323" t="str">
        <f ca="1">IFERROR(__xludf.DUMMYFUNCTION("""COMPUTED_VALUE"""),"")</f>
        <v/>
      </c>
      <c r="BH323" s="2">
        <f ca="1">IFERROR(__xludf.DUMMYFUNCTION("""COMPUTED_VALUE"""),-37.3115005)</f>
        <v>-37.311500500000001</v>
      </c>
      <c r="BI323" s="12">
        <f ca="1">IFERROR(__xludf.DUMMYFUNCTION("""COMPUTED_VALUE"""),174.7778625)</f>
        <v>174.7778625</v>
      </c>
      <c r="BJ323" s="9">
        <f ca="1">IFERROR(__xludf.DUMMYFUNCTION("""COMPUTED_VALUE"""),43426)</f>
        <v>43426</v>
      </c>
      <c r="BK323" s="4">
        <f ca="1">IFERROR(__xludf.DUMMYFUNCTION("""COMPUTED_VALUE"""),0.457777777777664)</f>
        <v>0.45777777777766399</v>
      </c>
    </row>
    <row r="324" spans="1:63" ht="12.5" x14ac:dyDescent="0.25">
      <c r="A324" s="7" t="str">
        <f ca="1">IFERROR(__xludf.DUMMYFUNCTION("""COMPUTED_VALUE"""),"")</f>
        <v/>
      </c>
      <c r="B324" s="8" t="str">
        <f ca="1">IFERROR(__xludf.DUMMYFUNCTION("""COMPUTED_VALUE"""),"Waikato")</f>
        <v>Waikato</v>
      </c>
      <c r="C324" s="2">
        <f ca="1">IFERROR(__xludf.DUMMYFUNCTION("""COMPUTED_VALUE"""),21)</f>
        <v>21</v>
      </c>
      <c r="D324" s="9" t="str">
        <f ca="1">IFERROR(__xludf.DUMMYFUNCTION("""COMPUTED_VALUE"""),"")</f>
        <v/>
      </c>
      <c r="E324" s="4" t="str">
        <f ca="1">IFERROR(__xludf.DUMMYFUNCTION("""COMPUTED_VALUE"""),"")</f>
        <v/>
      </c>
      <c r="F324" s="2" t="str">
        <f ca="1">IFERROR(__xludf.DUMMYFUNCTION("""COMPUTED_VALUE"""),"")</f>
        <v/>
      </c>
      <c r="G324" s="2" t="str">
        <f ca="1">IFERROR(__xludf.DUMMYFUNCTION("""COMPUTED_VALUE"""),"GPS: I converted data downloaded from ARGOS using Pinpoint software")</f>
        <v>GPS: I converted data downloaded from ARGOS using Pinpoint software</v>
      </c>
      <c r="H324" s="2" t="str">
        <f ca="1">IFERROR(__xludf.DUMMYFUNCTION("""COMPUTED_VALUE"""),"3D")</f>
        <v>3D</v>
      </c>
      <c r="I324" s="2" t="str">
        <f ca="1">IFERROR(__xludf.DUMMYFUNCTION("""COMPUTED_VALUE"""),"")</f>
        <v/>
      </c>
      <c r="J324" s="2" t="str">
        <f ca="1">IFERROR(__xludf.DUMMYFUNCTION("""COMPUTED_VALUE"""),"")</f>
        <v/>
      </c>
      <c r="K324" s="2" t="str">
        <f ca="1">IFERROR(__xludf.DUMMYFUNCTION("""COMPUTED_VALUE"""),"")</f>
        <v/>
      </c>
      <c r="L324" s="2" t="str">
        <f ca="1">IFERROR(__xludf.DUMMYFUNCTION("""COMPUTED_VALUE"""),"")</f>
        <v/>
      </c>
      <c r="M324" s="5" t="str">
        <f ca="1">IFERROR(__xludf.DUMMYFUNCTION("""COMPUTED_VALUE"""),"")</f>
        <v/>
      </c>
      <c r="N324" s="5" t="str">
        <f ca="1">IFERROR(__xludf.DUMMYFUNCTION("""COMPUTED_VALUE"""),"")</f>
        <v/>
      </c>
      <c r="O324" s="2" t="str">
        <f ca="1">IFERROR(__xludf.DUMMYFUNCTION("""COMPUTED_VALUE"""),"")</f>
        <v/>
      </c>
      <c r="P324" s="2" t="str">
        <f ca="1">IFERROR(__xludf.DUMMYFUNCTION("""COMPUTED_VALUE"""),"")</f>
        <v/>
      </c>
      <c r="Q324" s="2" t="str">
        <f ca="1">IFERROR(__xludf.DUMMYFUNCTION("""COMPUTED_VALUE"""),"")</f>
        <v/>
      </c>
      <c r="R324" s="2" t="str">
        <f ca="1">IFERROR(__xludf.DUMMYFUNCTION("""COMPUTED_VALUE"""),"")</f>
        <v/>
      </c>
      <c r="S324" s="2" t="str">
        <f ca="1">IFERROR(__xludf.DUMMYFUNCTION("""COMPUTED_VALUE"""),"")</f>
        <v/>
      </c>
      <c r="T324" s="2" t="str">
        <f ca="1">IFERROR(__xludf.DUMMYFUNCTION("""COMPUTED_VALUE"""),"")</f>
        <v/>
      </c>
      <c r="U324" s="2" t="str">
        <f ca="1">IFERROR(__xludf.DUMMYFUNCTION("""COMPUTED_VALUE"""),"")</f>
        <v/>
      </c>
      <c r="V324" s="2" t="str">
        <f ca="1">IFERROR(__xludf.DUMMYFUNCTION("""COMPUTED_VALUE"""),"")</f>
        <v/>
      </c>
      <c r="W324" s="2" t="str">
        <f ca="1">IFERROR(__xludf.DUMMYFUNCTION("""COMPUTED_VALUE"""),"")</f>
        <v/>
      </c>
      <c r="X324" s="2" t="str">
        <f ca="1">IFERROR(__xludf.DUMMYFUNCTION("""COMPUTED_VALUE"""),"")</f>
        <v/>
      </c>
      <c r="Y324" s="2" t="str">
        <f ca="1">IFERROR(__xludf.DUMMYFUNCTION("""COMPUTED_VALUE"""),"")</f>
        <v/>
      </c>
      <c r="Z324" s="2" t="str">
        <f ca="1">IFERROR(__xludf.DUMMYFUNCTION("""COMPUTED_VALUE"""),"")</f>
        <v/>
      </c>
      <c r="AA324" s="2" t="str">
        <f ca="1">IFERROR(__xludf.DUMMYFUNCTION("""COMPUTED_VALUE"""),"")</f>
        <v/>
      </c>
      <c r="AB324" s="2" t="str">
        <f ca="1">IFERROR(__xludf.DUMMYFUNCTION("""COMPUTED_VALUE"""),"")</f>
        <v/>
      </c>
      <c r="AC324" s="2" t="str">
        <f ca="1">IFERROR(__xludf.DUMMYFUNCTION("""COMPUTED_VALUE"""),"")</f>
        <v/>
      </c>
      <c r="AD324" s="2" t="str">
        <f ca="1">IFERROR(__xludf.DUMMYFUNCTION("""COMPUTED_VALUE"""),"")</f>
        <v/>
      </c>
      <c r="AE324" s="2" t="str">
        <f ca="1">IFERROR(__xludf.DUMMYFUNCTION("""COMPUTED_VALUE"""),"")</f>
        <v/>
      </c>
      <c r="AF324" s="2" t="str">
        <f ca="1">IFERROR(__xludf.DUMMYFUNCTION("""COMPUTED_VALUE"""),"")</f>
        <v/>
      </c>
      <c r="AG324" s="2" t="str">
        <f ca="1">IFERROR(__xludf.DUMMYFUNCTION("""COMPUTED_VALUE"""),"")</f>
        <v/>
      </c>
      <c r="AH324" s="2" t="str">
        <f ca="1">IFERROR(__xludf.DUMMYFUNCTION("""COMPUTED_VALUE"""),"")</f>
        <v/>
      </c>
      <c r="AI324" s="2" t="str">
        <f ca="1">IFERROR(__xludf.DUMMYFUNCTION("""COMPUTED_VALUE"""),"")</f>
        <v/>
      </c>
      <c r="AJ324" s="2" t="str">
        <f ca="1">IFERROR(__xludf.DUMMYFUNCTION("""COMPUTED_VALUE"""),"")</f>
        <v/>
      </c>
      <c r="AK324" s="2" t="str">
        <f ca="1">IFERROR(__xludf.DUMMYFUNCTION("""COMPUTED_VALUE"""),"")</f>
        <v/>
      </c>
      <c r="AL324" s="2" t="str">
        <f ca="1">IFERROR(__xludf.DUMMYFUNCTION("""COMPUTED_VALUE"""),"")</f>
        <v/>
      </c>
      <c r="AM324" s="2" t="str">
        <f ca="1">IFERROR(__xludf.DUMMYFUNCTION("""COMPUTED_VALUE"""),"")</f>
        <v/>
      </c>
      <c r="AN324" s="2" t="str">
        <f ca="1">IFERROR(__xludf.DUMMYFUNCTION("""COMPUTED_VALUE"""),"")</f>
        <v/>
      </c>
      <c r="AO324" s="2" t="str">
        <f ca="1">IFERROR(__xludf.DUMMYFUNCTION("""COMPUTED_VALUE"""),"")</f>
        <v/>
      </c>
      <c r="AP324" s="2" t="str">
        <f ca="1">IFERROR(__xludf.DUMMYFUNCTION("""COMPUTED_VALUE"""),"")</f>
        <v/>
      </c>
      <c r="AQ324" s="2" t="str">
        <f ca="1">IFERROR(__xludf.DUMMYFUNCTION("""COMPUTED_VALUE"""),"")</f>
        <v/>
      </c>
      <c r="AR324" s="2" t="str">
        <f ca="1">IFERROR(__xludf.DUMMYFUNCTION("""COMPUTED_VALUE"""),"")</f>
        <v/>
      </c>
      <c r="AS324" s="2" t="str">
        <f ca="1">IFERROR(__xludf.DUMMYFUNCTION("""COMPUTED_VALUE"""),"")</f>
        <v/>
      </c>
      <c r="AT324" s="2" t="str">
        <f ca="1">IFERROR(__xludf.DUMMYFUNCTION("""COMPUTED_VALUE"""),"")</f>
        <v/>
      </c>
      <c r="AU324" s="2" t="str">
        <f ca="1">IFERROR(__xludf.DUMMYFUNCTION("""COMPUTED_VALUE"""),"")</f>
        <v/>
      </c>
      <c r="AV324" s="2" t="str">
        <f ca="1">IFERROR(__xludf.DUMMYFUNCTION("""COMPUTED_VALUE"""),"")</f>
        <v/>
      </c>
      <c r="AW324" s="2" t="str">
        <f ca="1">IFERROR(__xludf.DUMMYFUNCTION("""COMPUTED_VALUE"""),"")</f>
        <v/>
      </c>
      <c r="AX324" s="2" t="str">
        <f ca="1">IFERROR(__xludf.DUMMYFUNCTION("""COMPUTED_VALUE"""),"")</f>
        <v/>
      </c>
      <c r="AY324" s="2" t="str">
        <f ca="1">IFERROR(__xludf.DUMMYFUNCTION("""COMPUTED_VALUE"""),"")</f>
        <v/>
      </c>
      <c r="AZ324" s="2" t="str">
        <f ca="1">IFERROR(__xludf.DUMMYFUNCTION("""COMPUTED_VALUE"""),"")</f>
        <v/>
      </c>
      <c r="BA324" s="2" t="str">
        <f ca="1">IFERROR(__xludf.DUMMYFUNCTION("""COMPUTED_VALUE"""),"")</f>
        <v/>
      </c>
      <c r="BB324" s="2" t="str">
        <f ca="1">IFERROR(__xludf.DUMMYFUNCTION("""COMPUTED_VALUE"""),"")</f>
        <v/>
      </c>
      <c r="BC324" s="2" t="str">
        <f ca="1">IFERROR(__xludf.DUMMYFUNCTION("""COMPUTED_VALUE"""),"")</f>
        <v/>
      </c>
      <c r="BD324" s="2" t="str">
        <f ca="1">IFERROR(__xludf.DUMMYFUNCTION("""COMPUTED_VALUE"""),"")</f>
        <v/>
      </c>
      <c r="BE324" s="2" t="str">
        <f ca="1">IFERROR(__xludf.DUMMYFUNCTION("""COMPUTED_VALUE"""),"")</f>
        <v/>
      </c>
      <c r="BF324" t="str">
        <f ca="1">IFERROR(__xludf.DUMMYFUNCTION("""COMPUTED_VALUE"""),"")</f>
        <v/>
      </c>
      <c r="BG324" t="str">
        <f ca="1">IFERROR(__xludf.DUMMYFUNCTION("""COMPUTED_VALUE"""),"")</f>
        <v/>
      </c>
      <c r="BH324" s="2">
        <f ca="1">IFERROR(__xludf.DUMMYFUNCTION("""COMPUTED_VALUE"""),-37.1608696)</f>
        <v>-37.160869599999998</v>
      </c>
      <c r="BI324" s="13">
        <f ca="1">IFERROR(__xludf.DUMMYFUNCTION("""COMPUTED_VALUE"""),174.6779022)</f>
        <v>174.67790220000001</v>
      </c>
      <c r="BJ324" s="9">
        <f ca="1">IFERROR(__xludf.DUMMYFUNCTION("""COMPUTED_VALUE"""),43426)</f>
        <v>43426</v>
      </c>
      <c r="BK324" s="4">
        <f ca="1">IFERROR(__xludf.DUMMYFUNCTION("""COMPUTED_VALUE"""),0.958518518516939)</f>
        <v>0.95851851851693903</v>
      </c>
    </row>
    <row r="325" spans="1:63" ht="12.5" x14ac:dyDescent="0.25">
      <c r="A325" s="7" t="str">
        <f ca="1">IFERROR(__xludf.DUMMYFUNCTION("""COMPUTED_VALUE"""),"")</f>
        <v/>
      </c>
      <c r="B325" s="8" t="str">
        <f ca="1">IFERROR(__xludf.DUMMYFUNCTION("""COMPUTED_VALUE"""),"Waikato")</f>
        <v>Waikato</v>
      </c>
      <c r="C325" s="2">
        <f ca="1">IFERROR(__xludf.DUMMYFUNCTION("""COMPUTED_VALUE"""),21)</f>
        <v>21</v>
      </c>
      <c r="D325" s="9" t="str">
        <f ca="1">IFERROR(__xludf.DUMMYFUNCTION("""COMPUTED_VALUE"""),"")</f>
        <v/>
      </c>
      <c r="E325" s="4" t="str">
        <f ca="1">IFERROR(__xludf.DUMMYFUNCTION("""COMPUTED_VALUE"""),"")</f>
        <v/>
      </c>
      <c r="F325" s="2" t="str">
        <f ca="1">IFERROR(__xludf.DUMMYFUNCTION("""COMPUTED_VALUE"""),"")</f>
        <v/>
      </c>
      <c r="G325" s="2" t="str">
        <f ca="1">IFERROR(__xludf.DUMMYFUNCTION("""COMPUTED_VALUE"""),"GPS: I converted data downloaded from ARGOS using Pinpoint software")</f>
        <v>GPS: I converted data downloaded from ARGOS using Pinpoint software</v>
      </c>
      <c r="H325" s="2" t="str">
        <f ca="1">IFERROR(__xludf.DUMMYFUNCTION("""COMPUTED_VALUE"""),"3D")</f>
        <v>3D</v>
      </c>
      <c r="I325" s="2" t="str">
        <f ca="1">IFERROR(__xludf.DUMMYFUNCTION("""COMPUTED_VALUE"""),"")</f>
        <v/>
      </c>
      <c r="J325" s="2" t="str">
        <f ca="1">IFERROR(__xludf.DUMMYFUNCTION("""COMPUTED_VALUE"""),"")</f>
        <v/>
      </c>
      <c r="K325" s="2" t="str">
        <f ca="1">IFERROR(__xludf.DUMMYFUNCTION("""COMPUTED_VALUE"""),"")</f>
        <v/>
      </c>
      <c r="L325" s="2" t="str">
        <f ca="1">IFERROR(__xludf.DUMMYFUNCTION("""COMPUTED_VALUE"""),"")</f>
        <v/>
      </c>
      <c r="M325" s="5" t="str">
        <f ca="1">IFERROR(__xludf.DUMMYFUNCTION("""COMPUTED_VALUE"""),"")</f>
        <v/>
      </c>
      <c r="N325" s="5" t="str">
        <f ca="1">IFERROR(__xludf.DUMMYFUNCTION("""COMPUTED_VALUE"""),"")</f>
        <v/>
      </c>
      <c r="O325" s="2" t="str">
        <f ca="1">IFERROR(__xludf.DUMMYFUNCTION("""COMPUTED_VALUE"""),"")</f>
        <v/>
      </c>
      <c r="P325" s="2" t="str">
        <f ca="1">IFERROR(__xludf.DUMMYFUNCTION("""COMPUTED_VALUE"""),"")</f>
        <v/>
      </c>
      <c r="Q325" s="2" t="str">
        <f ca="1">IFERROR(__xludf.DUMMYFUNCTION("""COMPUTED_VALUE"""),"")</f>
        <v/>
      </c>
      <c r="R325" s="2" t="str">
        <f ca="1">IFERROR(__xludf.DUMMYFUNCTION("""COMPUTED_VALUE"""),"")</f>
        <v/>
      </c>
      <c r="S325" s="2" t="str">
        <f ca="1">IFERROR(__xludf.DUMMYFUNCTION("""COMPUTED_VALUE"""),"")</f>
        <v/>
      </c>
      <c r="T325" s="2" t="str">
        <f ca="1">IFERROR(__xludf.DUMMYFUNCTION("""COMPUTED_VALUE"""),"")</f>
        <v/>
      </c>
      <c r="U325" s="2" t="str">
        <f ca="1">IFERROR(__xludf.DUMMYFUNCTION("""COMPUTED_VALUE"""),"")</f>
        <v/>
      </c>
      <c r="V325" s="2" t="str">
        <f ca="1">IFERROR(__xludf.DUMMYFUNCTION("""COMPUTED_VALUE"""),"")</f>
        <v/>
      </c>
      <c r="W325" s="2" t="str">
        <f ca="1">IFERROR(__xludf.DUMMYFUNCTION("""COMPUTED_VALUE"""),"")</f>
        <v/>
      </c>
      <c r="X325" s="2" t="str">
        <f ca="1">IFERROR(__xludf.DUMMYFUNCTION("""COMPUTED_VALUE"""),"")</f>
        <v/>
      </c>
      <c r="Y325" s="2" t="str">
        <f ca="1">IFERROR(__xludf.DUMMYFUNCTION("""COMPUTED_VALUE"""),"")</f>
        <v/>
      </c>
      <c r="Z325" s="2" t="str">
        <f ca="1">IFERROR(__xludf.DUMMYFUNCTION("""COMPUTED_VALUE"""),"")</f>
        <v/>
      </c>
      <c r="AA325" s="2" t="str">
        <f ca="1">IFERROR(__xludf.DUMMYFUNCTION("""COMPUTED_VALUE"""),"")</f>
        <v/>
      </c>
      <c r="AB325" s="2" t="str">
        <f ca="1">IFERROR(__xludf.DUMMYFUNCTION("""COMPUTED_VALUE"""),"")</f>
        <v/>
      </c>
      <c r="AC325" s="2" t="str">
        <f ca="1">IFERROR(__xludf.DUMMYFUNCTION("""COMPUTED_VALUE"""),"")</f>
        <v/>
      </c>
      <c r="AD325" s="2" t="str">
        <f ca="1">IFERROR(__xludf.DUMMYFUNCTION("""COMPUTED_VALUE"""),"")</f>
        <v/>
      </c>
      <c r="AE325" s="2" t="str">
        <f ca="1">IFERROR(__xludf.DUMMYFUNCTION("""COMPUTED_VALUE"""),"")</f>
        <v/>
      </c>
      <c r="AF325" s="2" t="str">
        <f ca="1">IFERROR(__xludf.DUMMYFUNCTION("""COMPUTED_VALUE"""),"")</f>
        <v/>
      </c>
      <c r="AG325" s="2" t="str">
        <f ca="1">IFERROR(__xludf.DUMMYFUNCTION("""COMPUTED_VALUE"""),"")</f>
        <v/>
      </c>
      <c r="AH325" s="2" t="str">
        <f ca="1">IFERROR(__xludf.DUMMYFUNCTION("""COMPUTED_VALUE"""),"")</f>
        <v/>
      </c>
      <c r="AI325" s="2" t="str">
        <f ca="1">IFERROR(__xludf.DUMMYFUNCTION("""COMPUTED_VALUE"""),"")</f>
        <v/>
      </c>
      <c r="AJ325" s="2" t="str">
        <f ca="1">IFERROR(__xludf.DUMMYFUNCTION("""COMPUTED_VALUE"""),"")</f>
        <v/>
      </c>
      <c r="AK325" s="2" t="str">
        <f ca="1">IFERROR(__xludf.DUMMYFUNCTION("""COMPUTED_VALUE"""),"")</f>
        <v/>
      </c>
      <c r="AL325" s="2" t="str">
        <f ca="1">IFERROR(__xludf.DUMMYFUNCTION("""COMPUTED_VALUE"""),"")</f>
        <v/>
      </c>
      <c r="AM325" s="2" t="str">
        <f ca="1">IFERROR(__xludf.DUMMYFUNCTION("""COMPUTED_VALUE"""),"")</f>
        <v/>
      </c>
      <c r="AN325" s="2" t="str">
        <f ca="1">IFERROR(__xludf.DUMMYFUNCTION("""COMPUTED_VALUE"""),"")</f>
        <v/>
      </c>
      <c r="AO325" s="2" t="str">
        <f ca="1">IFERROR(__xludf.DUMMYFUNCTION("""COMPUTED_VALUE"""),"")</f>
        <v/>
      </c>
      <c r="AP325" s="2" t="str">
        <f ca="1">IFERROR(__xludf.DUMMYFUNCTION("""COMPUTED_VALUE"""),"")</f>
        <v/>
      </c>
      <c r="AQ325" s="2" t="str">
        <f ca="1">IFERROR(__xludf.DUMMYFUNCTION("""COMPUTED_VALUE"""),"")</f>
        <v/>
      </c>
      <c r="AR325" s="2" t="str">
        <f ca="1">IFERROR(__xludf.DUMMYFUNCTION("""COMPUTED_VALUE"""),"")</f>
        <v/>
      </c>
      <c r="AS325" s="2" t="str">
        <f ca="1">IFERROR(__xludf.DUMMYFUNCTION("""COMPUTED_VALUE"""),"")</f>
        <v/>
      </c>
      <c r="AT325" s="2" t="str">
        <f ca="1">IFERROR(__xludf.DUMMYFUNCTION("""COMPUTED_VALUE"""),"")</f>
        <v/>
      </c>
      <c r="AU325" s="2" t="str">
        <f ca="1">IFERROR(__xludf.DUMMYFUNCTION("""COMPUTED_VALUE"""),"")</f>
        <v/>
      </c>
      <c r="AV325" s="2" t="str">
        <f ca="1">IFERROR(__xludf.DUMMYFUNCTION("""COMPUTED_VALUE"""),"")</f>
        <v/>
      </c>
      <c r="AW325" s="2" t="str">
        <f ca="1">IFERROR(__xludf.DUMMYFUNCTION("""COMPUTED_VALUE"""),"")</f>
        <v/>
      </c>
      <c r="AX325" s="2" t="str">
        <f ca="1">IFERROR(__xludf.DUMMYFUNCTION("""COMPUTED_VALUE"""),"")</f>
        <v/>
      </c>
      <c r="AY325" s="2" t="str">
        <f ca="1">IFERROR(__xludf.DUMMYFUNCTION("""COMPUTED_VALUE"""),"")</f>
        <v/>
      </c>
      <c r="AZ325" s="2" t="str">
        <f ca="1">IFERROR(__xludf.DUMMYFUNCTION("""COMPUTED_VALUE"""),"")</f>
        <v/>
      </c>
      <c r="BA325" s="2" t="str">
        <f ca="1">IFERROR(__xludf.DUMMYFUNCTION("""COMPUTED_VALUE"""),"")</f>
        <v/>
      </c>
      <c r="BB325" s="2" t="str">
        <f ca="1">IFERROR(__xludf.DUMMYFUNCTION("""COMPUTED_VALUE"""),"")</f>
        <v/>
      </c>
      <c r="BC325" s="2" t="str">
        <f ca="1">IFERROR(__xludf.DUMMYFUNCTION("""COMPUTED_VALUE"""),"")</f>
        <v/>
      </c>
      <c r="BD325" s="2" t="str">
        <f ca="1">IFERROR(__xludf.DUMMYFUNCTION("""COMPUTED_VALUE"""),"")</f>
        <v/>
      </c>
      <c r="BE325" s="2" t="str">
        <f ca="1">IFERROR(__xludf.DUMMYFUNCTION("""COMPUTED_VALUE"""),"")</f>
        <v/>
      </c>
      <c r="BF325" t="str">
        <f ca="1">IFERROR(__xludf.DUMMYFUNCTION("""COMPUTED_VALUE"""),"")</f>
        <v/>
      </c>
      <c r="BG325" t="str">
        <f ca="1">IFERROR(__xludf.DUMMYFUNCTION("""COMPUTED_VALUE"""),"")</f>
        <v/>
      </c>
      <c r="BH325" s="2">
        <f ca="1">IFERROR(__xludf.DUMMYFUNCTION("""COMPUTED_VALUE"""),-36.9961853)</f>
        <v>-36.9961853</v>
      </c>
      <c r="BI325" s="12">
        <f ca="1">IFERROR(__xludf.DUMMYFUNCTION("""COMPUTED_VALUE"""),174.5684662)</f>
        <v>174.56846619999999</v>
      </c>
      <c r="BJ325" s="9">
        <f ca="1">IFERROR(__xludf.DUMMYFUNCTION("""COMPUTED_VALUE"""),43427)</f>
        <v>43427</v>
      </c>
      <c r="BK325" s="4">
        <f ca="1">IFERROR(__xludf.DUMMYFUNCTION("""COMPUTED_VALUE"""),0.874074074072268)</f>
        <v>0.874074074072268</v>
      </c>
    </row>
    <row r="326" spans="1:63" ht="12.5" x14ac:dyDescent="0.25">
      <c r="A326" s="7" t="str">
        <f ca="1">IFERROR(__xludf.DUMMYFUNCTION("""COMPUTED_VALUE"""),"")</f>
        <v/>
      </c>
      <c r="B326" s="8" t="str">
        <f ca="1">IFERROR(__xludf.DUMMYFUNCTION("""COMPUTED_VALUE"""),"Waikato")</f>
        <v>Waikato</v>
      </c>
      <c r="C326" s="2">
        <f ca="1">IFERROR(__xludf.DUMMYFUNCTION("""COMPUTED_VALUE"""),21)</f>
        <v>21</v>
      </c>
      <c r="D326" s="9" t="str">
        <f ca="1">IFERROR(__xludf.DUMMYFUNCTION("""COMPUTED_VALUE"""),"")</f>
        <v/>
      </c>
      <c r="E326" s="4" t="str">
        <f ca="1">IFERROR(__xludf.DUMMYFUNCTION("""COMPUTED_VALUE"""),"")</f>
        <v/>
      </c>
      <c r="F326" s="2" t="str">
        <f ca="1">IFERROR(__xludf.DUMMYFUNCTION("""COMPUTED_VALUE"""),"")</f>
        <v/>
      </c>
      <c r="G326" s="2" t="str">
        <f ca="1">IFERROR(__xludf.DUMMYFUNCTION("""COMPUTED_VALUE"""),"GPS: I converted data downloaded from ARGOS using Pinpoint software")</f>
        <v>GPS: I converted data downloaded from ARGOS using Pinpoint software</v>
      </c>
      <c r="H326" s="2" t="str">
        <f ca="1">IFERROR(__xludf.DUMMYFUNCTION("""COMPUTED_VALUE"""),"3D")</f>
        <v>3D</v>
      </c>
      <c r="I326" s="2" t="str">
        <f ca="1">IFERROR(__xludf.DUMMYFUNCTION("""COMPUTED_VALUE"""),"")</f>
        <v/>
      </c>
      <c r="J326" s="2" t="str">
        <f ca="1">IFERROR(__xludf.DUMMYFUNCTION("""COMPUTED_VALUE"""),"")</f>
        <v/>
      </c>
      <c r="K326" s="2" t="str">
        <f ca="1">IFERROR(__xludf.DUMMYFUNCTION("""COMPUTED_VALUE"""),"")</f>
        <v/>
      </c>
      <c r="L326" s="2" t="str">
        <f ca="1">IFERROR(__xludf.DUMMYFUNCTION("""COMPUTED_VALUE"""),"")</f>
        <v/>
      </c>
      <c r="M326" s="5" t="str">
        <f ca="1">IFERROR(__xludf.DUMMYFUNCTION("""COMPUTED_VALUE"""),"")</f>
        <v/>
      </c>
      <c r="N326" s="5" t="str">
        <f ca="1">IFERROR(__xludf.DUMMYFUNCTION("""COMPUTED_VALUE"""),"")</f>
        <v/>
      </c>
      <c r="O326" s="2" t="str">
        <f ca="1">IFERROR(__xludf.DUMMYFUNCTION("""COMPUTED_VALUE"""),"")</f>
        <v/>
      </c>
      <c r="P326" s="2" t="str">
        <f ca="1">IFERROR(__xludf.DUMMYFUNCTION("""COMPUTED_VALUE"""),"")</f>
        <v/>
      </c>
      <c r="Q326" s="2" t="str">
        <f ca="1">IFERROR(__xludf.DUMMYFUNCTION("""COMPUTED_VALUE"""),"")</f>
        <v/>
      </c>
      <c r="R326" s="2" t="str">
        <f ca="1">IFERROR(__xludf.DUMMYFUNCTION("""COMPUTED_VALUE"""),"")</f>
        <v/>
      </c>
      <c r="S326" s="2" t="str">
        <f ca="1">IFERROR(__xludf.DUMMYFUNCTION("""COMPUTED_VALUE"""),"")</f>
        <v/>
      </c>
      <c r="T326" s="2" t="str">
        <f ca="1">IFERROR(__xludf.DUMMYFUNCTION("""COMPUTED_VALUE"""),"")</f>
        <v/>
      </c>
      <c r="U326" s="2" t="str">
        <f ca="1">IFERROR(__xludf.DUMMYFUNCTION("""COMPUTED_VALUE"""),"")</f>
        <v/>
      </c>
      <c r="V326" s="2" t="str">
        <f ca="1">IFERROR(__xludf.DUMMYFUNCTION("""COMPUTED_VALUE"""),"")</f>
        <v/>
      </c>
      <c r="W326" s="2" t="str">
        <f ca="1">IFERROR(__xludf.DUMMYFUNCTION("""COMPUTED_VALUE"""),"")</f>
        <v/>
      </c>
      <c r="X326" s="2" t="str">
        <f ca="1">IFERROR(__xludf.DUMMYFUNCTION("""COMPUTED_VALUE"""),"")</f>
        <v/>
      </c>
      <c r="Y326" s="2" t="str">
        <f ca="1">IFERROR(__xludf.DUMMYFUNCTION("""COMPUTED_VALUE"""),"")</f>
        <v/>
      </c>
      <c r="Z326" s="2" t="str">
        <f ca="1">IFERROR(__xludf.DUMMYFUNCTION("""COMPUTED_VALUE"""),"")</f>
        <v/>
      </c>
      <c r="AA326" s="2" t="str">
        <f ca="1">IFERROR(__xludf.DUMMYFUNCTION("""COMPUTED_VALUE"""),"")</f>
        <v/>
      </c>
      <c r="AB326" s="2" t="str">
        <f ca="1">IFERROR(__xludf.DUMMYFUNCTION("""COMPUTED_VALUE"""),"")</f>
        <v/>
      </c>
      <c r="AC326" s="2" t="str">
        <f ca="1">IFERROR(__xludf.DUMMYFUNCTION("""COMPUTED_VALUE"""),"")</f>
        <v/>
      </c>
      <c r="AD326" s="2" t="str">
        <f ca="1">IFERROR(__xludf.DUMMYFUNCTION("""COMPUTED_VALUE"""),"")</f>
        <v/>
      </c>
      <c r="AE326" s="2" t="str">
        <f ca="1">IFERROR(__xludf.DUMMYFUNCTION("""COMPUTED_VALUE"""),"")</f>
        <v/>
      </c>
      <c r="AF326" s="2" t="str">
        <f ca="1">IFERROR(__xludf.DUMMYFUNCTION("""COMPUTED_VALUE"""),"")</f>
        <v/>
      </c>
      <c r="AG326" s="2" t="str">
        <f ca="1">IFERROR(__xludf.DUMMYFUNCTION("""COMPUTED_VALUE"""),"")</f>
        <v/>
      </c>
      <c r="AH326" s="2" t="str">
        <f ca="1">IFERROR(__xludf.DUMMYFUNCTION("""COMPUTED_VALUE"""),"")</f>
        <v/>
      </c>
      <c r="AI326" s="2" t="str">
        <f ca="1">IFERROR(__xludf.DUMMYFUNCTION("""COMPUTED_VALUE"""),"")</f>
        <v/>
      </c>
      <c r="AJ326" s="2" t="str">
        <f ca="1">IFERROR(__xludf.DUMMYFUNCTION("""COMPUTED_VALUE"""),"")</f>
        <v/>
      </c>
      <c r="AK326" s="2" t="str">
        <f ca="1">IFERROR(__xludf.DUMMYFUNCTION("""COMPUTED_VALUE"""),"")</f>
        <v/>
      </c>
      <c r="AL326" s="2" t="str">
        <f ca="1">IFERROR(__xludf.DUMMYFUNCTION("""COMPUTED_VALUE"""),"")</f>
        <v/>
      </c>
      <c r="AM326" s="2" t="str">
        <f ca="1">IFERROR(__xludf.DUMMYFUNCTION("""COMPUTED_VALUE"""),"")</f>
        <v/>
      </c>
      <c r="AN326" s="2" t="str">
        <f ca="1">IFERROR(__xludf.DUMMYFUNCTION("""COMPUTED_VALUE"""),"")</f>
        <v/>
      </c>
      <c r="AO326" s="2" t="str">
        <f ca="1">IFERROR(__xludf.DUMMYFUNCTION("""COMPUTED_VALUE"""),"")</f>
        <v/>
      </c>
      <c r="AP326" s="2" t="str">
        <f ca="1">IFERROR(__xludf.DUMMYFUNCTION("""COMPUTED_VALUE"""),"")</f>
        <v/>
      </c>
      <c r="AQ326" s="2" t="str">
        <f ca="1">IFERROR(__xludf.DUMMYFUNCTION("""COMPUTED_VALUE"""),"")</f>
        <v/>
      </c>
      <c r="AR326" s="2" t="str">
        <f ca="1">IFERROR(__xludf.DUMMYFUNCTION("""COMPUTED_VALUE"""),"")</f>
        <v/>
      </c>
      <c r="AS326" s="2" t="str">
        <f ca="1">IFERROR(__xludf.DUMMYFUNCTION("""COMPUTED_VALUE"""),"")</f>
        <v/>
      </c>
      <c r="AT326" s="2" t="str">
        <f ca="1">IFERROR(__xludf.DUMMYFUNCTION("""COMPUTED_VALUE"""),"")</f>
        <v/>
      </c>
      <c r="AU326" s="2" t="str">
        <f ca="1">IFERROR(__xludf.DUMMYFUNCTION("""COMPUTED_VALUE"""),"")</f>
        <v/>
      </c>
      <c r="AV326" s="2" t="str">
        <f ca="1">IFERROR(__xludf.DUMMYFUNCTION("""COMPUTED_VALUE"""),"")</f>
        <v/>
      </c>
      <c r="AW326" s="2" t="str">
        <f ca="1">IFERROR(__xludf.DUMMYFUNCTION("""COMPUTED_VALUE"""),"")</f>
        <v/>
      </c>
      <c r="AX326" s="2" t="str">
        <f ca="1">IFERROR(__xludf.DUMMYFUNCTION("""COMPUTED_VALUE"""),"")</f>
        <v/>
      </c>
      <c r="AY326" s="2" t="str">
        <f ca="1">IFERROR(__xludf.DUMMYFUNCTION("""COMPUTED_VALUE"""),"")</f>
        <v/>
      </c>
      <c r="AZ326" s="2" t="str">
        <f ca="1">IFERROR(__xludf.DUMMYFUNCTION("""COMPUTED_VALUE"""),"")</f>
        <v/>
      </c>
      <c r="BA326" s="2" t="str">
        <f ca="1">IFERROR(__xludf.DUMMYFUNCTION("""COMPUTED_VALUE"""),"")</f>
        <v/>
      </c>
      <c r="BB326" s="2" t="str">
        <f ca="1">IFERROR(__xludf.DUMMYFUNCTION("""COMPUTED_VALUE"""),"")</f>
        <v/>
      </c>
      <c r="BC326" s="2" t="str">
        <f ca="1">IFERROR(__xludf.DUMMYFUNCTION("""COMPUTED_VALUE"""),"")</f>
        <v/>
      </c>
      <c r="BD326" s="2" t="str">
        <f ca="1">IFERROR(__xludf.DUMMYFUNCTION("""COMPUTED_VALUE"""),"")</f>
        <v/>
      </c>
      <c r="BE326" s="2" t="str">
        <f ca="1">IFERROR(__xludf.DUMMYFUNCTION("""COMPUTED_VALUE"""),"")</f>
        <v/>
      </c>
      <c r="BF326" t="str">
        <f ca="1">IFERROR(__xludf.DUMMYFUNCTION("""COMPUTED_VALUE"""),"")</f>
        <v/>
      </c>
      <c r="BG326" t="str">
        <f ca="1">IFERROR(__xludf.DUMMYFUNCTION("""COMPUTED_VALUE"""),"")</f>
        <v/>
      </c>
      <c r="BH326" s="2">
        <f ca="1">IFERROR(__xludf.DUMMYFUNCTION("""COMPUTED_VALUE"""),-36.9957504)</f>
        <v>-36.995750399999999</v>
      </c>
      <c r="BI326" s="13">
        <f ca="1">IFERROR(__xludf.DUMMYFUNCTION("""COMPUTED_VALUE"""),174.5680237)</f>
        <v>174.5680237</v>
      </c>
      <c r="BJ326" s="9">
        <f ca="1">IFERROR(__xludf.DUMMYFUNCTION("""COMPUTED_VALUE"""),43428)</f>
        <v>43428</v>
      </c>
      <c r="BK326" s="4">
        <f ca="1">IFERROR(__xludf.DUMMYFUNCTION("""COMPUTED_VALUE"""),0.457777777777664)</f>
        <v>0.45777777777766399</v>
      </c>
    </row>
    <row r="327" spans="1:63" ht="12.5" x14ac:dyDescent="0.25">
      <c r="A327" s="7" t="str">
        <f ca="1">IFERROR(__xludf.DUMMYFUNCTION("""COMPUTED_VALUE"""),"")</f>
        <v/>
      </c>
      <c r="B327" s="8" t="str">
        <f ca="1">IFERROR(__xludf.DUMMYFUNCTION("""COMPUTED_VALUE"""),"Waikato")</f>
        <v>Waikato</v>
      </c>
      <c r="C327" s="2">
        <f ca="1">IFERROR(__xludf.DUMMYFUNCTION("""COMPUTED_VALUE"""),21)</f>
        <v>21</v>
      </c>
      <c r="D327" s="9" t="str">
        <f ca="1">IFERROR(__xludf.DUMMYFUNCTION("""COMPUTED_VALUE"""),"")</f>
        <v/>
      </c>
      <c r="E327" s="4" t="str">
        <f ca="1">IFERROR(__xludf.DUMMYFUNCTION("""COMPUTED_VALUE"""),"")</f>
        <v/>
      </c>
      <c r="F327" s="2" t="str">
        <f ca="1">IFERROR(__xludf.DUMMYFUNCTION("""COMPUTED_VALUE"""),"")</f>
        <v/>
      </c>
      <c r="G327" s="2" t="str">
        <f ca="1">IFERROR(__xludf.DUMMYFUNCTION("""COMPUTED_VALUE"""),"GPS: I converted data downloaded from ARGOS using Pinpoint software")</f>
        <v>GPS: I converted data downloaded from ARGOS using Pinpoint software</v>
      </c>
      <c r="H327" s="2" t="str">
        <f ca="1">IFERROR(__xludf.DUMMYFUNCTION("""COMPUTED_VALUE"""),"3D")</f>
        <v>3D</v>
      </c>
      <c r="I327" s="2" t="str">
        <f ca="1">IFERROR(__xludf.DUMMYFUNCTION("""COMPUTED_VALUE"""),"")</f>
        <v/>
      </c>
      <c r="J327" s="2" t="str">
        <f ca="1">IFERROR(__xludf.DUMMYFUNCTION("""COMPUTED_VALUE"""),"")</f>
        <v/>
      </c>
      <c r="K327" s="2" t="str">
        <f ca="1">IFERROR(__xludf.DUMMYFUNCTION("""COMPUTED_VALUE"""),"")</f>
        <v/>
      </c>
      <c r="L327" s="2" t="str">
        <f ca="1">IFERROR(__xludf.DUMMYFUNCTION("""COMPUTED_VALUE"""),"")</f>
        <v/>
      </c>
      <c r="M327" s="5" t="str">
        <f ca="1">IFERROR(__xludf.DUMMYFUNCTION("""COMPUTED_VALUE"""),"")</f>
        <v/>
      </c>
      <c r="N327" s="5" t="str">
        <f ca="1">IFERROR(__xludf.DUMMYFUNCTION("""COMPUTED_VALUE"""),"")</f>
        <v/>
      </c>
      <c r="O327" s="2" t="str">
        <f ca="1">IFERROR(__xludf.DUMMYFUNCTION("""COMPUTED_VALUE"""),"")</f>
        <v/>
      </c>
      <c r="P327" s="2" t="str">
        <f ca="1">IFERROR(__xludf.DUMMYFUNCTION("""COMPUTED_VALUE"""),"")</f>
        <v/>
      </c>
      <c r="Q327" s="2" t="str">
        <f ca="1">IFERROR(__xludf.DUMMYFUNCTION("""COMPUTED_VALUE"""),"")</f>
        <v/>
      </c>
      <c r="R327" s="2" t="str">
        <f ca="1">IFERROR(__xludf.DUMMYFUNCTION("""COMPUTED_VALUE"""),"")</f>
        <v/>
      </c>
      <c r="S327" s="2" t="str">
        <f ca="1">IFERROR(__xludf.DUMMYFUNCTION("""COMPUTED_VALUE"""),"")</f>
        <v/>
      </c>
      <c r="T327" s="2" t="str">
        <f ca="1">IFERROR(__xludf.DUMMYFUNCTION("""COMPUTED_VALUE"""),"")</f>
        <v/>
      </c>
      <c r="U327" s="2" t="str">
        <f ca="1">IFERROR(__xludf.DUMMYFUNCTION("""COMPUTED_VALUE"""),"")</f>
        <v/>
      </c>
      <c r="V327" s="2" t="str">
        <f ca="1">IFERROR(__xludf.DUMMYFUNCTION("""COMPUTED_VALUE"""),"")</f>
        <v/>
      </c>
      <c r="W327" s="2" t="str">
        <f ca="1">IFERROR(__xludf.DUMMYFUNCTION("""COMPUTED_VALUE"""),"")</f>
        <v/>
      </c>
      <c r="X327" s="2" t="str">
        <f ca="1">IFERROR(__xludf.DUMMYFUNCTION("""COMPUTED_VALUE"""),"")</f>
        <v/>
      </c>
      <c r="Y327" s="2" t="str">
        <f ca="1">IFERROR(__xludf.DUMMYFUNCTION("""COMPUTED_VALUE"""),"")</f>
        <v/>
      </c>
      <c r="Z327" s="2" t="str">
        <f ca="1">IFERROR(__xludf.DUMMYFUNCTION("""COMPUTED_VALUE"""),"")</f>
        <v/>
      </c>
      <c r="AA327" s="2" t="str">
        <f ca="1">IFERROR(__xludf.DUMMYFUNCTION("""COMPUTED_VALUE"""),"")</f>
        <v/>
      </c>
      <c r="AB327" s="2" t="str">
        <f ca="1">IFERROR(__xludf.DUMMYFUNCTION("""COMPUTED_VALUE"""),"")</f>
        <v/>
      </c>
      <c r="AC327" s="2" t="str">
        <f ca="1">IFERROR(__xludf.DUMMYFUNCTION("""COMPUTED_VALUE"""),"")</f>
        <v/>
      </c>
      <c r="AD327" s="2" t="str">
        <f ca="1">IFERROR(__xludf.DUMMYFUNCTION("""COMPUTED_VALUE"""),"")</f>
        <v/>
      </c>
      <c r="AE327" s="2" t="str">
        <f ca="1">IFERROR(__xludf.DUMMYFUNCTION("""COMPUTED_VALUE"""),"")</f>
        <v/>
      </c>
      <c r="AF327" s="2" t="str">
        <f ca="1">IFERROR(__xludf.DUMMYFUNCTION("""COMPUTED_VALUE"""),"")</f>
        <v/>
      </c>
      <c r="AG327" s="2" t="str">
        <f ca="1">IFERROR(__xludf.DUMMYFUNCTION("""COMPUTED_VALUE"""),"")</f>
        <v/>
      </c>
      <c r="AH327" s="2" t="str">
        <f ca="1">IFERROR(__xludf.DUMMYFUNCTION("""COMPUTED_VALUE"""),"")</f>
        <v/>
      </c>
      <c r="AI327" s="2" t="str">
        <f ca="1">IFERROR(__xludf.DUMMYFUNCTION("""COMPUTED_VALUE"""),"")</f>
        <v/>
      </c>
      <c r="AJ327" s="2" t="str">
        <f ca="1">IFERROR(__xludf.DUMMYFUNCTION("""COMPUTED_VALUE"""),"")</f>
        <v/>
      </c>
      <c r="AK327" s="2" t="str">
        <f ca="1">IFERROR(__xludf.DUMMYFUNCTION("""COMPUTED_VALUE"""),"")</f>
        <v/>
      </c>
      <c r="AL327" s="2" t="str">
        <f ca="1">IFERROR(__xludf.DUMMYFUNCTION("""COMPUTED_VALUE"""),"")</f>
        <v/>
      </c>
      <c r="AM327" s="2" t="str">
        <f ca="1">IFERROR(__xludf.DUMMYFUNCTION("""COMPUTED_VALUE"""),"")</f>
        <v/>
      </c>
      <c r="AN327" s="2" t="str">
        <f ca="1">IFERROR(__xludf.DUMMYFUNCTION("""COMPUTED_VALUE"""),"")</f>
        <v/>
      </c>
      <c r="AO327" s="2" t="str">
        <f ca="1">IFERROR(__xludf.DUMMYFUNCTION("""COMPUTED_VALUE"""),"")</f>
        <v/>
      </c>
      <c r="AP327" s="2" t="str">
        <f ca="1">IFERROR(__xludf.DUMMYFUNCTION("""COMPUTED_VALUE"""),"")</f>
        <v/>
      </c>
      <c r="AQ327" s="2" t="str">
        <f ca="1">IFERROR(__xludf.DUMMYFUNCTION("""COMPUTED_VALUE"""),"")</f>
        <v/>
      </c>
      <c r="AR327" s="2" t="str">
        <f ca="1">IFERROR(__xludf.DUMMYFUNCTION("""COMPUTED_VALUE"""),"")</f>
        <v/>
      </c>
      <c r="AS327" s="2" t="str">
        <f ca="1">IFERROR(__xludf.DUMMYFUNCTION("""COMPUTED_VALUE"""),"")</f>
        <v/>
      </c>
      <c r="AT327" s="2" t="str">
        <f ca="1">IFERROR(__xludf.DUMMYFUNCTION("""COMPUTED_VALUE"""),"")</f>
        <v/>
      </c>
      <c r="AU327" s="2" t="str">
        <f ca="1">IFERROR(__xludf.DUMMYFUNCTION("""COMPUTED_VALUE"""),"")</f>
        <v/>
      </c>
      <c r="AV327" s="2" t="str">
        <f ca="1">IFERROR(__xludf.DUMMYFUNCTION("""COMPUTED_VALUE"""),"")</f>
        <v/>
      </c>
      <c r="AW327" s="2" t="str">
        <f ca="1">IFERROR(__xludf.DUMMYFUNCTION("""COMPUTED_VALUE"""),"")</f>
        <v/>
      </c>
      <c r="AX327" s="2" t="str">
        <f ca="1">IFERROR(__xludf.DUMMYFUNCTION("""COMPUTED_VALUE"""),"")</f>
        <v/>
      </c>
      <c r="AY327" s="2" t="str">
        <f ca="1">IFERROR(__xludf.DUMMYFUNCTION("""COMPUTED_VALUE"""),"")</f>
        <v/>
      </c>
      <c r="AZ327" s="2" t="str">
        <f ca="1">IFERROR(__xludf.DUMMYFUNCTION("""COMPUTED_VALUE"""),"")</f>
        <v/>
      </c>
      <c r="BA327" s="2" t="str">
        <f ca="1">IFERROR(__xludf.DUMMYFUNCTION("""COMPUTED_VALUE"""),"")</f>
        <v/>
      </c>
      <c r="BB327" s="2" t="str">
        <f ca="1">IFERROR(__xludf.DUMMYFUNCTION("""COMPUTED_VALUE"""),"")</f>
        <v/>
      </c>
      <c r="BC327" s="2" t="str">
        <f ca="1">IFERROR(__xludf.DUMMYFUNCTION("""COMPUTED_VALUE"""),"")</f>
        <v/>
      </c>
      <c r="BD327" s="2" t="str">
        <f ca="1">IFERROR(__xludf.DUMMYFUNCTION("""COMPUTED_VALUE"""),"")</f>
        <v/>
      </c>
      <c r="BE327" s="2" t="str">
        <f ca="1">IFERROR(__xludf.DUMMYFUNCTION("""COMPUTED_VALUE"""),"")</f>
        <v/>
      </c>
      <c r="BF327" t="str">
        <f ca="1">IFERROR(__xludf.DUMMYFUNCTION("""COMPUTED_VALUE"""),"")</f>
        <v/>
      </c>
      <c r="BG327" t="str">
        <f ca="1">IFERROR(__xludf.DUMMYFUNCTION("""COMPUTED_VALUE"""),"")</f>
        <v/>
      </c>
      <c r="BH327" s="2">
        <f ca="1">IFERROR(__xludf.DUMMYFUNCTION("""COMPUTED_VALUE"""),-36.8584824)</f>
        <v>-36.8584824</v>
      </c>
      <c r="BI327" s="12">
        <f ca="1">IFERROR(__xludf.DUMMYFUNCTION("""COMPUTED_VALUE"""),174.6672821)</f>
        <v>174.66728209999999</v>
      </c>
      <c r="BJ327" s="9">
        <f ca="1">IFERROR(__xludf.DUMMYFUNCTION("""COMPUTED_VALUE"""),43428)</f>
        <v>43428</v>
      </c>
      <c r="BK327" s="4">
        <f ca="1">IFERROR(__xludf.DUMMYFUNCTION("""COMPUTED_VALUE"""),0.958518518516939)</f>
        <v>0.95851851851693903</v>
      </c>
    </row>
    <row r="328" spans="1:63" ht="12.5" x14ac:dyDescent="0.25">
      <c r="A328" s="7" t="str">
        <f ca="1">IFERROR(__xludf.DUMMYFUNCTION("""COMPUTED_VALUE"""),"")</f>
        <v/>
      </c>
      <c r="B328" s="8" t="str">
        <f ca="1">IFERROR(__xludf.DUMMYFUNCTION("""COMPUTED_VALUE"""),"Waikato")</f>
        <v>Waikato</v>
      </c>
      <c r="C328" s="2">
        <f ca="1">IFERROR(__xludf.DUMMYFUNCTION("""COMPUTED_VALUE"""),21)</f>
        <v>21</v>
      </c>
      <c r="D328" s="9" t="str">
        <f ca="1">IFERROR(__xludf.DUMMYFUNCTION("""COMPUTED_VALUE"""),"")</f>
        <v/>
      </c>
      <c r="E328" s="4" t="str">
        <f ca="1">IFERROR(__xludf.DUMMYFUNCTION("""COMPUTED_VALUE"""),"")</f>
        <v/>
      </c>
      <c r="F328" s="2" t="str">
        <f ca="1">IFERROR(__xludf.DUMMYFUNCTION("""COMPUTED_VALUE"""),"")</f>
        <v/>
      </c>
      <c r="G328" s="2" t="str">
        <f ca="1">IFERROR(__xludf.DUMMYFUNCTION("""COMPUTED_VALUE"""),"GPS: I converted data downloaded from ARGOS using Pinpoint software")</f>
        <v>GPS: I converted data downloaded from ARGOS using Pinpoint software</v>
      </c>
      <c r="H328" s="2" t="str">
        <f ca="1">IFERROR(__xludf.DUMMYFUNCTION("""COMPUTED_VALUE"""),"3D")</f>
        <v>3D</v>
      </c>
      <c r="I328" s="2" t="str">
        <f ca="1">IFERROR(__xludf.DUMMYFUNCTION("""COMPUTED_VALUE"""),"")</f>
        <v/>
      </c>
      <c r="J328" s="2" t="str">
        <f ca="1">IFERROR(__xludf.DUMMYFUNCTION("""COMPUTED_VALUE"""),"")</f>
        <v/>
      </c>
      <c r="K328" s="2" t="str">
        <f ca="1">IFERROR(__xludf.DUMMYFUNCTION("""COMPUTED_VALUE"""),"")</f>
        <v/>
      </c>
      <c r="L328" s="2" t="str">
        <f ca="1">IFERROR(__xludf.DUMMYFUNCTION("""COMPUTED_VALUE"""),"")</f>
        <v/>
      </c>
      <c r="M328" s="5" t="str">
        <f ca="1">IFERROR(__xludf.DUMMYFUNCTION("""COMPUTED_VALUE"""),"")</f>
        <v/>
      </c>
      <c r="N328" s="5" t="str">
        <f ca="1">IFERROR(__xludf.DUMMYFUNCTION("""COMPUTED_VALUE"""),"")</f>
        <v/>
      </c>
      <c r="O328" s="2" t="str">
        <f ca="1">IFERROR(__xludf.DUMMYFUNCTION("""COMPUTED_VALUE"""),"")</f>
        <v/>
      </c>
      <c r="P328" s="2" t="str">
        <f ca="1">IFERROR(__xludf.DUMMYFUNCTION("""COMPUTED_VALUE"""),"")</f>
        <v/>
      </c>
      <c r="Q328" s="2" t="str">
        <f ca="1">IFERROR(__xludf.DUMMYFUNCTION("""COMPUTED_VALUE"""),"")</f>
        <v/>
      </c>
      <c r="R328" s="2" t="str">
        <f ca="1">IFERROR(__xludf.DUMMYFUNCTION("""COMPUTED_VALUE"""),"")</f>
        <v/>
      </c>
      <c r="S328" s="2" t="str">
        <f ca="1">IFERROR(__xludf.DUMMYFUNCTION("""COMPUTED_VALUE"""),"")</f>
        <v/>
      </c>
      <c r="T328" s="2" t="str">
        <f ca="1">IFERROR(__xludf.DUMMYFUNCTION("""COMPUTED_VALUE"""),"")</f>
        <v/>
      </c>
      <c r="U328" s="2" t="str">
        <f ca="1">IFERROR(__xludf.DUMMYFUNCTION("""COMPUTED_VALUE"""),"")</f>
        <v/>
      </c>
      <c r="V328" s="2" t="str">
        <f ca="1">IFERROR(__xludf.DUMMYFUNCTION("""COMPUTED_VALUE"""),"")</f>
        <v/>
      </c>
      <c r="W328" s="2" t="str">
        <f ca="1">IFERROR(__xludf.DUMMYFUNCTION("""COMPUTED_VALUE"""),"")</f>
        <v/>
      </c>
      <c r="X328" s="2" t="str">
        <f ca="1">IFERROR(__xludf.DUMMYFUNCTION("""COMPUTED_VALUE"""),"")</f>
        <v/>
      </c>
      <c r="Y328" s="2" t="str">
        <f ca="1">IFERROR(__xludf.DUMMYFUNCTION("""COMPUTED_VALUE"""),"")</f>
        <v/>
      </c>
      <c r="Z328" s="2" t="str">
        <f ca="1">IFERROR(__xludf.DUMMYFUNCTION("""COMPUTED_VALUE"""),"")</f>
        <v/>
      </c>
      <c r="AA328" s="2" t="str">
        <f ca="1">IFERROR(__xludf.DUMMYFUNCTION("""COMPUTED_VALUE"""),"")</f>
        <v/>
      </c>
      <c r="AB328" s="2" t="str">
        <f ca="1">IFERROR(__xludf.DUMMYFUNCTION("""COMPUTED_VALUE"""),"")</f>
        <v/>
      </c>
      <c r="AC328" s="2" t="str">
        <f ca="1">IFERROR(__xludf.DUMMYFUNCTION("""COMPUTED_VALUE"""),"")</f>
        <v/>
      </c>
      <c r="AD328" s="2" t="str">
        <f ca="1">IFERROR(__xludf.DUMMYFUNCTION("""COMPUTED_VALUE"""),"")</f>
        <v/>
      </c>
      <c r="AE328" s="2" t="str">
        <f ca="1">IFERROR(__xludf.DUMMYFUNCTION("""COMPUTED_VALUE"""),"")</f>
        <v/>
      </c>
      <c r="AF328" s="2" t="str">
        <f ca="1">IFERROR(__xludf.DUMMYFUNCTION("""COMPUTED_VALUE"""),"")</f>
        <v/>
      </c>
      <c r="AG328" s="2" t="str">
        <f ca="1">IFERROR(__xludf.DUMMYFUNCTION("""COMPUTED_VALUE"""),"")</f>
        <v/>
      </c>
      <c r="AH328" s="2" t="str">
        <f ca="1">IFERROR(__xludf.DUMMYFUNCTION("""COMPUTED_VALUE"""),"")</f>
        <v/>
      </c>
      <c r="AI328" s="2" t="str">
        <f ca="1">IFERROR(__xludf.DUMMYFUNCTION("""COMPUTED_VALUE"""),"")</f>
        <v/>
      </c>
      <c r="AJ328" s="2" t="str">
        <f ca="1">IFERROR(__xludf.DUMMYFUNCTION("""COMPUTED_VALUE"""),"")</f>
        <v/>
      </c>
      <c r="AK328" s="2" t="str">
        <f ca="1">IFERROR(__xludf.DUMMYFUNCTION("""COMPUTED_VALUE"""),"")</f>
        <v/>
      </c>
      <c r="AL328" s="2" t="str">
        <f ca="1">IFERROR(__xludf.DUMMYFUNCTION("""COMPUTED_VALUE"""),"")</f>
        <v/>
      </c>
      <c r="AM328" s="2" t="str">
        <f ca="1">IFERROR(__xludf.DUMMYFUNCTION("""COMPUTED_VALUE"""),"")</f>
        <v/>
      </c>
      <c r="AN328" s="2" t="str">
        <f ca="1">IFERROR(__xludf.DUMMYFUNCTION("""COMPUTED_VALUE"""),"")</f>
        <v/>
      </c>
      <c r="AO328" s="2" t="str">
        <f ca="1">IFERROR(__xludf.DUMMYFUNCTION("""COMPUTED_VALUE"""),"")</f>
        <v/>
      </c>
      <c r="AP328" s="2" t="str">
        <f ca="1">IFERROR(__xludf.DUMMYFUNCTION("""COMPUTED_VALUE"""),"")</f>
        <v/>
      </c>
      <c r="AQ328" s="2" t="str">
        <f ca="1">IFERROR(__xludf.DUMMYFUNCTION("""COMPUTED_VALUE"""),"")</f>
        <v/>
      </c>
      <c r="AR328" s="2" t="str">
        <f ca="1">IFERROR(__xludf.DUMMYFUNCTION("""COMPUTED_VALUE"""),"")</f>
        <v/>
      </c>
      <c r="AS328" s="2" t="str">
        <f ca="1">IFERROR(__xludf.DUMMYFUNCTION("""COMPUTED_VALUE"""),"")</f>
        <v/>
      </c>
      <c r="AT328" s="2" t="str">
        <f ca="1">IFERROR(__xludf.DUMMYFUNCTION("""COMPUTED_VALUE"""),"")</f>
        <v/>
      </c>
      <c r="AU328" s="2" t="str">
        <f ca="1">IFERROR(__xludf.DUMMYFUNCTION("""COMPUTED_VALUE"""),"")</f>
        <v/>
      </c>
      <c r="AV328" s="2" t="str">
        <f ca="1">IFERROR(__xludf.DUMMYFUNCTION("""COMPUTED_VALUE"""),"")</f>
        <v/>
      </c>
      <c r="AW328" s="2" t="str">
        <f ca="1">IFERROR(__xludf.DUMMYFUNCTION("""COMPUTED_VALUE"""),"")</f>
        <v/>
      </c>
      <c r="AX328" s="2" t="str">
        <f ca="1">IFERROR(__xludf.DUMMYFUNCTION("""COMPUTED_VALUE"""),"")</f>
        <v/>
      </c>
      <c r="AY328" s="2" t="str">
        <f ca="1">IFERROR(__xludf.DUMMYFUNCTION("""COMPUTED_VALUE"""),"")</f>
        <v/>
      </c>
      <c r="AZ328" s="2" t="str">
        <f ca="1">IFERROR(__xludf.DUMMYFUNCTION("""COMPUTED_VALUE"""),"")</f>
        <v/>
      </c>
      <c r="BA328" s="2" t="str">
        <f ca="1">IFERROR(__xludf.DUMMYFUNCTION("""COMPUTED_VALUE"""),"")</f>
        <v/>
      </c>
      <c r="BB328" s="2" t="str">
        <f ca="1">IFERROR(__xludf.DUMMYFUNCTION("""COMPUTED_VALUE"""),"")</f>
        <v/>
      </c>
      <c r="BC328" s="2" t="str">
        <f ca="1">IFERROR(__xludf.DUMMYFUNCTION("""COMPUTED_VALUE"""),"")</f>
        <v/>
      </c>
      <c r="BD328" s="2" t="str">
        <f ca="1">IFERROR(__xludf.DUMMYFUNCTION("""COMPUTED_VALUE"""),"")</f>
        <v/>
      </c>
      <c r="BE328" s="2" t="str">
        <f ca="1">IFERROR(__xludf.DUMMYFUNCTION("""COMPUTED_VALUE"""),"")</f>
        <v/>
      </c>
      <c r="BF328" t="str">
        <f ca="1">IFERROR(__xludf.DUMMYFUNCTION("""COMPUTED_VALUE"""),"")</f>
        <v/>
      </c>
      <c r="BG328" t="str">
        <f ca="1">IFERROR(__xludf.DUMMYFUNCTION("""COMPUTED_VALUE"""),"")</f>
        <v/>
      </c>
      <c r="BH328" s="2">
        <f ca="1">IFERROR(__xludf.DUMMYFUNCTION("""COMPUTED_VALUE"""),-36.5810547)</f>
        <v>-36.581054700000003</v>
      </c>
      <c r="BI328" s="13">
        <f ca="1">IFERROR(__xludf.DUMMYFUNCTION("""COMPUTED_VALUE"""),174.3482819)</f>
        <v>174.34828189999999</v>
      </c>
      <c r="BJ328" s="9">
        <f ca="1">IFERROR(__xludf.DUMMYFUNCTION("""COMPUTED_VALUE"""),43430)</f>
        <v>43430</v>
      </c>
      <c r="BK328" s="4">
        <f ca="1">IFERROR(__xludf.DUMMYFUNCTION("""COMPUTED_VALUE"""),0.457777777777664)</f>
        <v>0.45777777777766399</v>
      </c>
    </row>
    <row r="329" spans="1:63" ht="12.5" x14ac:dyDescent="0.25">
      <c r="A329" s="7" t="str">
        <f ca="1">IFERROR(__xludf.DUMMYFUNCTION("""COMPUTED_VALUE"""),"")</f>
        <v/>
      </c>
      <c r="B329" s="8" t="str">
        <f ca="1">IFERROR(__xludf.DUMMYFUNCTION("""COMPUTED_VALUE"""),"Waikato")</f>
        <v>Waikato</v>
      </c>
      <c r="C329" s="2">
        <f ca="1">IFERROR(__xludf.DUMMYFUNCTION("""COMPUTED_VALUE"""),21)</f>
        <v>21</v>
      </c>
      <c r="D329" s="9" t="str">
        <f ca="1">IFERROR(__xludf.DUMMYFUNCTION("""COMPUTED_VALUE"""),"")</f>
        <v/>
      </c>
      <c r="E329" s="4" t="str">
        <f ca="1">IFERROR(__xludf.DUMMYFUNCTION("""COMPUTED_VALUE"""),"")</f>
        <v/>
      </c>
      <c r="F329" s="2" t="str">
        <f ca="1">IFERROR(__xludf.DUMMYFUNCTION("""COMPUTED_VALUE"""),"")</f>
        <v/>
      </c>
      <c r="G329" s="2" t="str">
        <f ca="1">IFERROR(__xludf.DUMMYFUNCTION("""COMPUTED_VALUE"""),"GPS: I converted data downloaded from ARGOS using Pinpoint software")</f>
        <v>GPS: I converted data downloaded from ARGOS using Pinpoint software</v>
      </c>
      <c r="H329" s="2" t="str">
        <f ca="1">IFERROR(__xludf.DUMMYFUNCTION("""COMPUTED_VALUE"""),"3D")</f>
        <v>3D</v>
      </c>
      <c r="I329" s="2" t="str">
        <f ca="1">IFERROR(__xludf.DUMMYFUNCTION("""COMPUTED_VALUE"""),"")</f>
        <v/>
      </c>
      <c r="J329" s="2" t="str">
        <f ca="1">IFERROR(__xludf.DUMMYFUNCTION("""COMPUTED_VALUE"""),"")</f>
        <v/>
      </c>
      <c r="K329" s="2" t="str">
        <f ca="1">IFERROR(__xludf.DUMMYFUNCTION("""COMPUTED_VALUE"""),"")</f>
        <v/>
      </c>
      <c r="L329" s="2" t="str">
        <f ca="1">IFERROR(__xludf.DUMMYFUNCTION("""COMPUTED_VALUE"""),"")</f>
        <v/>
      </c>
      <c r="M329" s="5" t="str">
        <f ca="1">IFERROR(__xludf.DUMMYFUNCTION("""COMPUTED_VALUE"""),"")</f>
        <v/>
      </c>
      <c r="N329" s="5" t="str">
        <f ca="1">IFERROR(__xludf.DUMMYFUNCTION("""COMPUTED_VALUE"""),"")</f>
        <v/>
      </c>
      <c r="O329" s="2" t="str">
        <f ca="1">IFERROR(__xludf.DUMMYFUNCTION("""COMPUTED_VALUE"""),"")</f>
        <v/>
      </c>
      <c r="P329" s="2" t="str">
        <f ca="1">IFERROR(__xludf.DUMMYFUNCTION("""COMPUTED_VALUE"""),"")</f>
        <v/>
      </c>
      <c r="Q329" s="2" t="str">
        <f ca="1">IFERROR(__xludf.DUMMYFUNCTION("""COMPUTED_VALUE"""),"")</f>
        <v/>
      </c>
      <c r="R329" s="2" t="str">
        <f ca="1">IFERROR(__xludf.DUMMYFUNCTION("""COMPUTED_VALUE"""),"")</f>
        <v/>
      </c>
      <c r="S329" s="2" t="str">
        <f ca="1">IFERROR(__xludf.DUMMYFUNCTION("""COMPUTED_VALUE"""),"")</f>
        <v/>
      </c>
      <c r="T329" s="2" t="str">
        <f ca="1">IFERROR(__xludf.DUMMYFUNCTION("""COMPUTED_VALUE"""),"")</f>
        <v/>
      </c>
      <c r="U329" s="2" t="str">
        <f ca="1">IFERROR(__xludf.DUMMYFUNCTION("""COMPUTED_VALUE"""),"")</f>
        <v/>
      </c>
      <c r="V329" s="2" t="str">
        <f ca="1">IFERROR(__xludf.DUMMYFUNCTION("""COMPUTED_VALUE"""),"")</f>
        <v/>
      </c>
      <c r="W329" s="2" t="str">
        <f ca="1">IFERROR(__xludf.DUMMYFUNCTION("""COMPUTED_VALUE"""),"")</f>
        <v/>
      </c>
      <c r="X329" s="2" t="str">
        <f ca="1">IFERROR(__xludf.DUMMYFUNCTION("""COMPUTED_VALUE"""),"")</f>
        <v/>
      </c>
      <c r="Y329" s="2" t="str">
        <f ca="1">IFERROR(__xludf.DUMMYFUNCTION("""COMPUTED_VALUE"""),"")</f>
        <v/>
      </c>
      <c r="Z329" s="2" t="str">
        <f ca="1">IFERROR(__xludf.DUMMYFUNCTION("""COMPUTED_VALUE"""),"")</f>
        <v/>
      </c>
      <c r="AA329" s="2" t="str">
        <f ca="1">IFERROR(__xludf.DUMMYFUNCTION("""COMPUTED_VALUE"""),"")</f>
        <v/>
      </c>
      <c r="AB329" s="2" t="str">
        <f ca="1">IFERROR(__xludf.DUMMYFUNCTION("""COMPUTED_VALUE"""),"")</f>
        <v/>
      </c>
      <c r="AC329" s="2" t="str">
        <f ca="1">IFERROR(__xludf.DUMMYFUNCTION("""COMPUTED_VALUE"""),"")</f>
        <v/>
      </c>
      <c r="AD329" s="2" t="str">
        <f ca="1">IFERROR(__xludf.DUMMYFUNCTION("""COMPUTED_VALUE"""),"")</f>
        <v/>
      </c>
      <c r="AE329" s="2" t="str">
        <f ca="1">IFERROR(__xludf.DUMMYFUNCTION("""COMPUTED_VALUE"""),"")</f>
        <v/>
      </c>
      <c r="AF329" s="2" t="str">
        <f ca="1">IFERROR(__xludf.DUMMYFUNCTION("""COMPUTED_VALUE"""),"")</f>
        <v/>
      </c>
      <c r="AG329" s="2" t="str">
        <f ca="1">IFERROR(__xludf.DUMMYFUNCTION("""COMPUTED_VALUE"""),"")</f>
        <v/>
      </c>
      <c r="AH329" s="2" t="str">
        <f ca="1">IFERROR(__xludf.DUMMYFUNCTION("""COMPUTED_VALUE"""),"")</f>
        <v/>
      </c>
      <c r="AI329" s="2" t="str">
        <f ca="1">IFERROR(__xludf.DUMMYFUNCTION("""COMPUTED_VALUE"""),"")</f>
        <v/>
      </c>
      <c r="AJ329" s="2" t="str">
        <f ca="1">IFERROR(__xludf.DUMMYFUNCTION("""COMPUTED_VALUE"""),"")</f>
        <v/>
      </c>
      <c r="AK329" s="2" t="str">
        <f ca="1">IFERROR(__xludf.DUMMYFUNCTION("""COMPUTED_VALUE"""),"")</f>
        <v/>
      </c>
      <c r="AL329" s="2" t="str">
        <f ca="1">IFERROR(__xludf.DUMMYFUNCTION("""COMPUTED_VALUE"""),"")</f>
        <v/>
      </c>
      <c r="AM329" s="2" t="str">
        <f ca="1">IFERROR(__xludf.DUMMYFUNCTION("""COMPUTED_VALUE"""),"")</f>
        <v/>
      </c>
      <c r="AN329" s="2" t="str">
        <f ca="1">IFERROR(__xludf.DUMMYFUNCTION("""COMPUTED_VALUE"""),"")</f>
        <v/>
      </c>
      <c r="AO329" s="2" t="str">
        <f ca="1">IFERROR(__xludf.DUMMYFUNCTION("""COMPUTED_VALUE"""),"")</f>
        <v/>
      </c>
      <c r="AP329" s="2" t="str">
        <f ca="1">IFERROR(__xludf.DUMMYFUNCTION("""COMPUTED_VALUE"""),"")</f>
        <v/>
      </c>
      <c r="AQ329" s="2" t="str">
        <f ca="1">IFERROR(__xludf.DUMMYFUNCTION("""COMPUTED_VALUE"""),"")</f>
        <v/>
      </c>
      <c r="AR329" s="2" t="str">
        <f ca="1">IFERROR(__xludf.DUMMYFUNCTION("""COMPUTED_VALUE"""),"")</f>
        <v/>
      </c>
      <c r="AS329" s="2" t="str">
        <f ca="1">IFERROR(__xludf.DUMMYFUNCTION("""COMPUTED_VALUE"""),"")</f>
        <v/>
      </c>
      <c r="AT329" s="2" t="str">
        <f ca="1">IFERROR(__xludf.DUMMYFUNCTION("""COMPUTED_VALUE"""),"")</f>
        <v/>
      </c>
      <c r="AU329" s="2" t="str">
        <f ca="1">IFERROR(__xludf.DUMMYFUNCTION("""COMPUTED_VALUE"""),"")</f>
        <v/>
      </c>
      <c r="AV329" s="2" t="str">
        <f ca="1">IFERROR(__xludf.DUMMYFUNCTION("""COMPUTED_VALUE"""),"")</f>
        <v/>
      </c>
      <c r="AW329" s="2" t="str">
        <f ca="1">IFERROR(__xludf.DUMMYFUNCTION("""COMPUTED_VALUE"""),"")</f>
        <v/>
      </c>
      <c r="AX329" s="2" t="str">
        <f ca="1">IFERROR(__xludf.DUMMYFUNCTION("""COMPUTED_VALUE"""),"")</f>
        <v/>
      </c>
      <c r="AY329" s="2" t="str">
        <f ca="1">IFERROR(__xludf.DUMMYFUNCTION("""COMPUTED_VALUE"""),"")</f>
        <v/>
      </c>
      <c r="AZ329" s="2" t="str">
        <f ca="1">IFERROR(__xludf.DUMMYFUNCTION("""COMPUTED_VALUE"""),"")</f>
        <v/>
      </c>
      <c r="BA329" s="2" t="str">
        <f ca="1">IFERROR(__xludf.DUMMYFUNCTION("""COMPUTED_VALUE"""),"")</f>
        <v/>
      </c>
      <c r="BB329" s="2" t="str">
        <f ca="1">IFERROR(__xludf.DUMMYFUNCTION("""COMPUTED_VALUE"""),"")</f>
        <v/>
      </c>
      <c r="BC329" s="2" t="str">
        <f ca="1">IFERROR(__xludf.DUMMYFUNCTION("""COMPUTED_VALUE"""),"")</f>
        <v/>
      </c>
      <c r="BD329" s="2" t="str">
        <f ca="1">IFERROR(__xludf.DUMMYFUNCTION("""COMPUTED_VALUE"""),"")</f>
        <v/>
      </c>
      <c r="BE329" s="2" t="str">
        <f ca="1">IFERROR(__xludf.DUMMYFUNCTION("""COMPUTED_VALUE"""),"")</f>
        <v/>
      </c>
      <c r="BF329" t="str">
        <f ca="1">IFERROR(__xludf.DUMMYFUNCTION("""COMPUTED_VALUE"""),"")</f>
        <v/>
      </c>
      <c r="BG329" t="str">
        <f ca="1">IFERROR(__xludf.DUMMYFUNCTION("""COMPUTED_VALUE"""),"")</f>
        <v/>
      </c>
      <c r="BH329" s="2">
        <f ca="1">IFERROR(__xludf.DUMMYFUNCTION("""COMPUTED_VALUE"""),-36.5273476)</f>
        <v>-36.527347599999999</v>
      </c>
      <c r="BI329" s="12">
        <f ca="1">IFERROR(__xludf.DUMMYFUNCTION("""COMPUTED_VALUE"""),174.2442627)</f>
        <v>174.24426270000001</v>
      </c>
      <c r="BJ329" s="9">
        <f ca="1">IFERROR(__xludf.DUMMYFUNCTION("""COMPUTED_VALUE"""),43430)</f>
        <v>43430</v>
      </c>
      <c r="BK329" s="4">
        <f ca="1">IFERROR(__xludf.DUMMYFUNCTION("""COMPUTED_VALUE"""),0.958518518516939)</f>
        <v>0.95851851851693903</v>
      </c>
    </row>
    <row r="330" spans="1:63" ht="12.5" x14ac:dyDescent="0.25">
      <c r="A330" s="7" t="str">
        <f ca="1">IFERROR(__xludf.DUMMYFUNCTION("""COMPUTED_VALUE"""),"")</f>
        <v/>
      </c>
      <c r="B330" s="8" t="str">
        <f ca="1">IFERROR(__xludf.DUMMYFUNCTION("""COMPUTED_VALUE"""),"Waikato")</f>
        <v>Waikato</v>
      </c>
      <c r="C330" s="2">
        <f ca="1">IFERROR(__xludf.DUMMYFUNCTION("""COMPUTED_VALUE"""),21)</f>
        <v>21</v>
      </c>
      <c r="D330" s="9" t="str">
        <f ca="1">IFERROR(__xludf.DUMMYFUNCTION("""COMPUTED_VALUE"""),"")</f>
        <v/>
      </c>
      <c r="E330" s="4" t="str">
        <f ca="1">IFERROR(__xludf.DUMMYFUNCTION("""COMPUTED_VALUE"""),"")</f>
        <v/>
      </c>
      <c r="F330" s="2" t="str">
        <f ca="1">IFERROR(__xludf.DUMMYFUNCTION("""COMPUTED_VALUE"""),"")</f>
        <v/>
      </c>
      <c r="G330" s="2" t="str">
        <f ca="1">IFERROR(__xludf.DUMMYFUNCTION("""COMPUTED_VALUE"""),"GPS: I converted data downloaded from ARGOS using Pinpoint software")</f>
        <v>GPS: I converted data downloaded from ARGOS using Pinpoint software</v>
      </c>
      <c r="H330" s="2" t="str">
        <f ca="1">IFERROR(__xludf.DUMMYFUNCTION("""COMPUTED_VALUE"""),"3D")</f>
        <v>3D</v>
      </c>
      <c r="I330" s="2" t="str">
        <f ca="1">IFERROR(__xludf.DUMMYFUNCTION("""COMPUTED_VALUE"""),"")</f>
        <v/>
      </c>
      <c r="J330" s="2" t="str">
        <f ca="1">IFERROR(__xludf.DUMMYFUNCTION("""COMPUTED_VALUE"""),"")</f>
        <v/>
      </c>
      <c r="K330" s="2" t="str">
        <f ca="1">IFERROR(__xludf.DUMMYFUNCTION("""COMPUTED_VALUE"""),"")</f>
        <v/>
      </c>
      <c r="L330" s="2" t="str">
        <f ca="1">IFERROR(__xludf.DUMMYFUNCTION("""COMPUTED_VALUE"""),"")</f>
        <v/>
      </c>
      <c r="M330" s="5" t="str">
        <f ca="1">IFERROR(__xludf.DUMMYFUNCTION("""COMPUTED_VALUE"""),"")</f>
        <v/>
      </c>
      <c r="N330" s="5" t="str">
        <f ca="1">IFERROR(__xludf.DUMMYFUNCTION("""COMPUTED_VALUE"""),"")</f>
        <v/>
      </c>
      <c r="O330" s="2" t="str">
        <f ca="1">IFERROR(__xludf.DUMMYFUNCTION("""COMPUTED_VALUE"""),"")</f>
        <v/>
      </c>
      <c r="P330" s="2" t="str">
        <f ca="1">IFERROR(__xludf.DUMMYFUNCTION("""COMPUTED_VALUE"""),"")</f>
        <v/>
      </c>
      <c r="Q330" s="2" t="str">
        <f ca="1">IFERROR(__xludf.DUMMYFUNCTION("""COMPUTED_VALUE"""),"")</f>
        <v/>
      </c>
      <c r="R330" s="2" t="str">
        <f ca="1">IFERROR(__xludf.DUMMYFUNCTION("""COMPUTED_VALUE"""),"")</f>
        <v/>
      </c>
      <c r="S330" s="2" t="str">
        <f ca="1">IFERROR(__xludf.DUMMYFUNCTION("""COMPUTED_VALUE"""),"")</f>
        <v/>
      </c>
      <c r="T330" s="2" t="str">
        <f ca="1">IFERROR(__xludf.DUMMYFUNCTION("""COMPUTED_VALUE"""),"")</f>
        <v/>
      </c>
      <c r="U330" s="2" t="str">
        <f ca="1">IFERROR(__xludf.DUMMYFUNCTION("""COMPUTED_VALUE"""),"")</f>
        <v/>
      </c>
      <c r="V330" s="2" t="str">
        <f ca="1">IFERROR(__xludf.DUMMYFUNCTION("""COMPUTED_VALUE"""),"")</f>
        <v/>
      </c>
      <c r="W330" s="2" t="str">
        <f ca="1">IFERROR(__xludf.DUMMYFUNCTION("""COMPUTED_VALUE"""),"")</f>
        <v/>
      </c>
      <c r="X330" s="2" t="str">
        <f ca="1">IFERROR(__xludf.DUMMYFUNCTION("""COMPUTED_VALUE"""),"")</f>
        <v/>
      </c>
      <c r="Y330" s="2" t="str">
        <f ca="1">IFERROR(__xludf.DUMMYFUNCTION("""COMPUTED_VALUE"""),"")</f>
        <v/>
      </c>
      <c r="Z330" s="2" t="str">
        <f ca="1">IFERROR(__xludf.DUMMYFUNCTION("""COMPUTED_VALUE"""),"")</f>
        <v/>
      </c>
      <c r="AA330" s="2" t="str">
        <f ca="1">IFERROR(__xludf.DUMMYFUNCTION("""COMPUTED_VALUE"""),"")</f>
        <v/>
      </c>
      <c r="AB330" s="2" t="str">
        <f ca="1">IFERROR(__xludf.DUMMYFUNCTION("""COMPUTED_VALUE"""),"")</f>
        <v/>
      </c>
      <c r="AC330" s="2" t="str">
        <f ca="1">IFERROR(__xludf.DUMMYFUNCTION("""COMPUTED_VALUE"""),"")</f>
        <v/>
      </c>
      <c r="AD330" s="2" t="str">
        <f ca="1">IFERROR(__xludf.DUMMYFUNCTION("""COMPUTED_VALUE"""),"")</f>
        <v/>
      </c>
      <c r="AE330" s="2" t="str">
        <f ca="1">IFERROR(__xludf.DUMMYFUNCTION("""COMPUTED_VALUE"""),"")</f>
        <v/>
      </c>
      <c r="AF330" s="2" t="str">
        <f ca="1">IFERROR(__xludf.DUMMYFUNCTION("""COMPUTED_VALUE"""),"")</f>
        <v/>
      </c>
      <c r="AG330" s="2" t="str">
        <f ca="1">IFERROR(__xludf.DUMMYFUNCTION("""COMPUTED_VALUE"""),"")</f>
        <v/>
      </c>
      <c r="AH330" s="2" t="str">
        <f ca="1">IFERROR(__xludf.DUMMYFUNCTION("""COMPUTED_VALUE"""),"")</f>
        <v/>
      </c>
      <c r="AI330" s="2" t="str">
        <f ca="1">IFERROR(__xludf.DUMMYFUNCTION("""COMPUTED_VALUE"""),"")</f>
        <v/>
      </c>
      <c r="AJ330" s="2" t="str">
        <f ca="1">IFERROR(__xludf.DUMMYFUNCTION("""COMPUTED_VALUE"""),"")</f>
        <v/>
      </c>
      <c r="AK330" s="2" t="str">
        <f ca="1">IFERROR(__xludf.DUMMYFUNCTION("""COMPUTED_VALUE"""),"")</f>
        <v/>
      </c>
      <c r="AL330" s="2" t="str">
        <f ca="1">IFERROR(__xludf.DUMMYFUNCTION("""COMPUTED_VALUE"""),"")</f>
        <v/>
      </c>
      <c r="AM330" s="2" t="str">
        <f ca="1">IFERROR(__xludf.DUMMYFUNCTION("""COMPUTED_VALUE"""),"")</f>
        <v/>
      </c>
      <c r="AN330" s="2" t="str">
        <f ca="1">IFERROR(__xludf.DUMMYFUNCTION("""COMPUTED_VALUE"""),"")</f>
        <v/>
      </c>
      <c r="AO330" s="2" t="str">
        <f ca="1">IFERROR(__xludf.DUMMYFUNCTION("""COMPUTED_VALUE"""),"")</f>
        <v/>
      </c>
      <c r="AP330" s="2" t="str">
        <f ca="1">IFERROR(__xludf.DUMMYFUNCTION("""COMPUTED_VALUE"""),"")</f>
        <v/>
      </c>
      <c r="AQ330" s="2" t="str">
        <f ca="1">IFERROR(__xludf.DUMMYFUNCTION("""COMPUTED_VALUE"""),"")</f>
        <v/>
      </c>
      <c r="AR330" s="2" t="str">
        <f ca="1">IFERROR(__xludf.DUMMYFUNCTION("""COMPUTED_VALUE"""),"")</f>
        <v/>
      </c>
      <c r="AS330" s="2" t="str">
        <f ca="1">IFERROR(__xludf.DUMMYFUNCTION("""COMPUTED_VALUE"""),"")</f>
        <v/>
      </c>
      <c r="AT330" s="2" t="str">
        <f ca="1">IFERROR(__xludf.DUMMYFUNCTION("""COMPUTED_VALUE"""),"")</f>
        <v/>
      </c>
      <c r="AU330" s="2" t="str">
        <f ca="1">IFERROR(__xludf.DUMMYFUNCTION("""COMPUTED_VALUE"""),"")</f>
        <v/>
      </c>
      <c r="AV330" s="2" t="str">
        <f ca="1">IFERROR(__xludf.DUMMYFUNCTION("""COMPUTED_VALUE"""),"")</f>
        <v/>
      </c>
      <c r="AW330" s="2" t="str">
        <f ca="1">IFERROR(__xludf.DUMMYFUNCTION("""COMPUTED_VALUE"""),"")</f>
        <v/>
      </c>
      <c r="AX330" s="2" t="str">
        <f ca="1">IFERROR(__xludf.DUMMYFUNCTION("""COMPUTED_VALUE"""),"")</f>
        <v/>
      </c>
      <c r="AY330" s="2" t="str">
        <f ca="1">IFERROR(__xludf.DUMMYFUNCTION("""COMPUTED_VALUE"""),"")</f>
        <v/>
      </c>
      <c r="AZ330" s="2" t="str">
        <f ca="1">IFERROR(__xludf.DUMMYFUNCTION("""COMPUTED_VALUE"""),"")</f>
        <v/>
      </c>
      <c r="BA330" s="2" t="str">
        <f ca="1">IFERROR(__xludf.DUMMYFUNCTION("""COMPUTED_VALUE"""),"")</f>
        <v/>
      </c>
      <c r="BB330" s="2" t="str">
        <f ca="1">IFERROR(__xludf.DUMMYFUNCTION("""COMPUTED_VALUE"""),"")</f>
        <v/>
      </c>
      <c r="BC330" s="2" t="str">
        <f ca="1">IFERROR(__xludf.DUMMYFUNCTION("""COMPUTED_VALUE"""),"")</f>
        <v/>
      </c>
      <c r="BD330" s="2" t="str">
        <f ca="1">IFERROR(__xludf.DUMMYFUNCTION("""COMPUTED_VALUE"""),"")</f>
        <v/>
      </c>
      <c r="BE330" s="2" t="str">
        <f ca="1">IFERROR(__xludf.DUMMYFUNCTION("""COMPUTED_VALUE"""),"")</f>
        <v/>
      </c>
      <c r="BF330" t="str">
        <f ca="1">IFERROR(__xludf.DUMMYFUNCTION("""COMPUTED_VALUE"""),"")</f>
        <v/>
      </c>
      <c r="BG330" t="str">
        <f ca="1">IFERROR(__xludf.DUMMYFUNCTION("""COMPUTED_VALUE"""),"")</f>
        <v/>
      </c>
      <c r="BH330" s="2">
        <f ca="1">IFERROR(__xludf.DUMMYFUNCTION("""COMPUTED_VALUE"""),-36.4586868)</f>
        <v>-36.458686800000002</v>
      </c>
      <c r="BI330" s="13">
        <f ca="1">IFERROR(__xludf.DUMMYFUNCTION("""COMPUTED_VALUE"""),174.1910095)</f>
        <v>174.19100950000001</v>
      </c>
      <c r="BJ330" s="9">
        <f ca="1">IFERROR(__xludf.DUMMYFUNCTION("""COMPUTED_VALUE"""),43432)</f>
        <v>43432</v>
      </c>
      <c r="BK330" s="4">
        <f ca="1">IFERROR(__xludf.DUMMYFUNCTION("""COMPUTED_VALUE"""),0.457777777777664)</f>
        <v>0.45777777777766399</v>
      </c>
    </row>
    <row r="331" spans="1:63" ht="12.5" x14ac:dyDescent="0.25">
      <c r="A331" s="7" t="str">
        <f ca="1">IFERROR(__xludf.DUMMYFUNCTION("""COMPUTED_VALUE"""),"")</f>
        <v/>
      </c>
      <c r="B331" s="8" t="str">
        <f ca="1">IFERROR(__xludf.DUMMYFUNCTION("""COMPUTED_VALUE"""),"Waikato")</f>
        <v>Waikato</v>
      </c>
      <c r="C331" s="2">
        <f ca="1">IFERROR(__xludf.DUMMYFUNCTION("""COMPUTED_VALUE"""),21)</f>
        <v>21</v>
      </c>
      <c r="D331" s="9" t="str">
        <f ca="1">IFERROR(__xludf.DUMMYFUNCTION("""COMPUTED_VALUE"""),"")</f>
        <v/>
      </c>
      <c r="E331" s="4" t="str">
        <f ca="1">IFERROR(__xludf.DUMMYFUNCTION("""COMPUTED_VALUE"""),"")</f>
        <v/>
      </c>
      <c r="F331" s="2" t="str">
        <f ca="1">IFERROR(__xludf.DUMMYFUNCTION("""COMPUTED_VALUE"""),"")</f>
        <v/>
      </c>
      <c r="G331" s="2" t="str">
        <f ca="1">IFERROR(__xludf.DUMMYFUNCTION("""COMPUTED_VALUE"""),"GPS: I converted data downloaded from ARGOS using Pinpoint software")</f>
        <v>GPS: I converted data downloaded from ARGOS using Pinpoint software</v>
      </c>
      <c r="H331" s="2" t="str">
        <f ca="1">IFERROR(__xludf.DUMMYFUNCTION("""COMPUTED_VALUE"""),"3D")</f>
        <v>3D</v>
      </c>
      <c r="I331" s="2" t="str">
        <f ca="1">IFERROR(__xludf.DUMMYFUNCTION("""COMPUTED_VALUE"""),"")</f>
        <v/>
      </c>
      <c r="J331" s="2" t="str">
        <f ca="1">IFERROR(__xludf.DUMMYFUNCTION("""COMPUTED_VALUE"""),"")</f>
        <v/>
      </c>
      <c r="K331" s="2" t="str">
        <f ca="1">IFERROR(__xludf.DUMMYFUNCTION("""COMPUTED_VALUE"""),"")</f>
        <v/>
      </c>
      <c r="L331" s="2" t="str">
        <f ca="1">IFERROR(__xludf.DUMMYFUNCTION("""COMPUTED_VALUE"""),"")</f>
        <v/>
      </c>
      <c r="M331" s="5" t="str">
        <f ca="1">IFERROR(__xludf.DUMMYFUNCTION("""COMPUTED_VALUE"""),"")</f>
        <v/>
      </c>
      <c r="N331" s="5" t="str">
        <f ca="1">IFERROR(__xludf.DUMMYFUNCTION("""COMPUTED_VALUE"""),"")</f>
        <v/>
      </c>
      <c r="O331" s="2" t="str">
        <f ca="1">IFERROR(__xludf.DUMMYFUNCTION("""COMPUTED_VALUE"""),"")</f>
        <v/>
      </c>
      <c r="P331" s="2" t="str">
        <f ca="1">IFERROR(__xludf.DUMMYFUNCTION("""COMPUTED_VALUE"""),"")</f>
        <v/>
      </c>
      <c r="Q331" s="2" t="str">
        <f ca="1">IFERROR(__xludf.DUMMYFUNCTION("""COMPUTED_VALUE"""),"")</f>
        <v/>
      </c>
      <c r="R331" s="2" t="str">
        <f ca="1">IFERROR(__xludf.DUMMYFUNCTION("""COMPUTED_VALUE"""),"")</f>
        <v/>
      </c>
      <c r="S331" s="2" t="str">
        <f ca="1">IFERROR(__xludf.DUMMYFUNCTION("""COMPUTED_VALUE"""),"")</f>
        <v/>
      </c>
      <c r="T331" s="2" t="str">
        <f ca="1">IFERROR(__xludf.DUMMYFUNCTION("""COMPUTED_VALUE"""),"")</f>
        <v/>
      </c>
      <c r="U331" s="2" t="str">
        <f ca="1">IFERROR(__xludf.DUMMYFUNCTION("""COMPUTED_VALUE"""),"")</f>
        <v/>
      </c>
      <c r="V331" s="2" t="str">
        <f ca="1">IFERROR(__xludf.DUMMYFUNCTION("""COMPUTED_VALUE"""),"")</f>
        <v/>
      </c>
      <c r="W331" s="2" t="str">
        <f ca="1">IFERROR(__xludf.DUMMYFUNCTION("""COMPUTED_VALUE"""),"")</f>
        <v/>
      </c>
      <c r="X331" s="2" t="str">
        <f ca="1">IFERROR(__xludf.DUMMYFUNCTION("""COMPUTED_VALUE"""),"")</f>
        <v/>
      </c>
      <c r="Y331" s="2" t="str">
        <f ca="1">IFERROR(__xludf.DUMMYFUNCTION("""COMPUTED_VALUE"""),"")</f>
        <v/>
      </c>
      <c r="Z331" s="2" t="str">
        <f ca="1">IFERROR(__xludf.DUMMYFUNCTION("""COMPUTED_VALUE"""),"")</f>
        <v/>
      </c>
      <c r="AA331" s="2" t="str">
        <f ca="1">IFERROR(__xludf.DUMMYFUNCTION("""COMPUTED_VALUE"""),"")</f>
        <v/>
      </c>
      <c r="AB331" s="2" t="str">
        <f ca="1">IFERROR(__xludf.DUMMYFUNCTION("""COMPUTED_VALUE"""),"")</f>
        <v/>
      </c>
      <c r="AC331" s="2" t="str">
        <f ca="1">IFERROR(__xludf.DUMMYFUNCTION("""COMPUTED_VALUE"""),"")</f>
        <v/>
      </c>
      <c r="AD331" s="2" t="str">
        <f ca="1">IFERROR(__xludf.DUMMYFUNCTION("""COMPUTED_VALUE"""),"")</f>
        <v/>
      </c>
      <c r="AE331" s="2" t="str">
        <f ca="1">IFERROR(__xludf.DUMMYFUNCTION("""COMPUTED_VALUE"""),"")</f>
        <v/>
      </c>
      <c r="AF331" s="2" t="str">
        <f ca="1">IFERROR(__xludf.DUMMYFUNCTION("""COMPUTED_VALUE"""),"")</f>
        <v/>
      </c>
      <c r="AG331" s="2" t="str">
        <f ca="1">IFERROR(__xludf.DUMMYFUNCTION("""COMPUTED_VALUE"""),"")</f>
        <v/>
      </c>
      <c r="AH331" s="2" t="str">
        <f ca="1">IFERROR(__xludf.DUMMYFUNCTION("""COMPUTED_VALUE"""),"")</f>
        <v/>
      </c>
      <c r="AI331" s="2" t="str">
        <f ca="1">IFERROR(__xludf.DUMMYFUNCTION("""COMPUTED_VALUE"""),"")</f>
        <v/>
      </c>
      <c r="AJ331" s="2" t="str">
        <f ca="1">IFERROR(__xludf.DUMMYFUNCTION("""COMPUTED_VALUE"""),"")</f>
        <v/>
      </c>
      <c r="AK331" s="2" t="str">
        <f ca="1">IFERROR(__xludf.DUMMYFUNCTION("""COMPUTED_VALUE"""),"")</f>
        <v/>
      </c>
      <c r="AL331" s="2" t="str">
        <f ca="1">IFERROR(__xludf.DUMMYFUNCTION("""COMPUTED_VALUE"""),"")</f>
        <v/>
      </c>
      <c r="AM331" s="2" t="str">
        <f ca="1">IFERROR(__xludf.DUMMYFUNCTION("""COMPUTED_VALUE"""),"")</f>
        <v/>
      </c>
      <c r="AN331" s="2" t="str">
        <f ca="1">IFERROR(__xludf.DUMMYFUNCTION("""COMPUTED_VALUE"""),"")</f>
        <v/>
      </c>
      <c r="AO331" s="2" t="str">
        <f ca="1">IFERROR(__xludf.DUMMYFUNCTION("""COMPUTED_VALUE"""),"")</f>
        <v/>
      </c>
      <c r="AP331" s="2" t="str">
        <f ca="1">IFERROR(__xludf.DUMMYFUNCTION("""COMPUTED_VALUE"""),"")</f>
        <v/>
      </c>
      <c r="AQ331" s="2" t="str">
        <f ca="1">IFERROR(__xludf.DUMMYFUNCTION("""COMPUTED_VALUE"""),"")</f>
        <v/>
      </c>
      <c r="AR331" s="2" t="str">
        <f ca="1">IFERROR(__xludf.DUMMYFUNCTION("""COMPUTED_VALUE"""),"")</f>
        <v/>
      </c>
      <c r="AS331" s="2" t="str">
        <f ca="1">IFERROR(__xludf.DUMMYFUNCTION("""COMPUTED_VALUE"""),"")</f>
        <v/>
      </c>
      <c r="AT331" s="2" t="str">
        <f ca="1">IFERROR(__xludf.DUMMYFUNCTION("""COMPUTED_VALUE"""),"")</f>
        <v/>
      </c>
      <c r="AU331" s="2" t="str">
        <f ca="1">IFERROR(__xludf.DUMMYFUNCTION("""COMPUTED_VALUE"""),"")</f>
        <v/>
      </c>
      <c r="AV331" s="2" t="str">
        <f ca="1">IFERROR(__xludf.DUMMYFUNCTION("""COMPUTED_VALUE"""),"")</f>
        <v/>
      </c>
      <c r="AW331" s="2" t="str">
        <f ca="1">IFERROR(__xludf.DUMMYFUNCTION("""COMPUTED_VALUE"""),"")</f>
        <v/>
      </c>
      <c r="AX331" s="2" t="str">
        <f ca="1">IFERROR(__xludf.DUMMYFUNCTION("""COMPUTED_VALUE"""),"")</f>
        <v/>
      </c>
      <c r="AY331" s="2" t="str">
        <f ca="1">IFERROR(__xludf.DUMMYFUNCTION("""COMPUTED_VALUE"""),"")</f>
        <v/>
      </c>
      <c r="AZ331" s="2" t="str">
        <f ca="1">IFERROR(__xludf.DUMMYFUNCTION("""COMPUTED_VALUE"""),"")</f>
        <v/>
      </c>
      <c r="BA331" s="2" t="str">
        <f ca="1">IFERROR(__xludf.DUMMYFUNCTION("""COMPUTED_VALUE"""),"")</f>
        <v/>
      </c>
      <c r="BB331" s="2" t="str">
        <f ca="1">IFERROR(__xludf.DUMMYFUNCTION("""COMPUTED_VALUE"""),"")</f>
        <v/>
      </c>
      <c r="BC331" s="2" t="str">
        <f ca="1">IFERROR(__xludf.DUMMYFUNCTION("""COMPUTED_VALUE"""),"")</f>
        <v/>
      </c>
      <c r="BD331" s="2" t="str">
        <f ca="1">IFERROR(__xludf.DUMMYFUNCTION("""COMPUTED_VALUE"""),"")</f>
        <v/>
      </c>
      <c r="BE331" s="2" t="str">
        <f ca="1">IFERROR(__xludf.DUMMYFUNCTION("""COMPUTED_VALUE"""),"")</f>
        <v/>
      </c>
      <c r="BF331" t="str">
        <f ca="1">IFERROR(__xludf.DUMMYFUNCTION("""COMPUTED_VALUE"""),"")</f>
        <v/>
      </c>
      <c r="BG331" t="str">
        <f ca="1">IFERROR(__xludf.DUMMYFUNCTION("""COMPUTED_VALUE"""),"")</f>
        <v/>
      </c>
      <c r="BH331" s="2">
        <f ca="1">IFERROR(__xludf.DUMMYFUNCTION("""COMPUTED_VALUE"""),-36.4563599)</f>
        <v>-36.456359900000002</v>
      </c>
      <c r="BI331" s="12">
        <f ca="1">IFERROR(__xludf.DUMMYFUNCTION("""COMPUTED_VALUE"""),174.190094)</f>
        <v>174.19009399999999</v>
      </c>
      <c r="BJ331" s="9">
        <f ca="1">IFERROR(__xludf.DUMMYFUNCTION("""COMPUTED_VALUE"""),43432)</f>
        <v>43432</v>
      </c>
      <c r="BK331" s="4">
        <f ca="1">IFERROR(__xludf.DUMMYFUNCTION("""COMPUTED_VALUE"""),0.958518518516939)</f>
        <v>0.95851851851693903</v>
      </c>
    </row>
    <row r="332" spans="1:63" ht="12.5" x14ac:dyDescent="0.25">
      <c r="A332" s="7" t="str">
        <f ca="1">IFERROR(__xludf.DUMMYFUNCTION("""COMPUTED_VALUE"""),"")</f>
        <v/>
      </c>
      <c r="B332" s="8" t="str">
        <f ca="1">IFERROR(__xludf.DUMMYFUNCTION("""COMPUTED_VALUE"""),"Waikato")</f>
        <v>Waikato</v>
      </c>
      <c r="C332" s="2">
        <f ca="1">IFERROR(__xludf.DUMMYFUNCTION("""COMPUTED_VALUE"""),21)</f>
        <v>21</v>
      </c>
      <c r="D332" s="9" t="str">
        <f ca="1">IFERROR(__xludf.DUMMYFUNCTION("""COMPUTED_VALUE"""),"")</f>
        <v/>
      </c>
      <c r="E332" s="4" t="str">
        <f ca="1">IFERROR(__xludf.DUMMYFUNCTION("""COMPUTED_VALUE"""),"")</f>
        <v/>
      </c>
      <c r="F332" s="2" t="str">
        <f ca="1">IFERROR(__xludf.DUMMYFUNCTION("""COMPUTED_VALUE"""),"")</f>
        <v/>
      </c>
      <c r="G332" s="2" t="str">
        <f ca="1">IFERROR(__xludf.DUMMYFUNCTION("""COMPUTED_VALUE"""),"GPS: I converted data downloaded from ARGOS using Pinpoint software")</f>
        <v>GPS: I converted data downloaded from ARGOS using Pinpoint software</v>
      </c>
      <c r="H332" s="2" t="str">
        <f ca="1">IFERROR(__xludf.DUMMYFUNCTION("""COMPUTED_VALUE"""),"3D")</f>
        <v>3D</v>
      </c>
      <c r="I332" s="2" t="str">
        <f ca="1">IFERROR(__xludf.DUMMYFUNCTION("""COMPUTED_VALUE"""),"")</f>
        <v/>
      </c>
      <c r="J332" s="2" t="str">
        <f ca="1">IFERROR(__xludf.DUMMYFUNCTION("""COMPUTED_VALUE"""),"")</f>
        <v/>
      </c>
      <c r="K332" s="2" t="str">
        <f ca="1">IFERROR(__xludf.DUMMYFUNCTION("""COMPUTED_VALUE"""),"")</f>
        <v/>
      </c>
      <c r="L332" s="2" t="str">
        <f ca="1">IFERROR(__xludf.DUMMYFUNCTION("""COMPUTED_VALUE"""),"")</f>
        <v/>
      </c>
      <c r="M332" s="5" t="str">
        <f ca="1">IFERROR(__xludf.DUMMYFUNCTION("""COMPUTED_VALUE"""),"")</f>
        <v/>
      </c>
      <c r="N332" s="5" t="str">
        <f ca="1">IFERROR(__xludf.DUMMYFUNCTION("""COMPUTED_VALUE"""),"")</f>
        <v/>
      </c>
      <c r="O332" s="2" t="str">
        <f ca="1">IFERROR(__xludf.DUMMYFUNCTION("""COMPUTED_VALUE"""),"")</f>
        <v/>
      </c>
      <c r="P332" s="2" t="str">
        <f ca="1">IFERROR(__xludf.DUMMYFUNCTION("""COMPUTED_VALUE"""),"")</f>
        <v/>
      </c>
      <c r="Q332" s="2" t="str">
        <f ca="1">IFERROR(__xludf.DUMMYFUNCTION("""COMPUTED_VALUE"""),"")</f>
        <v/>
      </c>
      <c r="R332" s="2" t="str">
        <f ca="1">IFERROR(__xludf.DUMMYFUNCTION("""COMPUTED_VALUE"""),"")</f>
        <v/>
      </c>
      <c r="S332" s="2" t="str">
        <f ca="1">IFERROR(__xludf.DUMMYFUNCTION("""COMPUTED_VALUE"""),"")</f>
        <v/>
      </c>
      <c r="T332" s="2" t="str">
        <f ca="1">IFERROR(__xludf.DUMMYFUNCTION("""COMPUTED_VALUE"""),"")</f>
        <v/>
      </c>
      <c r="U332" s="2" t="str">
        <f ca="1">IFERROR(__xludf.DUMMYFUNCTION("""COMPUTED_VALUE"""),"")</f>
        <v/>
      </c>
      <c r="V332" s="2" t="str">
        <f ca="1">IFERROR(__xludf.DUMMYFUNCTION("""COMPUTED_VALUE"""),"")</f>
        <v/>
      </c>
      <c r="W332" s="2" t="str">
        <f ca="1">IFERROR(__xludf.DUMMYFUNCTION("""COMPUTED_VALUE"""),"")</f>
        <v/>
      </c>
      <c r="X332" s="2" t="str">
        <f ca="1">IFERROR(__xludf.DUMMYFUNCTION("""COMPUTED_VALUE"""),"")</f>
        <v/>
      </c>
      <c r="Y332" s="2" t="str">
        <f ca="1">IFERROR(__xludf.DUMMYFUNCTION("""COMPUTED_VALUE"""),"")</f>
        <v/>
      </c>
      <c r="Z332" s="2" t="str">
        <f ca="1">IFERROR(__xludf.DUMMYFUNCTION("""COMPUTED_VALUE"""),"")</f>
        <v/>
      </c>
      <c r="AA332" s="2" t="str">
        <f ca="1">IFERROR(__xludf.DUMMYFUNCTION("""COMPUTED_VALUE"""),"")</f>
        <v/>
      </c>
      <c r="AB332" s="2" t="str">
        <f ca="1">IFERROR(__xludf.DUMMYFUNCTION("""COMPUTED_VALUE"""),"")</f>
        <v/>
      </c>
      <c r="AC332" s="2" t="str">
        <f ca="1">IFERROR(__xludf.DUMMYFUNCTION("""COMPUTED_VALUE"""),"")</f>
        <v/>
      </c>
      <c r="AD332" s="2" t="str">
        <f ca="1">IFERROR(__xludf.DUMMYFUNCTION("""COMPUTED_VALUE"""),"")</f>
        <v/>
      </c>
      <c r="AE332" s="2" t="str">
        <f ca="1">IFERROR(__xludf.DUMMYFUNCTION("""COMPUTED_VALUE"""),"")</f>
        <v/>
      </c>
      <c r="AF332" s="2" t="str">
        <f ca="1">IFERROR(__xludf.DUMMYFUNCTION("""COMPUTED_VALUE"""),"")</f>
        <v/>
      </c>
      <c r="AG332" s="2" t="str">
        <f ca="1">IFERROR(__xludf.DUMMYFUNCTION("""COMPUTED_VALUE"""),"")</f>
        <v/>
      </c>
      <c r="AH332" s="2" t="str">
        <f ca="1">IFERROR(__xludf.DUMMYFUNCTION("""COMPUTED_VALUE"""),"")</f>
        <v/>
      </c>
      <c r="AI332" s="2" t="str">
        <f ca="1">IFERROR(__xludf.DUMMYFUNCTION("""COMPUTED_VALUE"""),"")</f>
        <v/>
      </c>
      <c r="AJ332" s="2" t="str">
        <f ca="1">IFERROR(__xludf.DUMMYFUNCTION("""COMPUTED_VALUE"""),"")</f>
        <v/>
      </c>
      <c r="AK332" s="2" t="str">
        <f ca="1">IFERROR(__xludf.DUMMYFUNCTION("""COMPUTED_VALUE"""),"")</f>
        <v/>
      </c>
      <c r="AL332" s="2" t="str">
        <f ca="1">IFERROR(__xludf.DUMMYFUNCTION("""COMPUTED_VALUE"""),"")</f>
        <v/>
      </c>
      <c r="AM332" s="2" t="str">
        <f ca="1">IFERROR(__xludf.DUMMYFUNCTION("""COMPUTED_VALUE"""),"")</f>
        <v/>
      </c>
      <c r="AN332" s="2" t="str">
        <f ca="1">IFERROR(__xludf.DUMMYFUNCTION("""COMPUTED_VALUE"""),"")</f>
        <v/>
      </c>
      <c r="AO332" s="2" t="str">
        <f ca="1">IFERROR(__xludf.DUMMYFUNCTION("""COMPUTED_VALUE"""),"")</f>
        <v/>
      </c>
      <c r="AP332" s="2" t="str">
        <f ca="1">IFERROR(__xludf.DUMMYFUNCTION("""COMPUTED_VALUE"""),"")</f>
        <v/>
      </c>
      <c r="AQ332" s="2" t="str">
        <f ca="1">IFERROR(__xludf.DUMMYFUNCTION("""COMPUTED_VALUE"""),"")</f>
        <v/>
      </c>
      <c r="AR332" s="2" t="str">
        <f ca="1">IFERROR(__xludf.DUMMYFUNCTION("""COMPUTED_VALUE"""),"")</f>
        <v/>
      </c>
      <c r="AS332" s="2" t="str">
        <f ca="1">IFERROR(__xludf.DUMMYFUNCTION("""COMPUTED_VALUE"""),"")</f>
        <v/>
      </c>
      <c r="AT332" s="2" t="str">
        <f ca="1">IFERROR(__xludf.DUMMYFUNCTION("""COMPUTED_VALUE"""),"")</f>
        <v/>
      </c>
      <c r="AU332" s="2" t="str">
        <f ca="1">IFERROR(__xludf.DUMMYFUNCTION("""COMPUTED_VALUE"""),"")</f>
        <v/>
      </c>
      <c r="AV332" s="2" t="str">
        <f ca="1">IFERROR(__xludf.DUMMYFUNCTION("""COMPUTED_VALUE"""),"")</f>
        <v/>
      </c>
      <c r="AW332" s="2" t="str">
        <f ca="1">IFERROR(__xludf.DUMMYFUNCTION("""COMPUTED_VALUE"""),"")</f>
        <v/>
      </c>
      <c r="AX332" s="2" t="str">
        <f ca="1">IFERROR(__xludf.DUMMYFUNCTION("""COMPUTED_VALUE"""),"")</f>
        <v/>
      </c>
      <c r="AY332" s="2" t="str">
        <f ca="1">IFERROR(__xludf.DUMMYFUNCTION("""COMPUTED_VALUE"""),"")</f>
        <v/>
      </c>
      <c r="AZ332" s="2" t="str">
        <f ca="1">IFERROR(__xludf.DUMMYFUNCTION("""COMPUTED_VALUE"""),"")</f>
        <v/>
      </c>
      <c r="BA332" s="2" t="str">
        <f ca="1">IFERROR(__xludf.DUMMYFUNCTION("""COMPUTED_VALUE"""),"")</f>
        <v/>
      </c>
      <c r="BB332" s="2" t="str">
        <f ca="1">IFERROR(__xludf.DUMMYFUNCTION("""COMPUTED_VALUE"""),"")</f>
        <v/>
      </c>
      <c r="BC332" s="2" t="str">
        <f ca="1">IFERROR(__xludf.DUMMYFUNCTION("""COMPUTED_VALUE"""),"")</f>
        <v/>
      </c>
      <c r="BD332" s="2" t="str">
        <f ca="1">IFERROR(__xludf.DUMMYFUNCTION("""COMPUTED_VALUE"""),"")</f>
        <v/>
      </c>
      <c r="BE332" s="2" t="str">
        <f ca="1">IFERROR(__xludf.DUMMYFUNCTION("""COMPUTED_VALUE"""),"")</f>
        <v/>
      </c>
      <c r="BF332" t="str">
        <f ca="1">IFERROR(__xludf.DUMMYFUNCTION("""COMPUTED_VALUE"""),"")</f>
        <v/>
      </c>
      <c r="BG332" t="str">
        <f ca="1">IFERROR(__xludf.DUMMYFUNCTION("""COMPUTED_VALUE"""),"")</f>
        <v/>
      </c>
      <c r="BH332" s="2">
        <f ca="1">IFERROR(__xludf.DUMMYFUNCTION("""COMPUTED_VALUE"""),-36.460659)</f>
        <v>-36.460659</v>
      </c>
      <c r="BI332" s="13">
        <f ca="1">IFERROR(__xludf.DUMMYFUNCTION("""COMPUTED_VALUE"""),174.1987762)</f>
        <v>174.1987762</v>
      </c>
      <c r="BJ332" s="9">
        <f ca="1">IFERROR(__xludf.DUMMYFUNCTION("""COMPUTED_VALUE"""),43434)</f>
        <v>43434</v>
      </c>
      <c r="BK332" s="4">
        <f ca="1">IFERROR(__xludf.DUMMYFUNCTION("""COMPUTED_VALUE"""),0.457777777777664)</f>
        <v>0.45777777777766399</v>
      </c>
    </row>
    <row r="333" spans="1:63" ht="12.5" x14ac:dyDescent="0.25">
      <c r="A333" s="7" t="str">
        <f ca="1">IFERROR(__xludf.DUMMYFUNCTION("""COMPUTED_VALUE"""),"")</f>
        <v/>
      </c>
      <c r="B333" s="8" t="str">
        <f ca="1">IFERROR(__xludf.DUMMYFUNCTION("""COMPUTED_VALUE"""),"Waikato")</f>
        <v>Waikato</v>
      </c>
      <c r="C333" s="2">
        <f ca="1">IFERROR(__xludf.DUMMYFUNCTION("""COMPUTED_VALUE"""),21)</f>
        <v>21</v>
      </c>
      <c r="D333" s="9" t="str">
        <f ca="1">IFERROR(__xludf.DUMMYFUNCTION("""COMPUTED_VALUE"""),"")</f>
        <v/>
      </c>
      <c r="E333" s="4" t="str">
        <f ca="1">IFERROR(__xludf.DUMMYFUNCTION("""COMPUTED_VALUE"""),"")</f>
        <v/>
      </c>
      <c r="F333" s="2" t="str">
        <f ca="1">IFERROR(__xludf.DUMMYFUNCTION("""COMPUTED_VALUE"""),"")</f>
        <v/>
      </c>
      <c r="G333" s="2" t="str">
        <f ca="1">IFERROR(__xludf.DUMMYFUNCTION("""COMPUTED_VALUE"""),"GPS: I converted data downloaded from ARGOS using Pinpoint software")</f>
        <v>GPS: I converted data downloaded from ARGOS using Pinpoint software</v>
      </c>
      <c r="H333" s="2" t="str">
        <f ca="1">IFERROR(__xludf.DUMMYFUNCTION("""COMPUTED_VALUE"""),"3D")</f>
        <v>3D</v>
      </c>
      <c r="I333" s="2" t="str">
        <f ca="1">IFERROR(__xludf.DUMMYFUNCTION("""COMPUTED_VALUE"""),"")</f>
        <v/>
      </c>
      <c r="J333" s="2" t="str">
        <f ca="1">IFERROR(__xludf.DUMMYFUNCTION("""COMPUTED_VALUE"""),"")</f>
        <v/>
      </c>
      <c r="K333" s="2" t="str">
        <f ca="1">IFERROR(__xludf.DUMMYFUNCTION("""COMPUTED_VALUE"""),"")</f>
        <v/>
      </c>
      <c r="L333" s="2" t="str">
        <f ca="1">IFERROR(__xludf.DUMMYFUNCTION("""COMPUTED_VALUE"""),"")</f>
        <v/>
      </c>
      <c r="M333" s="5" t="str">
        <f ca="1">IFERROR(__xludf.DUMMYFUNCTION("""COMPUTED_VALUE"""),"")</f>
        <v/>
      </c>
      <c r="N333" s="5" t="str">
        <f ca="1">IFERROR(__xludf.DUMMYFUNCTION("""COMPUTED_VALUE"""),"")</f>
        <v/>
      </c>
      <c r="O333" s="2" t="str">
        <f ca="1">IFERROR(__xludf.DUMMYFUNCTION("""COMPUTED_VALUE"""),"")</f>
        <v/>
      </c>
      <c r="P333" s="2" t="str">
        <f ca="1">IFERROR(__xludf.DUMMYFUNCTION("""COMPUTED_VALUE"""),"")</f>
        <v/>
      </c>
      <c r="Q333" s="2" t="str">
        <f ca="1">IFERROR(__xludf.DUMMYFUNCTION("""COMPUTED_VALUE"""),"")</f>
        <v/>
      </c>
      <c r="R333" s="2" t="str">
        <f ca="1">IFERROR(__xludf.DUMMYFUNCTION("""COMPUTED_VALUE"""),"")</f>
        <v/>
      </c>
      <c r="S333" s="2" t="str">
        <f ca="1">IFERROR(__xludf.DUMMYFUNCTION("""COMPUTED_VALUE"""),"")</f>
        <v/>
      </c>
      <c r="T333" s="2" t="str">
        <f ca="1">IFERROR(__xludf.DUMMYFUNCTION("""COMPUTED_VALUE"""),"")</f>
        <v/>
      </c>
      <c r="U333" s="2" t="str">
        <f ca="1">IFERROR(__xludf.DUMMYFUNCTION("""COMPUTED_VALUE"""),"")</f>
        <v/>
      </c>
      <c r="V333" s="2" t="str">
        <f ca="1">IFERROR(__xludf.DUMMYFUNCTION("""COMPUTED_VALUE"""),"")</f>
        <v/>
      </c>
      <c r="W333" s="2" t="str">
        <f ca="1">IFERROR(__xludf.DUMMYFUNCTION("""COMPUTED_VALUE"""),"")</f>
        <v/>
      </c>
      <c r="X333" s="2" t="str">
        <f ca="1">IFERROR(__xludf.DUMMYFUNCTION("""COMPUTED_VALUE"""),"")</f>
        <v/>
      </c>
      <c r="Y333" s="2" t="str">
        <f ca="1">IFERROR(__xludf.DUMMYFUNCTION("""COMPUTED_VALUE"""),"")</f>
        <v/>
      </c>
      <c r="Z333" s="2" t="str">
        <f ca="1">IFERROR(__xludf.DUMMYFUNCTION("""COMPUTED_VALUE"""),"")</f>
        <v/>
      </c>
      <c r="AA333" s="2" t="str">
        <f ca="1">IFERROR(__xludf.DUMMYFUNCTION("""COMPUTED_VALUE"""),"")</f>
        <v/>
      </c>
      <c r="AB333" s="2" t="str">
        <f ca="1">IFERROR(__xludf.DUMMYFUNCTION("""COMPUTED_VALUE"""),"")</f>
        <v/>
      </c>
      <c r="AC333" s="2" t="str">
        <f ca="1">IFERROR(__xludf.DUMMYFUNCTION("""COMPUTED_VALUE"""),"")</f>
        <v/>
      </c>
      <c r="AD333" s="2" t="str">
        <f ca="1">IFERROR(__xludf.DUMMYFUNCTION("""COMPUTED_VALUE"""),"")</f>
        <v/>
      </c>
      <c r="AE333" s="2" t="str">
        <f ca="1">IFERROR(__xludf.DUMMYFUNCTION("""COMPUTED_VALUE"""),"")</f>
        <v/>
      </c>
      <c r="AF333" s="2" t="str">
        <f ca="1">IFERROR(__xludf.DUMMYFUNCTION("""COMPUTED_VALUE"""),"")</f>
        <v/>
      </c>
      <c r="AG333" s="2" t="str">
        <f ca="1">IFERROR(__xludf.DUMMYFUNCTION("""COMPUTED_VALUE"""),"")</f>
        <v/>
      </c>
      <c r="AH333" s="2" t="str">
        <f ca="1">IFERROR(__xludf.DUMMYFUNCTION("""COMPUTED_VALUE"""),"")</f>
        <v/>
      </c>
      <c r="AI333" s="2" t="str">
        <f ca="1">IFERROR(__xludf.DUMMYFUNCTION("""COMPUTED_VALUE"""),"")</f>
        <v/>
      </c>
      <c r="AJ333" s="2" t="str">
        <f ca="1">IFERROR(__xludf.DUMMYFUNCTION("""COMPUTED_VALUE"""),"")</f>
        <v/>
      </c>
      <c r="AK333" s="2" t="str">
        <f ca="1">IFERROR(__xludf.DUMMYFUNCTION("""COMPUTED_VALUE"""),"")</f>
        <v/>
      </c>
      <c r="AL333" s="2" t="str">
        <f ca="1">IFERROR(__xludf.DUMMYFUNCTION("""COMPUTED_VALUE"""),"")</f>
        <v/>
      </c>
      <c r="AM333" s="2" t="str">
        <f ca="1">IFERROR(__xludf.DUMMYFUNCTION("""COMPUTED_VALUE"""),"")</f>
        <v/>
      </c>
      <c r="AN333" s="2" t="str">
        <f ca="1">IFERROR(__xludf.DUMMYFUNCTION("""COMPUTED_VALUE"""),"")</f>
        <v/>
      </c>
      <c r="AO333" s="2" t="str">
        <f ca="1">IFERROR(__xludf.DUMMYFUNCTION("""COMPUTED_VALUE"""),"")</f>
        <v/>
      </c>
      <c r="AP333" s="2" t="str">
        <f ca="1">IFERROR(__xludf.DUMMYFUNCTION("""COMPUTED_VALUE"""),"")</f>
        <v/>
      </c>
      <c r="AQ333" s="2" t="str">
        <f ca="1">IFERROR(__xludf.DUMMYFUNCTION("""COMPUTED_VALUE"""),"")</f>
        <v/>
      </c>
      <c r="AR333" s="2" t="str">
        <f ca="1">IFERROR(__xludf.DUMMYFUNCTION("""COMPUTED_VALUE"""),"")</f>
        <v/>
      </c>
      <c r="AS333" s="2" t="str">
        <f ca="1">IFERROR(__xludf.DUMMYFUNCTION("""COMPUTED_VALUE"""),"")</f>
        <v/>
      </c>
      <c r="AT333" s="2" t="str">
        <f ca="1">IFERROR(__xludf.DUMMYFUNCTION("""COMPUTED_VALUE"""),"")</f>
        <v/>
      </c>
      <c r="AU333" s="2" t="str">
        <f ca="1">IFERROR(__xludf.DUMMYFUNCTION("""COMPUTED_VALUE"""),"")</f>
        <v/>
      </c>
      <c r="AV333" s="2" t="str">
        <f ca="1">IFERROR(__xludf.DUMMYFUNCTION("""COMPUTED_VALUE"""),"")</f>
        <v/>
      </c>
      <c r="AW333" s="2" t="str">
        <f ca="1">IFERROR(__xludf.DUMMYFUNCTION("""COMPUTED_VALUE"""),"")</f>
        <v/>
      </c>
      <c r="AX333" s="2" t="str">
        <f ca="1">IFERROR(__xludf.DUMMYFUNCTION("""COMPUTED_VALUE"""),"")</f>
        <v/>
      </c>
      <c r="AY333" s="2" t="str">
        <f ca="1">IFERROR(__xludf.DUMMYFUNCTION("""COMPUTED_VALUE"""),"")</f>
        <v/>
      </c>
      <c r="AZ333" s="2" t="str">
        <f ca="1">IFERROR(__xludf.DUMMYFUNCTION("""COMPUTED_VALUE"""),"")</f>
        <v/>
      </c>
      <c r="BA333" s="2" t="str">
        <f ca="1">IFERROR(__xludf.DUMMYFUNCTION("""COMPUTED_VALUE"""),"")</f>
        <v/>
      </c>
      <c r="BB333" s="2" t="str">
        <f ca="1">IFERROR(__xludf.DUMMYFUNCTION("""COMPUTED_VALUE"""),"")</f>
        <v/>
      </c>
      <c r="BC333" s="2" t="str">
        <f ca="1">IFERROR(__xludf.DUMMYFUNCTION("""COMPUTED_VALUE"""),"")</f>
        <v/>
      </c>
      <c r="BD333" s="2" t="str">
        <f ca="1">IFERROR(__xludf.DUMMYFUNCTION("""COMPUTED_VALUE"""),"")</f>
        <v/>
      </c>
      <c r="BE333" s="2" t="str">
        <f ca="1">IFERROR(__xludf.DUMMYFUNCTION("""COMPUTED_VALUE"""),"")</f>
        <v/>
      </c>
      <c r="BF333" t="str">
        <f ca="1">IFERROR(__xludf.DUMMYFUNCTION("""COMPUTED_VALUE"""),"")</f>
        <v/>
      </c>
      <c r="BG333" t="str">
        <f ca="1">IFERROR(__xludf.DUMMYFUNCTION("""COMPUTED_VALUE"""),"")</f>
        <v/>
      </c>
      <c r="BH333" s="2">
        <f ca="1">IFERROR(__xludf.DUMMYFUNCTION("""COMPUTED_VALUE"""),-36.460556)</f>
        <v>-36.460555999999997</v>
      </c>
      <c r="BI333" s="12">
        <f ca="1">IFERROR(__xludf.DUMMYFUNCTION("""COMPUTED_VALUE"""),174.1979828)</f>
        <v>174.19798280000001</v>
      </c>
      <c r="BJ333" s="9">
        <f ca="1">IFERROR(__xludf.DUMMYFUNCTION("""COMPUTED_VALUE"""),43434)</f>
        <v>43434</v>
      </c>
      <c r="BK333" s="4">
        <f ca="1">IFERROR(__xludf.DUMMYFUNCTION("""COMPUTED_VALUE"""),0.875555555554456)</f>
        <v>0.87555555555445597</v>
      </c>
    </row>
    <row r="334" spans="1:63" ht="12.5" x14ac:dyDescent="0.25">
      <c r="A334" s="7" t="str">
        <f ca="1">IFERROR(__xludf.DUMMYFUNCTION("""COMPUTED_VALUE"""),"")</f>
        <v/>
      </c>
      <c r="B334" s="8" t="str">
        <f ca="1">IFERROR(__xludf.DUMMYFUNCTION("""COMPUTED_VALUE"""),"Waikato")</f>
        <v>Waikato</v>
      </c>
      <c r="C334" s="2">
        <f ca="1">IFERROR(__xludf.DUMMYFUNCTION("""COMPUTED_VALUE"""),21)</f>
        <v>21</v>
      </c>
      <c r="D334" s="9" t="str">
        <f ca="1">IFERROR(__xludf.DUMMYFUNCTION("""COMPUTED_VALUE"""),"")</f>
        <v/>
      </c>
      <c r="E334" s="4" t="str">
        <f ca="1">IFERROR(__xludf.DUMMYFUNCTION("""COMPUTED_VALUE"""),"")</f>
        <v/>
      </c>
      <c r="F334" s="2" t="str">
        <f ca="1">IFERROR(__xludf.DUMMYFUNCTION("""COMPUTED_VALUE"""),"")</f>
        <v/>
      </c>
      <c r="G334" s="2" t="str">
        <f ca="1">IFERROR(__xludf.DUMMYFUNCTION("""COMPUTED_VALUE"""),"GPS: I converted data downloaded from ARGOS using Pinpoint software")</f>
        <v>GPS: I converted data downloaded from ARGOS using Pinpoint software</v>
      </c>
      <c r="H334" s="2" t="str">
        <f ca="1">IFERROR(__xludf.DUMMYFUNCTION("""COMPUTED_VALUE"""),"3D")</f>
        <v>3D</v>
      </c>
      <c r="I334" s="2" t="str">
        <f ca="1">IFERROR(__xludf.DUMMYFUNCTION("""COMPUTED_VALUE"""),"")</f>
        <v/>
      </c>
      <c r="J334" s="2" t="str">
        <f ca="1">IFERROR(__xludf.DUMMYFUNCTION("""COMPUTED_VALUE"""),"")</f>
        <v/>
      </c>
      <c r="K334" s="2" t="str">
        <f ca="1">IFERROR(__xludf.DUMMYFUNCTION("""COMPUTED_VALUE"""),"")</f>
        <v/>
      </c>
      <c r="L334" s="2" t="str">
        <f ca="1">IFERROR(__xludf.DUMMYFUNCTION("""COMPUTED_VALUE"""),"")</f>
        <v/>
      </c>
      <c r="M334" s="5" t="str">
        <f ca="1">IFERROR(__xludf.DUMMYFUNCTION("""COMPUTED_VALUE"""),"")</f>
        <v/>
      </c>
      <c r="N334" s="5" t="str">
        <f ca="1">IFERROR(__xludf.DUMMYFUNCTION("""COMPUTED_VALUE"""),"")</f>
        <v/>
      </c>
      <c r="O334" s="2" t="str">
        <f ca="1">IFERROR(__xludf.DUMMYFUNCTION("""COMPUTED_VALUE"""),"")</f>
        <v/>
      </c>
      <c r="P334" s="2" t="str">
        <f ca="1">IFERROR(__xludf.DUMMYFUNCTION("""COMPUTED_VALUE"""),"")</f>
        <v/>
      </c>
      <c r="Q334" s="2" t="str">
        <f ca="1">IFERROR(__xludf.DUMMYFUNCTION("""COMPUTED_VALUE"""),"")</f>
        <v/>
      </c>
      <c r="R334" s="2" t="str">
        <f ca="1">IFERROR(__xludf.DUMMYFUNCTION("""COMPUTED_VALUE"""),"")</f>
        <v/>
      </c>
      <c r="S334" s="2" t="str">
        <f ca="1">IFERROR(__xludf.DUMMYFUNCTION("""COMPUTED_VALUE"""),"")</f>
        <v/>
      </c>
      <c r="T334" s="2" t="str">
        <f ca="1">IFERROR(__xludf.DUMMYFUNCTION("""COMPUTED_VALUE"""),"")</f>
        <v/>
      </c>
      <c r="U334" s="2" t="str">
        <f ca="1">IFERROR(__xludf.DUMMYFUNCTION("""COMPUTED_VALUE"""),"")</f>
        <v/>
      </c>
      <c r="V334" s="2" t="str">
        <f ca="1">IFERROR(__xludf.DUMMYFUNCTION("""COMPUTED_VALUE"""),"")</f>
        <v/>
      </c>
      <c r="W334" s="2" t="str">
        <f ca="1">IFERROR(__xludf.DUMMYFUNCTION("""COMPUTED_VALUE"""),"")</f>
        <v/>
      </c>
      <c r="X334" s="2" t="str">
        <f ca="1">IFERROR(__xludf.DUMMYFUNCTION("""COMPUTED_VALUE"""),"")</f>
        <v/>
      </c>
      <c r="Y334" s="2" t="str">
        <f ca="1">IFERROR(__xludf.DUMMYFUNCTION("""COMPUTED_VALUE"""),"")</f>
        <v/>
      </c>
      <c r="Z334" s="2" t="str">
        <f ca="1">IFERROR(__xludf.DUMMYFUNCTION("""COMPUTED_VALUE"""),"")</f>
        <v/>
      </c>
      <c r="AA334" s="2" t="str">
        <f ca="1">IFERROR(__xludf.DUMMYFUNCTION("""COMPUTED_VALUE"""),"")</f>
        <v/>
      </c>
      <c r="AB334" s="2" t="str">
        <f ca="1">IFERROR(__xludf.DUMMYFUNCTION("""COMPUTED_VALUE"""),"")</f>
        <v/>
      </c>
      <c r="AC334" s="2" t="str">
        <f ca="1">IFERROR(__xludf.DUMMYFUNCTION("""COMPUTED_VALUE"""),"")</f>
        <v/>
      </c>
      <c r="AD334" s="2" t="str">
        <f ca="1">IFERROR(__xludf.DUMMYFUNCTION("""COMPUTED_VALUE"""),"")</f>
        <v/>
      </c>
      <c r="AE334" s="2" t="str">
        <f ca="1">IFERROR(__xludf.DUMMYFUNCTION("""COMPUTED_VALUE"""),"")</f>
        <v/>
      </c>
      <c r="AF334" s="2" t="str">
        <f ca="1">IFERROR(__xludf.DUMMYFUNCTION("""COMPUTED_VALUE"""),"")</f>
        <v/>
      </c>
      <c r="AG334" s="2" t="str">
        <f ca="1">IFERROR(__xludf.DUMMYFUNCTION("""COMPUTED_VALUE"""),"")</f>
        <v/>
      </c>
      <c r="AH334" s="2" t="str">
        <f ca="1">IFERROR(__xludf.DUMMYFUNCTION("""COMPUTED_VALUE"""),"")</f>
        <v/>
      </c>
      <c r="AI334" s="2" t="str">
        <f ca="1">IFERROR(__xludf.DUMMYFUNCTION("""COMPUTED_VALUE"""),"")</f>
        <v/>
      </c>
      <c r="AJ334" s="2" t="str">
        <f ca="1">IFERROR(__xludf.DUMMYFUNCTION("""COMPUTED_VALUE"""),"")</f>
        <v/>
      </c>
      <c r="AK334" s="2" t="str">
        <f ca="1">IFERROR(__xludf.DUMMYFUNCTION("""COMPUTED_VALUE"""),"")</f>
        <v/>
      </c>
      <c r="AL334" s="2" t="str">
        <f ca="1">IFERROR(__xludf.DUMMYFUNCTION("""COMPUTED_VALUE"""),"")</f>
        <v/>
      </c>
      <c r="AM334" s="2" t="str">
        <f ca="1">IFERROR(__xludf.DUMMYFUNCTION("""COMPUTED_VALUE"""),"")</f>
        <v/>
      </c>
      <c r="AN334" s="2" t="str">
        <f ca="1">IFERROR(__xludf.DUMMYFUNCTION("""COMPUTED_VALUE"""),"")</f>
        <v/>
      </c>
      <c r="AO334" s="2" t="str">
        <f ca="1">IFERROR(__xludf.DUMMYFUNCTION("""COMPUTED_VALUE"""),"")</f>
        <v/>
      </c>
      <c r="AP334" s="2" t="str">
        <f ca="1">IFERROR(__xludf.DUMMYFUNCTION("""COMPUTED_VALUE"""),"")</f>
        <v/>
      </c>
      <c r="AQ334" s="2" t="str">
        <f ca="1">IFERROR(__xludf.DUMMYFUNCTION("""COMPUTED_VALUE"""),"")</f>
        <v/>
      </c>
      <c r="AR334" s="2" t="str">
        <f ca="1">IFERROR(__xludf.DUMMYFUNCTION("""COMPUTED_VALUE"""),"")</f>
        <v/>
      </c>
      <c r="AS334" s="2" t="str">
        <f ca="1">IFERROR(__xludf.DUMMYFUNCTION("""COMPUTED_VALUE"""),"")</f>
        <v/>
      </c>
      <c r="AT334" s="2" t="str">
        <f ca="1">IFERROR(__xludf.DUMMYFUNCTION("""COMPUTED_VALUE"""),"")</f>
        <v/>
      </c>
      <c r="AU334" s="2" t="str">
        <f ca="1">IFERROR(__xludf.DUMMYFUNCTION("""COMPUTED_VALUE"""),"")</f>
        <v/>
      </c>
      <c r="AV334" s="2" t="str">
        <f ca="1">IFERROR(__xludf.DUMMYFUNCTION("""COMPUTED_VALUE"""),"")</f>
        <v/>
      </c>
      <c r="AW334" s="2" t="str">
        <f ca="1">IFERROR(__xludf.DUMMYFUNCTION("""COMPUTED_VALUE"""),"")</f>
        <v/>
      </c>
      <c r="AX334" s="2" t="str">
        <f ca="1">IFERROR(__xludf.DUMMYFUNCTION("""COMPUTED_VALUE"""),"")</f>
        <v/>
      </c>
      <c r="AY334" s="2" t="str">
        <f ca="1">IFERROR(__xludf.DUMMYFUNCTION("""COMPUTED_VALUE"""),"")</f>
        <v/>
      </c>
      <c r="AZ334" s="2" t="str">
        <f ca="1">IFERROR(__xludf.DUMMYFUNCTION("""COMPUTED_VALUE"""),"")</f>
        <v/>
      </c>
      <c r="BA334" s="2" t="str">
        <f ca="1">IFERROR(__xludf.DUMMYFUNCTION("""COMPUTED_VALUE"""),"")</f>
        <v/>
      </c>
      <c r="BB334" s="2" t="str">
        <f ca="1">IFERROR(__xludf.DUMMYFUNCTION("""COMPUTED_VALUE"""),"")</f>
        <v/>
      </c>
      <c r="BC334" s="2" t="str">
        <f ca="1">IFERROR(__xludf.DUMMYFUNCTION("""COMPUTED_VALUE"""),"")</f>
        <v/>
      </c>
      <c r="BD334" s="2" t="str">
        <f ca="1">IFERROR(__xludf.DUMMYFUNCTION("""COMPUTED_VALUE"""),"")</f>
        <v/>
      </c>
      <c r="BE334" s="2" t="str">
        <f ca="1">IFERROR(__xludf.DUMMYFUNCTION("""COMPUTED_VALUE"""),"")</f>
        <v/>
      </c>
      <c r="BF334" t="str">
        <f ca="1">IFERROR(__xludf.DUMMYFUNCTION("""COMPUTED_VALUE"""),"")</f>
        <v/>
      </c>
      <c r="BG334" t="str">
        <f ca="1">IFERROR(__xludf.DUMMYFUNCTION("""COMPUTED_VALUE"""),"")</f>
        <v/>
      </c>
      <c r="BH334" s="2">
        <f ca="1">IFERROR(__xludf.DUMMYFUNCTION("""COMPUTED_VALUE"""),-36.4604301)</f>
        <v>-36.460430100000004</v>
      </c>
      <c r="BI334" s="13">
        <f ca="1">IFERROR(__xludf.DUMMYFUNCTION("""COMPUTED_VALUE"""),174.1980286)</f>
        <v>174.19802859999999</v>
      </c>
      <c r="BJ334" s="9">
        <f ca="1">IFERROR(__xludf.DUMMYFUNCTION("""COMPUTED_VALUE"""),43434)</f>
        <v>43434</v>
      </c>
      <c r="BK334" s="4">
        <f ca="1">IFERROR(__xludf.DUMMYFUNCTION("""COMPUTED_VALUE"""),0.958518518516939)</f>
        <v>0.95851851851693903</v>
      </c>
    </row>
    <row r="335" spans="1:63" ht="12.5" x14ac:dyDescent="0.25">
      <c r="A335" s="7" t="str">
        <f ca="1">IFERROR(__xludf.DUMMYFUNCTION("""COMPUTED_VALUE"""),"")</f>
        <v/>
      </c>
      <c r="B335" s="8" t="str">
        <f ca="1">IFERROR(__xludf.DUMMYFUNCTION("""COMPUTED_VALUE"""),"Waikato")</f>
        <v>Waikato</v>
      </c>
      <c r="C335" s="2">
        <f ca="1">IFERROR(__xludf.DUMMYFUNCTION("""COMPUTED_VALUE"""),21)</f>
        <v>21</v>
      </c>
      <c r="D335" s="9" t="str">
        <f ca="1">IFERROR(__xludf.DUMMYFUNCTION("""COMPUTED_VALUE"""),"")</f>
        <v/>
      </c>
      <c r="E335" s="4" t="str">
        <f ca="1">IFERROR(__xludf.DUMMYFUNCTION("""COMPUTED_VALUE"""),"")</f>
        <v/>
      </c>
      <c r="F335" s="2" t="str">
        <f ca="1">IFERROR(__xludf.DUMMYFUNCTION("""COMPUTED_VALUE"""),"")</f>
        <v/>
      </c>
      <c r="G335" s="2" t="str">
        <f ca="1">IFERROR(__xludf.DUMMYFUNCTION("""COMPUTED_VALUE"""),"GPS: I converted data downloaded from ARGOS using Pinpoint software")</f>
        <v>GPS: I converted data downloaded from ARGOS using Pinpoint software</v>
      </c>
      <c r="H335" s="2" t="str">
        <f ca="1">IFERROR(__xludf.DUMMYFUNCTION("""COMPUTED_VALUE"""),"3D")</f>
        <v>3D</v>
      </c>
      <c r="I335" s="2" t="str">
        <f ca="1">IFERROR(__xludf.DUMMYFUNCTION("""COMPUTED_VALUE"""),"")</f>
        <v/>
      </c>
      <c r="J335" s="2" t="str">
        <f ca="1">IFERROR(__xludf.DUMMYFUNCTION("""COMPUTED_VALUE"""),"")</f>
        <v/>
      </c>
      <c r="K335" s="2" t="str">
        <f ca="1">IFERROR(__xludf.DUMMYFUNCTION("""COMPUTED_VALUE"""),"")</f>
        <v/>
      </c>
      <c r="L335" s="2" t="str">
        <f ca="1">IFERROR(__xludf.DUMMYFUNCTION("""COMPUTED_VALUE"""),"")</f>
        <v/>
      </c>
      <c r="M335" s="5" t="str">
        <f ca="1">IFERROR(__xludf.DUMMYFUNCTION("""COMPUTED_VALUE"""),"")</f>
        <v/>
      </c>
      <c r="N335" s="5" t="str">
        <f ca="1">IFERROR(__xludf.DUMMYFUNCTION("""COMPUTED_VALUE"""),"")</f>
        <v/>
      </c>
      <c r="O335" s="2" t="str">
        <f ca="1">IFERROR(__xludf.DUMMYFUNCTION("""COMPUTED_VALUE"""),"")</f>
        <v/>
      </c>
      <c r="P335" s="2" t="str">
        <f ca="1">IFERROR(__xludf.DUMMYFUNCTION("""COMPUTED_VALUE"""),"")</f>
        <v/>
      </c>
      <c r="Q335" s="2" t="str">
        <f ca="1">IFERROR(__xludf.DUMMYFUNCTION("""COMPUTED_VALUE"""),"")</f>
        <v/>
      </c>
      <c r="R335" s="2" t="str">
        <f ca="1">IFERROR(__xludf.DUMMYFUNCTION("""COMPUTED_VALUE"""),"")</f>
        <v/>
      </c>
      <c r="S335" s="2" t="str">
        <f ca="1">IFERROR(__xludf.DUMMYFUNCTION("""COMPUTED_VALUE"""),"")</f>
        <v/>
      </c>
      <c r="T335" s="2" t="str">
        <f ca="1">IFERROR(__xludf.DUMMYFUNCTION("""COMPUTED_VALUE"""),"")</f>
        <v/>
      </c>
      <c r="U335" s="2" t="str">
        <f ca="1">IFERROR(__xludf.DUMMYFUNCTION("""COMPUTED_VALUE"""),"")</f>
        <v/>
      </c>
      <c r="V335" s="2" t="str">
        <f ca="1">IFERROR(__xludf.DUMMYFUNCTION("""COMPUTED_VALUE"""),"")</f>
        <v/>
      </c>
      <c r="W335" s="2" t="str">
        <f ca="1">IFERROR(__xludf.DUMMYFUNCTION("""COMPUTED_VALUE"""),"")</f>
        <v/>
      </c>
      <c r="X335" s="2" t="str">
        <f ca="1">IFERROR(__xludf.DUMMYFUNCTION("""COMPUTED_VALUE"""),"")</f>
        <v/>
      </c>
      <c r="Y335" s="2" t="str">
        <f ca="1">IFERROR(__xludf.DUMMYFUNCTION("""COMPUTED_VALUE"""),"")</f>
        <v/>
      </c>
      <c r="Z335" s="2" t="str">
        <f ca="1">IFERROR(__xludf.DUMMYFUNCTION("""COMPUTED_VALUE"""),"")</f>
        <v/>
      </c>
      <c r="AA335" s="2" t="str">
        <f ca="1">IFERROR(__xludf.DUMMYFUNCTION("""COMPUTED_VALUE"""),"")</f>
        <v/>
      </c>
      <c r="AB335" s="2" t="str">
        <f ca="1">IFERROR(__xludf.DUMMYFUNCTION("""COMPUTED_VALUE"""),"")</f>
        <v/>
      </c>
      <c r="AC335" s="2" t="str">
        <f ca="1">IFERROR(__xludf.DUMMYFUNCTION("""COMPUTED_VALUE"""),"")</f>
        <v/>
      </c>
      <c r="AD335" s="2" t="str">
        <f ca="1">IFERROR(__xludf.DUMMYFUNCTION("""COMPUTED_VALUE"""),"")</f>
        <v/>
      </c>
      <c r="AE335" s="2" t="str">
        <f ca="1">IFERROR(__xludf.DUMMYFUNCTION("""COMPUTED_VALUE"""),"")</f>
        <v/>
      </c>
      <c r="AF335" s="2" t="str">
        <f ca="1">IFERROR(__xludf.DUMMYFUNCTION("""COMPUTED_VALUE"""),"")</f>
        <v/>
      </c>
      <c r="AG335" s="2" t="str">
        <f ca="1">IFERROR(__xludf.DUMMYFUNCTION("""COMPUTED_VALUE"""),"")</f>
        <v/>
      </c>
      <c r="AH335" s="2" t="str">
        <f ca="1">IFERROR(__xludf.DUMMYFUNCTION("""COMPUTED_VALUE"""),"")</f>
        <v/>
      </c>
      <c r="AI335" s="2" t="str">
        <f ca="1">IFERROR(__xludf.DUMMYFUNCTION("""COMPUTED_VALUE"""),"")</f>
        <v/>
      </c>
      <c r="AJ335" s="2" t="str">
        <f ca="1">IFERROR(__xludf.DUMMYFUNCTION("""COMPUTED_VALUE"""),"")</f>
        <v/>
      </c>
      <c r="AK335" s="2" t="str">
        <f ca="1">IFERROR(__xludf.DUMMYFUNCTION("""COMPUTED_VALUE"""),"")</f>
        <v/>
      </c>
      <c r="AL335" s="2" t="str">
        <f ca="1">IFERROR(__xludf.DUMMYFUNCTION("""COMPUTED_VALUE"""),"")</f>
        <v/>
      </c>
      <c r="AM335" s="2" t="str">
        <f ca="1">IFERROR(__xludf.DUMMYFUNCTION("""COMPUTED_VALUE"""),"")</f>
        <v/>
      </c>
      <c r="AN335" s="2" t="str">
        <f ca="1">IFERROR(__xludf.DUMMYFUNCTION("""COMPUTED_VALUE"""),"")</f>
        <v/>
      </c>
      <c r="AO335" s="2" t="str">
        <f ca="1">IFERROR(__xludf.DUMMYFUNCTION("""COMPUTED_VALUE"""),"")</f>
        <v/>
      </c>
      <c r="AP335" s="2" t="str">
        <f ca="1">IFERROR(__xludf.DUMMYFUNCTION("""COMPUTED_VALUE"""),"")</f>
        <v/>
      </c>
      <c r="AQ335" s="2" t="str">
        <f ca="1">IFERROR(__xludf.DUMMYFUNCTION("""COMPUTED_VALUE"""),"")</f>
        <v/>
      </c>
      <c r="AR335" s="2" t="str">
        <f ca="1">IFERROR(__xludf.DUMMYFUNCTION("""COMPUTED_VALUE"""),"")</f>
        <v/>
      </c>
      <c r="AS335" s="2" t="str">
        <f ca="1">IFERROR(__xludf.DUMMYFUNCTION("""COMPUTED_VALUE"""),"")</f>
        <v/>
      </c>
      <c r="AT335" s="2" t="str">
        <f ca="1">IFERROR(__xludf.DUMMYFUNCTION("""COMPUTED_VALUE"""),"")</f>
        <v/>
      </c>
      <c r="AU335" s="2" t="str">
        <f ca="1">IFERROR(__xludf.DUMMYFUNCTION("""COMPUTED_VALUE"""),"")</f>
        <v/>
      </c>
      <c r="AV335" s="2" t="str">
        <f ca="1">IFERROR(__xludf.DUMMYFUNCTION("""COMPUTED_VALUE"""),"")</f>
        <v/>
      </c>
      <c r="AW335" s="2" t="str">
        <f ca="1">IFERROR(__xludf.DUMMYFUNCTION("""COMPUTED_VALUE"""),"")</f>
        <v/>
      </c>
      <c r="AX335" s="2" t="str">
        <f ca="1">IFERROR(__xludf.DUMMYFUNCTION("""COMPUTED_VALUE"""),"")</f>
        <v/>
      </c>
      <c r="AY335" s="2" t="str">
        <f ca="1">IFERROR(__xludf.DUMMYFUNCTION("""COMPUTED_VALUE"""),"")</f>
        <v/>
      </c>
      <c r="AZ335" s="2" t="str">
        <f ca="1">IFERROR(__xludf.DUMMYFUNCTION("""COMPUTED_VALUE"""),"")</f>
        <v/>
      </c>
      <c r="BA335" s="2" t="str">
        <f ca="1">IFERROR(__xludf.DUMMYFUNCTION("""COMPUTED_VALUE"""),"")</f>
        <v/>
      </c>
      <c r="BB335" s="2" t="str">
        <f ca="1">IFERROR(__xludf.DUMMYFUNCTION("""COMPUTED_VALUE"""),"")</f>
        <v/>
      </c>
      <c r="BC335" s="2" t="str">
        <f ca="1">IFERROR(__xludf.DUMMYFUNCTION("""COMPUTED_VALUE"""),"")</f>
        <v/>
      </c>
      <c r="BD335" s="2" t="str">
        <f ca="1">IFERROR(__xludf.DUMMYFUNCTION("""COMPUTED_VALUE"""),"")</f>
        <v/>
      </c>
      <c r="BE335" s="2" t="str">
        <f ca="1">IFERROR(__xludf.DUMMYFUNCTION("""COMPUTED_VALUE"""),"")</f>
        <v/>
      </c>
      <c r="BF335" t="str">
        <f ca="1">IFERROR(__xludf.DUMMYFUNCTION("""COMPUTED_VALUE"""),"")</f>
        <v/>
      </c>
      <c r="BG335" t="str">
        <f ca="1">IFERROR(__xludf.DUMMYFUNCTION("""COMPUTED_VALUE"""),"")</f>
        <v/>
      </c>
      <c r="BH335" s="2">
        <f ca="1">IFERROR(__xludf.DUMMYFUNCTION("""COMPUTED_VALUE"""),-36.522892)</f>
        <v>-36.522891999999999</v>
      </c>
      <c r="BI335" s="12">
        <f ca="1">IFERROR(__xludf.DUMMYFUNCTION("""COMPUTED_VALUE"""),174.2445374)</f>
        <v>174.24453740000001</v>
      </c>
      <c r="BJ335" s="9">
        <f ca="1">IFERROR(__xludf.DUMMYFUNCTION("""COMPUTED_VALUE"""),43436)</f>
        <v>43436</v>
      </c>
      <c r="BK335" s="4">
        <f ca="1">IFERROR(__xludf.DUMMYFUNCTION("""COMPUTED_VALUE"""),0.457777777777664)</f>
        <v>0.45777777777766399</v>
      </c>
    </row>
    <row r="336" spans="1:63" ht="12.5" x14ac:dyDescent="0.25">
      <c r="A336" s="7" t="str">
        <f ca="1">IFERROR(__xludf.DUMMYFUNCTION("""COMPUTED_VALUE"""),"")</f>
        <v/>
      </c>
      <c r="B336" s="8" t="str">
        <f ca="1">IFERROR(__xludf.DUMMYFUNCTION("""COMPUTED_VALUE"""),"Waikato")</f>
        <v>Waikato</v>
      </c>
      <c r="C336" s="2">
        <f ca="1">IFERROR(__xludf.DUMMYFUNCTION("""COMPUTED_VALUE"""),21)</f>
        <v>21</v>
      </c>
      <c r="D336" s="9" t="str">
        <f ca="1">IFERROR(__xludf.DUMMYFUNCTION("""COMPUTED_VALUE"""),"")</f>
        <v/>
      </c>
      <c r="E336" s="4" t="str">
        <f ca="1">IFERROR(__xludf.DUMMYFUNCTION("""COMPUTED_VALUE"""),"")</f>
        <v/>
      </c>
      <c r="F336" s="2" t="str">
        <f ca="1">IFERROR(__xludf.DUMMYFUNCTION("""COMPUTED_VALUE"""),"")</f>
        <v/>
      </c>
      <c r="G336" s="2" t="str">
        <f ca="1">IFERROR(__xludf.DUMMYFUNCTION("""COMPUTED_VALUE"""),"GPS: I converted data downloaded from ARGOS using Pinpoint software")</f>
        <v>GPS: I converted data downloaded from ARGOS using Pinpoint software</v>
      </c>
      <c r="H336" s="2" t="str">
        <f ca="1">IFERROR(__xludf.DUMMYFUNCTION("""COMPUTED_VALUE"""),"3D")</f>
        <v>3D</v>
      </c>
      <c r="I336" s="2" t="str">
        <f ca="1">IFERROR(__xludf.DUMMYFUNCTION("""COMPUTED_VALUE"""),"")</f>
        <v/>
      </c>
      <c r="J336" s="2" t="str">
        <f ca="1">IFERROR(__xludf.DUMMYFUNCTION("""COMPUTED_VALUE"""),"")</f>
        <v/>
      </c>
      <c r="K336" s="2" t="str">
        <f ca="1">IFERROR(__xludf.DUMMYFUNCTION("""COMPUTED_VALUE"""),"")</f>
        <v/>
      </c>
      <c r="L336" s="2" t="str">
        <f ca="1">IFERROR(__xludf.DUMMYFUNCTION("""COMPUTED_VALUE"""),"")</f>
        <v/>
      </c>
      <c r="M336" s="5" t="str">
        <f ca="1">IFERROR(__xludf.DUMMYFUNCTION("""COMPUTED_VALUE"""),"")</f>
        <v/>
      </c>
      <c r="N336" s="5" t="str">
        <f ca="1">IFERROR(__xludf.DUMMYFUNCTION("""COMPUTED_VALUE"""),"")</f>
        <v/>
      </c>
      <c r="O336" s="2" t="str">
        <f ca="1">IFERROR(__xludf.DUMMYFUNCTION("""COMPUTED_VALUE"""),"")</f>
        <v/>
      </c>
      <c r="P336" s="2" t="str">
        <f ca="1">IFERROR(__xludf.DUMMYFUNCTION("""COMPUTED_VALUE"""),"")</f>
        <v/>
      </c>
      <c r="Q336" s="2" t="str">
        <f ca="1">IFERROR(__xludf.DUMMYFUNCTION("""COMPUTED_VALUE"""),"")</f>
        <v/>
      </c>
      <c r="R336" s="2" t="str">
        <f ca="1">IFERROR(__xludf.DUMMYFUNCTION("""COMPUTED_VALUE"""),"")</f>
        <v/>
      </c>
      <c r="S336" s="2" t="str">
        <f ca="1">IFERROR(__xludf.DUMMYFUNCTION("""COMPUTED_VALUE"""),"")</f>
        <v/>
      </c>
      <c r="T336" s="2" t="str">
        <f ca="1">IFERROR(__xludf.DUMMYFUNCTION("""COMPUTED_VALUE"""),"")</f>
        <v/>
      </c>
      <c r="U336" s="2" t="str">
        <f ca="1">IFERROR(__xludf.DUMMYFUNCTION("""COMPUTED_VALUE"""),"")</f>
        <v/>
      </c>
      <c r="V336" s="2" t="str">
        <f ca="1">IFERROR(__xludf.DUMMYFUNCTION("""COMPUTED_VALUE"""),"")</f>
        <v/>
      </c>
      <c r="W336" s="2" t="str">
        <f ca="1">IFERROR(__xludf.DUMMYFUNCTION("""COMPUTED_VALUE"""),"")</f>
        <v/>
      </c>
      <c r="X336" s="2" t="str">
        <f ca="1">IFERROR(__xludf.DUMMYFUNCTION("""COMPUTED_VALUE"""),"")</f>
        <v/>
      </c>
      <c r="Y336" s="2" t="str">
        <f ca="1">IFERROR(__xludf.DUMMYFUNCTION("""COMPUTED_VALUE"""),"")</f>
        <v/>
      </c>
      <c r="Z336" s="2" t="str">
        <f ca="1">IFERROR(__xludf.DUMMYFUNCTION("""COMPUTED_VALUE"""),"")</f>
        <v/>
      </c>
      <c r="AA336" s="2" t="str">
        <f ca="1">IFERROR(__xludf.DUMMYFUNCTION("""COMPUTED_VALUE"""),"")</f>
        <v/>
      </c>
      <c r="AB336" s="2" t="str">
        <f ca="1">IFERROR(__xludf.DUMMYFUNCTION("""COMPUTED_VALUE"""),"")</f>
        <v/>
      </c>
      <c r="AC336" s="2" t="str">
        <f ca="1">IFERROR(__xludf.DUMMYFUNCTION("""COMPUTED_VALUE"""),"")</f>
        <v/>
      </c>
      <c r="AD336" s="2" t="str">
        <f ca="1">IFERROR(__xludf.DUMMYFUNCTION("""COMPUTED_VALUE"""),"")</f>
        <v/>
      </c>
      <c r="AE336" s="2" t="str">
        <f ca="1">IFERROR(__xludf.DUMMYFUNCTION("""COMPUTED_VALUE"""),"")</f>
        <v/>
      </c>
      <c r="AF336" s="2" t="str">
        <f ca="1">IFERROR(__xludf.DUMMYFUNCTION("""COMPUTED_VALUE"""),"")</f>
        <v/>
      </c>
      <c r="AG336" s="2" t="str">
        <f ca="1">IFERROR(__xludf.DUMMYFUNCTION("""COMPUTED_VALUE"""),"")</f>
        <v/>
      </c>
      <c r="AH336" s="2" t="str">
        <f ca="1">IFERROR(__xludf.DUMMYFUNCTION("""COMPUTED_VALUE"""),"")</f>
        <v/>
      </c>
      <c r="AI336" s="2" t="str">
        <f ca="1">IFERROR(__xludf.DUMMYFUNCTION("""COMPUTED_VALUE"""),"")</f>
        <v/>
      </c>
      <c r="AJ336" s="2" t="str">
        <f ca="1">IFERROR(__xludf.DUMMYFUNCTION("""COMPUTED_VALUE"""),"")</f>
        <v/>
      </c>
      <c r="AK336" s="2" t="str">
        <f ca="1">IFERROR(__xludf.DUMMYFUNCTION("""COMPUTED_VALUE"""),"")</f>
        <v/>
      </c>
      <c r="AL336" s="2" t="str">
        <f ca="1">IFERROR(__xludf.DUMMYFUNCTION("""COMPUTED_VALUE"""),"")</f>
        <v/>
      </c>
      <c r="AM336" s="2" t="str">
        <f ca="1">IFERROR(__xludf.DUMMYFUNCTION("""COMPUTED_VALUE"""),"")</f>
        <v/>
      </c>
      <c r="AN336" s="2" t="str">
        <f ca="1">IFERROR(__xludf.DUMMYFUNCTION("""COMPUTED_VALUE"""),"")</f>
        <v/>
      </c>
      <c r="AO336" s="2" t="str">
        <f ca="1">IFERROR(__xludf.DUMMYFUNCTION("""COMPUTED_VALUE"""),"")</f>
        <v/>
      </c>
      <c r="AP336" s="2" t="str">
        <f ca="1">IFERROR(__xludf.DUMMYFUNCTION("""COMPUTED_VALUE"""),"")</f>
        <v/>
      </c>
      <c r="AQ336" s="2" t="str">
        <f ca="1">IFERROR(__xludf.DUMMYFUNCTION("""COMPUTED_VALUE"""),"")</f>
        <v/>
      </c>
      <c r="AR336" s="2" t="str">
        <f ca="1">IFERROR(__xludf.DUMMYFUNCTION("""COMPUTED_VALUE"""),"")</f>
        <v/>
      </c>
      <c r="AS336" s="2" t="str">
        <f ca="1">IFERROR(__xludf.DUMMYFUNCTION("""COMPUTED_VALUE"""),"")</f>
        <v/>
      </c>
      <c r="AT336" s="2" t="str">
        <f ca="1">IFERROR(__xludf.DUMMYFUNCTION("""COMPUTED_VALUE"""),"")</f>
        <v/>
      </c>
      <c r="AU336" s="2" t="str">
        <f ca="1">IFERROR(__xludf.DUMMYFUNCTION("""COMPUTED_VALUE"""),"")</f>
        <v/>
      </c>
      <c r="AV336" s="2" t="str">
        <f ca="1">IFERROR(__xludf.DUMMYFUNCTION("""COMPUTED_VALUE"""),"")</f>
        <v/>
      </c>
      <c r="AW336" s="2" t="str">
        <f ca="1">IFERROR(__xludf.DUMMYFUNCTION("""COMPUTED_VALUE"""),"")</f>
        <v/>
      </c>
      <c r="AX336" s="2" t="str">
        <f ca="1">IFERROR(__xludf.DUMMYFUNCTION("""COMPUTED_VALUE"""),"")</f>
        <v/>
      </c>
      <c r="AY336" s="2" t="str">
        <f ca="1">IFERROR(__xludf.DUMMYFUNCTION("""COMPUTED_VALUE"""),"")</f>
        <v/>
      </c>
      <c r="AZ336" s="2" t="str">
        <f ca="1">IFERROR(__xludf.DUMMYFUNCTION("""COMPUTED_VALUE"""),"")</f>
        <v/>
      </c>
      <c r="BA336" s="2" t="str">
        <f ca="1">IFERROR(__xludf.DUMMYFUNCTION("""COMPUTED_VALUE"""),"")</f>
        <v/>
      </c>
      <c r="BB336" s="2" t="str">
        <f ca="1">IFERROR(__xludf.DUMMYFUNCTION("""COMPUTED_VALUE"""),"")</f>
        <v/>
      </c>
      <c r="BC336" s="2" t="str">
        <f ca="1">IFERROR(__xludf.DUMMYFUNCTION("""COMPUTED_VALUE"""),"")</f>
        <v/>
      </c>
      <c r="BD336" s="2" t="str">
        <f ca="1">IFERROR(__xludf.DUMMYFUNCTION("""COMPUTED_VALUE"""),"")</f>
        <v/>
      </c>
      <c r="BE336" s="2" t="str">
        <f ca="1">IFERROR(__xludf.DUMMYFUNCTION("""COMPUTED_VALUE"""),"")</f>
        <v/>
      </c>
      <c r="BF336" t="str">
        <f ca="1">IFERROR(__xludf.DUMMYFUNCTION("""COMPUTED_VALUE"""),"")</f>
        <v/>
      </c>
      <c r="BG336" t="str">
        <f ca="1">IFERROR(__xludf.DUMMYFUNCTION("""COMPUTED_VALUE"""),"")</f>
        <v/>
      </c>
      <c r="BH336" s="2">
        <f ca="1">IFERROR(__xludf.DUMMYFUNCTION("""COMPUTED_VALUE"""),-36.5219955)</f>
        <v>-36.521995500000003</v>
      </c>
      <c r="BI336" s="13">
        <f ca="1">IFERROR(__xludf.DUMMYFUNCTION("""COMPUTED_VALUE"""),174.2426453)</f>
        <v>174.24264529999999</v>
      </c>
      <c r="BJ336" s="9">
        <f ca="1">IFERROR(__xludf.DUMMYFUNCTION("""COMPUTED_VALUE"""),43436)</f>
        <v>43436</v>
      </c>
      <c r="BK336" s="4">
        <f ca="1">IFERROR(__xludf.DUMMYFUNCTION("""COMPUTED_VALUE"""),0.958518518516939)</f>
        <v>0.95851851851693903</v>
      </c>
    </row>
    <row r="337" spans="1:63" ht="12.5" x14ac:dyDescent="0.25">
      <c r="A337" s="7" t="str">
        <f ca="1">IFERROR(__xludf.DUMMYFUNCTION("""COMPUTED_VALUE"""),"")</f>
        <v/>
      </c>
      <c r="B337" s="8" t="str">
        <f ca="1">IFERROR(__xludf.DUMMYFUNCTION("""COMPUTED_VALUE"""),"Waikato")</f>
        <v>Waikato</v>
      </c>
      <c r="C337" s="2">
        <f ca="1">IFERROR(__xludf.DUMMYFUNCTION("""COMPUTED_VALUE"""),21)</f>
        <v>21</v>
      </c>
      <c r="D337" s="9" t="str">
        <f ca="1">IFERROR(__xludf.DUMMYFUNCTION("""COMPUTED_VALUE"""),"")</f>
        <v/>
      </c>
      <c r="E337" s="4" t="str">
        <f ca="1">IFERROR(__xludf.DUMMYFUNCTION("""COMPUTED_VALUE"""),"")</f>
        <v/>
      </c>
      <c r="F337" s="2" t="str">
        <f ca="1">IFERROR(__xludf.DUMMYFUNCTION("""COMPUTED_VALUE"""),"")</f>
        <v/>
      </c>
      <c r="G337" s="2" t="str">
        <f ca="1">IFERROR(__xludf.DUMMYFUNCTION("""COMPUTED_VALUE"""),"GPS: I converted data downloaded from ARGOS using Pinpoint software")</f>
        <v>GPS: I converted data downloaded from ARGOS using Pinpoint software</v>
      </c>
      <c r="H337" s="2" t="str">
        <f ca="1">IFERROR(__xludf.DUMMYFUNCTION("""COMPUTED_VALUE"""),"3D")</f>
        <v>3D</v>
      </c>
      <c r="I337" s="2" t="str">
        <f ca="1">IFERROR(__xludf.DUMMYFUNCTION("""COMPUTED_VALUE"""),"")</f>
        <v/>
      </c>
      <c r="J337" s="2" t="str">
        <f ca="1">IFERROR(__xludf.DUMMYFUNCTION("""COMPUTED_VALUE"""),"")</f>
        <v/>
      </c>
      <c r="K337" s="2" t="str">
        <f ca="1">IFERROR(__xludf.DUMMYFUNCTION("""COMPUTED_VALUE"""),"")</f>
        <v/>
      </c>
      <c r="L337" s="2" t="str">
        <f ca="1">IFERROR(__xludf.DUMMYFUNCTION("""COMPUTED_VALUE"""),"")</f>
        <v/>
      </c>
      <c r="M337" s="5" t="str">
        <f ca="1">IFERROR(__xludf.DUMMYFUNCTION("""COMPUTED_VALUE"""),"")</f>
        <v/>
      </c>
      <c r="N337" s="5" t="str">
        <f ca="1">IFERROR(__xludf.DUMMYFUNCTION("""COMPUTED_VALUE"""),"")</f>
        <v/>
      </c>
      <c r="O337" s="2" t="str">
        <f ca="1">IFERROR(__xludf.DUMMYFUNCTION("""COMPUTED_VALUE"""),"")</f>
        <v/>
      </c>
      <c r="P337" s="2" t="str">
        <f ca="1">IFERROR(__xludf.DUMMYFUNCTION("""COMPUTED_VALUE"""),"")</f>
        <v/>
      </c>
      <c r="Q337" s="2" t="str">
        <f ca="1">IFERROR(__xludf.DUMMYFUNCTION("""COMPUTED_VALUE"""),"")</f>
        <v/>
      </c>
      <c r="R337" s="2" t="str">
        <f ca="1">IFERROR(__xludf.DUMMYFUNCTION("""COMPUTED_VALUE"""),"")</f>
        <v/>
      </c>
      <c r="S337" s="2" t="str">
        <f ca="1">IFERROR(__xludf.DUMMYFUNCTION("""COMPUTED_VALUE"""),"")</f>
        <v/>
      </c>
      <c r="T337" s="2" t="str">
        <f ca="1">IFERROR(__xludf.DUMMYFUNCTION("""COMPUTED_VALUE"""),"")</f>
        <v/>
      </c>
      <c r="U337" s="2" t="str">
        <f ca="1">IFERROR(__xludf.DUMMYFUNCTION("""COMPUTED_VALUE"""),"")</f>
        <v/>
      </c>
      <c r="V337" s="2" t="str">
        <f ca="1">IFERROR(__xludf.DUMMYFUNCTION("""COMPUTED_VALUE"""),"")</f>
        <v/>
      </c>
      <c r="W337" s="2" t="str">
        <f ca="1">IFERROR(__xludf.DUMMYFUNCTION("""COMPUTED_VALUE"""),"")</f>
        <v/>
      </c>
      <c r="X337" s="2" t="str">
        <f ca="1">IFERROR(__xludf.DUMMYFUNCTION("""COMPUTED_VALUE"""),"")</f>
        <v/>
      </c>
      <c r="Y337" s="2" t="str">
        <f ca="1">IFERROR(__xludf.DUMMYFUNCTION("""COMPUTED_VALUE"""),"")</f>
        <v/>
      </c>
      <c r="Z337" s="2" t="str">
        <f ca="1">IFERROR(__xludf.DUMMYFUNCTION("""COMPUTED_VALUE"""),"")</f>
        <v/>
      </c>
      <c r="AA337" s="2" t="str">
        <f ca="1">IFERROR(__xludf.DUMMYFUNCTION("""COMPUTED_VALUE"""),"")</f>
        <v/>
      </c>
      <c r="AB337" s="2" t="str">
        <f ca="1">IFERROR(__xludf.DUMMYFUNCTION("""COMPUTED_VALUE"""),"")</f>
        <v/>
      </c>
      <c r="AC337" s="2" t="str">
        <f ca="1">IFERROR(__xludf.DUMMYFUNCTION("""COMPUTED_VALUE"""),"")</f>
        <v/>
      </c>
      <c r="AD337" s="2" t="str">
        <f ca="1">IFERROR(__xludf.DUMMYFUNCTION("""COMPUTED_VALUE"""),"")</f>
        <v/>
      </c>
      <c r="AE337" s="2" t="str">
        <f ca="1">IFERROR(__xludf.DUMMYFUNCTION("""COMPUTED_VALUE"""),"")</f>
        <v/>
      </c>
      <c r="AF337" s="2" t="str">
        <f ca="1">IFERROR(__xludf.DUMMYFUNCTION("""COMPUTED_VALUE"""),"")</f>
        <v/>
      </c>
      <c r="AG337" s="2" t="str">
        <f ca="1">IFERROR(__xludf.DUMMYFUNCTION("""COMPUTED_VALUE"""),"")</f>
        <v/>
      </c>
      <c r="AH337" s="2" t="str">
        <f ca="1">IFERROR(__xludf.DUMMYFUNCTION("""COMPUTED_VALUE"""),"")</f>
        <v/>
      </c>
      <c r="AI337" s="2" t="str">
        <f ca="1">IFERROR(__xludf.DUMMYFUNCTION("""COMPUTED_VALUE"""),"")</f>
        <v/>
      </c>
      <c r="AJ337" s="2" t="str">
        <f ca="1">IFERROR(__xludf.DUMMYFUNCTION("""COMPUTED_VALUE"""),"")</f>
        <v/>
      </c>
      <c r="AK337" s="2" t="str">
        <f ca="1">IFERROR(__xludf.DUMMYFUNCTION("""COMPUTED_VALUE"""),"")</f>
        <v/>
      </c>
      <c r="AL337" s="2" t="str">
        <f ca="1">IFERROR(__xludf.DUMMYFUNCTION("""COMPUTED_VALUE"""),"")</f>
        <v/>
      </c>
      <c r="AM337" s="2" t="str">
        <f ca="1">IFERROR(__xludf.DUMMYFUNCTION("""COMPUTED_VALUE"""),"")</f>
        <v/>
      </c>
      <c r="AN337" s="2" t="str">
        <f ca="1">IFERROR(__xludf.DUMMYFUNCTION("""COMPUTED_VALUE"""),"")</f>
        <v/>
      </c>
      <c r="AO337" s="2" t="str">
        <f ca="1">IFERROR(__xludf.DUMMYFUNCTION("""COMPUTED_VALUE"""),"")</f>
        <v/>
      </c>
      <c r="AP337" s="2" t="str">
        <f ca="1">IFERROR(__xludf.DUMMYFUNCTION("""COMPUTED_VALUE"""),"")</f>
        <v/>
      </c>
      <c r="AQ337" s="2" t="str">
        <f ca="1">IFERROR(__xludf.DUMMYFUNCTION("""COMPUTED_VALUE"""),"")</f>
        <v/>
      </c>
      <c r="AR337" s="2" t="str">
        <f ca="1">IFERROR(__xludf.DUMMYFUNCTION("""COMPUTED_VALUE"""),"")</f>
        <v/>
      </c>
      <c r="AS337" s="2" t="str">
        <f ca="1">IFERROR(__xludf.DUMMYFUNCTION("""COMPUTED_VALUE"""),"")</f>
        <v/>
      </c>
      <c r="AT337" s="2" t="str">
        <f ca="1">IFERROR(__xludf.DUMMYFUNCTION("""COMPUTED_VALUE"""),"")</f>
        <v/>
      </c>
      <c r="AU337" s="2" t="str">
        <f ca="1">IFERROR(__xludf.DUMMYFUNCTION("""COMPUTED_VALUE"""),"")</f>
        <v/>
      </c>
      <c r="AV337" s="2" t="str">
        <f ca="1">IFERROR(__xludf.DUMMYFUNCTION("""COMPUTED_VALUE"""),"")</f>
        <v/>
      </c>
      <c r="AW337" s="2" t="str">
        <f ca="1">IFERROR(__xludf.DUMMYFUNCTION("""COMPUTED_VALUE"""),"")</f>
        <v/>
      </c>
      <c r="AX337" s="2" t="str">
        <f ca="1">IFERROR(__xludf.DUMMYFUNCTION("""COMPUTED_VALUE"""),"")</f>
        <v/>
      </c>
      <c r="AY337" s="2" t="str">
        <f ca="1">IFERROR(__xludf.DUMMYFUNCTION("""COMPUTED_VALUE"""),"")</f>
        <v/>
      </c>
      <c r="AZ337" s="2" t="str">
        <f ca="1">IFERROR(__xludf.DUMMYFUNCTION("""COMPUTED_VALUE"""),"")</f>
        <v/>
      </c>
      <c r="BA337" s="2" t="str">
        <f ca="1">IFERROR(__xludf.DUMMYFUNCTION("""COMPUTED_VALUE"""),"")</f>
        <v/>
      </c>
      <c r="BB337" s="2" t="str">
        <f ca="1">IFERROR(__xludf.DUMMYFUNCTION("""COMPUTED_VALUE"""),"")</f>
        <v/>
      </c>
      <c r="BC337" s="2" t="str">
        <f ca="1">IFERROR(__xludf.DUMMYFUNCTION("""COMPUTED_VALUE"""),"")</f>
        <v/>
      </c>
      <c r="BD337" s="2" t="str">
        <f ca="1">IFERROR(__xludf.DUMMYFUNCTION("""COMPUTED_VALUE"""),"")</f>
        <v/>
      </c>
      <c r="BE337" s="2" t="str">
        <f ca="1">IFERROR(__xludf.DUMMYFUNCTION("""COMPUTED_VALUE"""),"")</f>
        <v/>
      </c>
      <c r="BF337" t="str">
        <f ca="1">IFERROR(__xludf.DUMMYFUNCTION("""COMPUTED_VALUE"""),"")</f>
        <v/>
      </c>
      <c r="BG337" t="str">
        <f ca="1">IFERROR(__xludf.DUMMYFUNCTION("""COMPUTED_VALUE"""),"")</f>
        <v/>
      </c>
      <c r="BH337" s="2">
        <f ca="1">IFERROR(__xludf.DUMMYFUNCTION("""COMPUTED_VALUE"""),-36.5293427)</f>
        <v>-36.529342700000001</v>
      </c>
      <c r="BI337" s="12">
        <f ca="1">IFERROR(__xludf.DUMMYFUNCTION("""COMPUTED_VALUE"""),174.246521)</f>
        <v>174.246521</v>
      </c>
      <c r="BJ337" s="9">
        <f ca="1">IFERROR(__xludf.DUMMYFUNCTION("""COMPUTED_VALUE"""),43438)</f>
        <v>43438</v>
      </c>
      <c r="BK337" s="4">
        <f ca="1">IFERROR(__xludf.DUMMYFUNCTION("""COMPUTED_VALUE"""),0.457777777777664)</f>
        <v>0.45777777777766399</v>
      </c>
    </row>
    <row r="338" spans="1:63" ht="12.5" x14ac:dyDescent="0.25">
      <c r="A338" s="7" t="str">
        <f ca="1">IFERROR(__xludf.DUMMYFUNCTION("""COMPUTED_VALUE"""),"")</f>
        <v/>
      </c>
      <c r="B338" s="8" t="str">
        <f ca="1">IFERROR(__xludf.DUMMYFUNCTION("""COMPUTED_VALUE"""),"Waikato")</f>
        <v>Waikato</v>
      </c>
      <c r="C338" s="2">
        <f ca="1">IFERROR(__xludf.DUMMYFUNCTION("""COMPUTED_VALUE"""),21)</f>
        <v>21</v>
      </c>
      <c r="D338" s="9" t="str">
        <f ca="1">IFERROR(__xludf.DUMMYFUNCTION("""COMPUTED_VALUE"""),"")</f>
        <v/>
      </c>
      <c r="E338" s="4" t="str">
        <f ca="1">IFERROR(__xludf.DUMMYFUNCTION("""COMPUTED_VALUE"""),"")</f>
        <v/>
      </c>
      <c r="F338" s="2" t="str">
        <f ca="1">IFERROR(__xludf.DUMMYFUNCTION("""COMPUTED_VALUE"""),"")</f>
        <v/>
      </c>
      <c r="G338" s="2" t="str">
        <f ca="1">IFERROR(__xludf.DUMMYFUNCTION("""COMPUTED_VALUE"""),"GPS: I converted data downloaded from ARGOS using Pinpoint software")</f>
        <v>GPS: I converted data downloaded from ARGOS using Pinpoint software</v>
      </c>
      <c r="H338" s="2" t="str">
        <f ca="1">IFERROR(__xludf.DUMMYFUNCTION("""COMPUTED_VALUE"""),"3D")</f>
        <v>3D</v>
      </c>
      <c r="I338" s="2" t="str">
        <f ca="1">IFERROR(__xludf.DUMMYFUNCTION("""COMPUTED_VALUE"""),"")</f>
        <v/>
      </c>
      <c r="J338" s="2" t="str">
        <f ca="1">IFERROR(__xludf.DUMMYFUNCTION("""COMPUTED_VALUE"""),"")</f>
        <v/>
      </c>
      <c r="K338" s="2" t="str">
        <f ca="1">IFERROR(__xludf.DUMMYFUNCTION("""COMPUTED_VALUE"""),"")</f>
        <v/>
      </c>
      <c r="L338" s="2" t="str">
        <f ca="1">IFERROR(__xludf.DUMMYFUNCTION("""COMPUTED_VALUE"""),"")</f>
        <v/>
      </c>
      <c r="M338" s="5" t="str">
        <f ca="1">IFERROR(__xludf.DUMMYFUNCTION("""COMPUTED_VALUE"""),"")</f>
        <v/>
      </c>
      <c r="N338" s="5" t="str">
        <f ca="1">IFERROR(__xludf.DUMMYFUNCTION("""COMPUTED_VALUE"""),"")</f>
        <v/>
      </c>
      <c r="O338" s="2" t="str">
        <f ca="1">IFERROR(__xludf.DUMMYFUNCTION("""COMPUTED_VALUE"""),"")</f>
        <v/>
      </c>
      <c r="P338" s="2" t="str">
        <f ca="1">IFERROR(__xludf.DUMMYFUNCTION("""COMPUTED_VALUE"""),"")</f>
        <v/>
      </c>
      <c r="Q338" s="2" t="str">
        <f ca="1">IFERROR(__xludf.DUMMYFUNCTION("""COMPUTED_VALUE"""),"")</f>
        <v/>
      </c>
      <c r="R338" s="2" t="str">
        <f ca="1">IFERROR(__xludf.DUMMYFUNCTION("""COMPUTED_VALUE"""),"")</f>
        <v/>
      </c>
      <c r="S338" s="2" t="str">
        <f ca="1">IFERROR(__xludf.DUMMYFUNCTION("""COMPUTED_VALUE"""),"")</f>
        <v/>
      </c>
      <c r="T338" s="2" t="str">
        <f ca="1">IFERROR(__xludf.DUMMYFUNCTION("""COMPUTED_VALUE"""),"")</f>
        <v/>
      </c>
      <c r="U338" s="2" t="str">
        <f ca="1">IFERROR(__xludf.DUMMYFUNCTION("""COMPUTED_VALUE"""),"")</f>
        <v/>
      </c>
      <c r="V338" s="2" t="str">
        <f ca="1">IFERROR(__xludf.DUMMYFUNCTION("""COMPUTED_VALUE"""),"")</f>
        <v/>
      </c>
      <c r="W338" s="2" t="str">
        <f ca="1">IFERROR(__xludf.DUMMYFUNCTION("""COMPUTED_VALUE"""),"")</f>
        <v/>
      </c>
      <c r="X338" s="2" t="str">
        <f ca="1">IFERROR(__xludf.DUMMYFUNCTION("""COMPUTED_VALUE"""),"")</f>
        <v/>
      </c>
      <c r="Y338" s="2" t="str">
        <f ca="1">IFERROR(__xludf.DUMMYFUNCTION("""COMPUTED_VALUE"""),"")</f>
        <v/>
      </c>
      <c r="Z338" s="2" t="str">
        <f ca="1">IFERROR(__xludf.DUMMYFUNCTION("""COMPUTED_VALUE"""),"")</f>
        <v/>
      </c>
      <c r="AA338" s="2" t="str">
        <f ca="1">IFERROR(__xludf.DUMMYFUNCTION("""COMPUTED_VALUE"""),"")</f>
        <v/>
      </c>
      <c r="AB338" s="2" t="str">
        <f ca="1">IFERROR(__xludf.DUMMYFUNCTION("""COMPUTED_VALUE"""),"")</f>
        <v/>
      </c>
      <c r="AC338" s="2" t="str">
        <f ca="1">IFERROR(__xludf.DUMMYFUNCTION("""COMPUTED_VALUE"""),"")</f>
        <v/>
      </c>
      <c r="AD338" s="2" t="str">
        <f ca="1">IFERROR(__xludf.DUMMYFUNCTION("""COMPUTED_VALUE"""),"")</f>
        <v/>
      </c>
      <c r="AE338" s="2" t="str">
        <f ca="1">IFERROR(__xludf.DUMMYFUNCTION("""COMPUTED_VALUE"""),"")</f>
        <v/>
      </c>
      <c r="AF338" s="2" t="str">
        <f ca="1">IFERROR(__xludf.DUMMYFUNCTION("""COMPUTED_VALUE"""),"")</f>
        <v/>
      </c>
      <c r="AG338" s="2" t="str">
        <f ca="1">IFERROR(__xludf.DUMMYFUNCTION("""COMPUTED_VALUE"""),"")</f>
        <v/>
      </c>
      <c r="AH338" s="2" t="str">
        <f ca="1">IFERROR(__xludf.DUMMYFUNCTION("""COMPUTED_VALUE"""),"")</f>
        <v/>
      </c>
      <c r="AI338" s="2" t="str">
        <f ca="1">IFERROR(__xludf.DUMMYFUNCTION("""COMPUTED_VALUE"""),"")</f>
        <v/>
      </c>
      <c r="AJ338" s="2" t="str">
        <f ca="1">IFERROR(__xludf.DUMMYFUNCTION("""COMPUTED_VALUE"""),"")</f>
        <v/>
      </c>
      <c r="AK338" s="2" t="str">
        <f ca="1">IFERROR(__xludf.DUMMYFUNCTION("""COMPUTED_VALUE"""),"")</f>
        <v/>
      </c>
      <c r="AL338" s="2" t="str">
        <f ca="1">IFERROR(__xludf.DUMMYFUNCTION("""COMPUTED_VALUE"""),"")</f>
        <v/>
      </c>
      <c r="AM338" s="2" t="str">
        <f ca="1">IFERROR(__xludf.DUMMYFUNCTION("""COMPUTED_VALUE"""),"")</f>
        <v/>
      </c>
      <c r="AN338" s="2" t="str">
        <f ca="1">IFERROR(__xludf.DUMMYFUNCTION("""COMPUTED_VALUE"""),"")</f>
        <v/>
      </c>
      <c r="AO338" s="2" t="str">
        <f ca="1">IFERROR(__xludf.DUMMYFUNCTION("""COMPUTED_VALUE"""),"")</f>
        <v/>
      </c>
      <c r="AP338" s="2" t="str">
        <f ca="1">IFERROR(__xludf.DUMMYFUNCTION("""COMPUTED_VALUE"""),"")</f>
        <v/>
      </c>
      <c r="AQ338" s="2" t="str">
        <f ca="1">IFERROR(__xludf.DUMMYFUNCTION("""COMPUTED_VALUE"""),"")</f>
        <v/>
      </c>
      <c r="AR338" s="2" t="str">
        <f ca="1">IFERROR(__xludf.DUMMYFUNCTION("""COMPUTED_VALUE"""),"")</f>
        <v/>
      </c>
      <c r="AS338" s="2" t="str">
        <f ca="1">IFERROR(__xludf.DUMMYFUNCTION("""COMPUTED_VALUE"""),"")</f>
        <v/>
      </c>
      <c r="AT338" s="2" t="str">
        <f ca="1">IFERROR(__xludf.DUMMYFUNCTION("""COMPUTED_VALUE"""),"")</f>
        <v/>
      </c>
      <c r="AU338" s="2" t="str">
        <f ca="1">IFERROR(__xludf.DUMMYFUNCTION("""COMPUTED_VALUE"""),"")</f>
        <v/>
      </c>
      <c r="AV338" s="2" t="str">
        <f ca="1">IFERROR(__xludf.DUMMYFUNCTION("""COMPUTED_VALUE"""),"")</f>
        <v/>
      </c>
      <c r="AW338" s="2" t="str">
        <f ca="1">IFERROR(__xludf.DUMMYFUNCTION("""COMPUTED_VALUE"""),"")</f>
        <v/>
      </c>
      <c r="AX338" s="2" t="str">
        <f ca="1">IFERROR(__xludf.DUMMYFUNCTION("""COMPUTED_VALUE"""),"")</f>
        <v/>
      </c>
      <c r="AY338" s="2" t="str">
        <f ca="1">IFERROR(__xludf.DUMMYFUNCTION("""COMPUTED_VALUE"""),"")</f>
        <v/>
      </c>
      <c r="AZ338" s="2" t="str">
        <f ca="1">IFERROR(__xludf.DUMMYFUNCTION("""COMPUTED_VALUE"""),"")</f>
        <v/>
      </c>
      <c r="BA338" s="2" t="str">
        <f ca="1">IFERROR(__xludf.DUMMYFUNCTION("""COMPUTED_VALUE"""),"")</f>
        <v/>
      </c>
      <c r="BB338" s="2" t="str">
        <f ca="1">IFERROR(__xludf.DUMMYFUNCTION("""COMPUTED_VALUE"""),"")</f>
        <v/>
      </c>
      <c r="BC338" s="2" t="str">
        <f ca="1">IFERROR(__xludf.DUMMYFUNCTION("""COMPUTED_VALUE"""),"")</f>
        <v/>
      </c>
      <c r="BD338" s="2" t="str">
        <f ca="1">IFERROR(__xludf.DUMMYFUNCTION("""COMPUTED_VALUE"""),"")</f>
        <v/>
      </c>
      <c r="BE338" s="2" t="str">
        <f ca="1">IFERROR(__xludf.DUMMYFUNCTION("""COMPUTED_VALUE"""),"")</f>
        <v/>
      </c>
      <c r="BF338" t="str">
        <f ca="1">IFERROR(__xludf.DUMMYFUNCTION("""COMPUTED_VALUE"""),"")</f>
        <v/>
      </c>
      <c r="BG338" t="str">
        <f ca="1">IFERROR(__xludf.DUMMYFUNCTION("""COMPUTED_VALUE"""),"")</f>
        <v/>
      </c>
      <c r="BH338" s="2">
        <f ca="1">IFERROR(__xludf.DUMMYFUNCTION("""COMPUTED_VALUE"""),-36.5287819)</f>
        <v>-36.528781899999998</v>
      </c>
      <c r="BI338" s="13">
        <f ca="1">IFERROR(__xludf.DUMMYFUNCTION("""COMPUTED_VALUE"""),174.2481537)</f>
        <v>174.24815369999999</v>
      </c>
      <c r="BJ338" s="9">
        <f ca="1">IFERROR(__xludf.DUMMYFUNCTION("""COMPUTED_VALUE"""),43438)</f>
        <v>43438</v>
      </c>
      <c r="BK338" s="4">
        <f ca="1">IFERROR(__xludf.DUMMYFUNCTION("""COMPUTED_VALUE"""),0.958518518516939)</f>
        <v>0.95851851851693903</v>
      </c>
    </row>
    <row r="339" spans="1:63" ht="12.5" x14ac:dyDescent="0.25">
      <c r="A339" s="7" t="str">
        <f ca="1">IFERROR(__xludf.DUMMYFUNCTION("""COMPUTED_VALUE"""),"")</f>
        <v/>
      </c>
      <c r="B339" s="8" t="str">
        <f ca="1">IFERROR(__xludf.DUMMYFUNCTION("""COMPUTED_VALUE"""),"Waikato")</f>
        <v>Waikato</v>
      </c>
      <c r="C339" s="2">
        <f ca="1">IFERROR(__xludf.DUMMYFUNCTION("""COMPUTED_VALUE"""),21)</f>
        <v>21</v>
      </c>
      <c r="D339" s="9" t="str">
        <f ca="1">IFERROR(__xludf.DUMMYFUNCTION("""COMPUTED_VALUE"""),"")</f>
        <v/>
      </c>
      <c r="E339" s="4" t="str">
        <f ca="1">IFERROR(__xludf.DUMMYFUNCTION("""COMPUTED_VALUE"""),"")</f>
        <v/>
      </c>
      <c r="F339" s="2" t="str">
        <f ca="1">IFERROR(__xludf.DUMMYFUNCTION("""COMPUTED_VALUE"""),"")</f>
        <v/>
      </c>
      <c r="G339" s="2" t="str">
        <f ca="1">IFERROR(__xludf.DUMMYFUNCTION("""COMPUTED_VALUE"""),"GPS: I converted data downloaded from ARGOS using Pinpoint software")</f>
        <v>GPS: I converted data downloaded from ARGOS using Pinpoint software</v>
      </c>
      <c r="H339" s="2" t="str">
        <f ca="1">IFERROR(__xludf.DUMMYFUNCTION("""COMPUTED_VALUE"""),"3D")</f>
        <v>3D</v>
      </c>
      <c r="I339" s="2" t="str">
        <f ca="1">IFERROR(__xludf.DUMMYFUNCTION("""COMPUTED_VALUE"""),"")</f>
        <v/>
      </c>
      <c r="J339" s="2" t="str">
        <f ca="1">IFERROR(__xludf.DUMMYFUNCTION("""COMPUTED_VALUE"""),"")</f>
        <v/>
      </c>
      <c r="K339" s="2" t="str">
        <f ca="1">IFERROR(__xludf.DUMMYFUNCTION("""COMPUTED_VALUE"""),"")</f>
        <v/>
      </c>
      <c r="L339" s="2" t="str">
        <f ca="1">IFERROR(__xludf.DUMMYFUNCTION("""COMPUTED_VALUE"""),"")</f>
        <v/>
      </c>
      <c r="M339" s="5" t="str">
        <f ca="1">IFERROR(__xludf.DUMMYFUNCTION("""COMPUTED_VALUE"""),"")</f>
        <v/>
      </c>
      <c r="N339" s="5" t="str">
        <f ca="1">IFERROR(__xludf.DUMMYFUNCTION("""COMPUTED_VALUE"""),"")</f>
        <v/>
      </c>
      <c r="O339" s="2" t="str">
        <f ca="1">IFERROR(__xludf.DUMMYFUNCTION("""COMPUTED_VALUE"""),"")</f>
        <v/>
      </c>
      <c r="P339" s="2" t="str">
        <f ca="1">IFERROR(__xludf.DUMMYFUNCTION("""COMPUTED_VALUE"""),"")</f>
        <v/>
      </c>
      <c r="Q339" s="2" t="str">
        <f ca="1">IFERROR(__xludf.DUMMYFUNCTION("""COMPUTED_VALUE"""),"")</f>
        <v/>
      </c>
      <c r="R339" s="2" t="str">
        <f ca="1">IFERROR(__xludf.DUMMYFUNCTION("""COMPUTED_VALUE"""),"")</f>
        <v/>
      </c>
      <c r="S339" s="2" t="str">
        <f ca="1">IFERROR(__xludf.DUMMYFUNCTION("""COMPUTED_VALUE"""),"")</f>
        <v/>
      </c>
      <c r="T339" s="2" t="str">
        <f ca="1">IFERROR(__xludf.DUMMYFUNCTION("""COMPUTED_VALUE"""),"")</f>
        <v/>
      </c>
      <c r="U339" s="2" t="str">
        <f ca="1">IFERROR(__xludf.DUMMYFUNCTION("""COMPUTED_VALUE"""),"")</f>
        <v/>
      </c>
      <c r="V339" s="2" t="str">
        <f ca="1">IFERROR(__xludf.DUMMYFUNCTION("""COMPUTED_VALUE"""),"")</f>
        <v/>
      </c>
      <c r="W339" s="2" t="str">
        <f ca="1">IFERROR(__xludf.DUMMYFUNCTION("""COMPUTED_VALUE"""),"")</f>
        <v/>
      </c>
      <c r="X339" s="2" t="str">
        <f ca="1">IFERROR(__xludf.DUMMYFUNCTION("""COMPUTED_VALUE"""),"")</f>
        <v/>
      </c>
      <c r="Y339" s="2" t="str">
        <f ca="1">IFERROR(__xludf.DUMMYFUNCTION("""COMPUTED_VALUE"""),"")</f>
        <v/>
      </c>
      <c r="Z339" s="2" t="str">
        <f ca="1">IFERROR(__xludf.DUMMYFUNCTION("""COMPUTED_VALUE"""),"")</f>
        <v/>
      </c>
      <c r="AA339" s="2" t="str">
        <f ca="1">IFERROR(__xludf.DUMMYFUNCTION("""COMPUTED_VALUE"""),"")</f>
        <v/>
      </c>
      <c r="AB339" s="2" t="str">
        <f ca="1">IFERROR(__xludf.DUMMYFUNCTION("""COMPUTED_VALUE"""),"")</f>
        <v/>
      </c>
      <c r="AC339" s="2" t="str">
        <f ca="1">IFERROR(__xludf.DUMMYFUNCTION("""COMPUTED_VALUE"""),"")</f>
        <v/>
      </c>
      <c r="AD339" s="2" t="str">
        <f ca="1">IFERROR(__xludf.DUMMYFUNCTION("""COMPUTED_VALUE"""),"")</f>
        <v/>
      </c>
      <c r="AE339" s="2" t="str">
        <f ca="1">IFERROR(__xludf.DUMMYFUNCTION("""COMPUTED_VALUE"""),"")</f>
        <v/>
      </c>
      <c r="AF339" s="2" t="str">
        <f ca="1">IFERROR(__xludf.DUMMYFUNCTION("""COMPUTED_VALUE"""),"")</f>
        <v/>
      </c>
      <c r="AG339" s="2" t="str">
        <f ca="1">IFERROR(__xludf.DUMMYFUNCTION("""COMPUTED_VALUE"""),"")</f>
        <v/>
      </c>
      <c r="AH339" s="2" t="str">
        <f ca="1">IFERROR(__xludf.DUMMYFUNCTION("""COMPUTED_VALUE"""),"")</f>
        <v/>
      </c>
      <c r="AI339" s="2" t="str">
        <f ca="1">IFERROR(__xludf.DUMMYFUNCTION("""COMPUTED_VALUE"""),"")</f>
        <v/>
      </c>
      <c r="AJ339" s="2" t="str">
        <f ca="1">IFERROR(__xludf.DUMMYFUNCTION("""COMPUTED_VALUE"""),"")</f>
        <v/>
      </c>
      <c r="AK339" s="2" t="str">
        <f ca="1">IFERROR(__xludf.DUMMYFUNCTION("""COMPUTED_VALUE"""),"")</f>
        <v/>
      </c>
      <c r="AL339" s="2" t="str">
        <f ca="1">IFERROR(__xludf.DUMMYFUNCTION("""COMPUTED_VALUE"""),"")</f>
        <v/>
      </c>
      <c r="AM339" s="2" t="str">
        <f ca="1">IFERROR(__xludf.DUMMYFUNCTION("""COMPUTED_VALUE"""),"")</f>
        <v/>
      </c>
      <c r="AN339" s="2" t="str">
        <f ca="1">IFERROR(__xludf.DUMMYFUNCTION("""COMPUTED_VALUE"""),"")</f>
        <v/>
      </c>
      <c r="AO339" s="2" t="str">
        <f ca="1">IFERROR(__xludf.DUMMYFUNCTION("""COMPUTED_VALUE"""),"")</f>
        <v/>
      </c>
      <c r="AP339" s="2" t="str">
        <f ca="1">IFERROR(__xludf.DUMMYFUNCTION("""COMPUTED_VALUE"""),"")</f>
        <v/>
      </c>
      <c r="AQ339" s="2" t="str">
        <f ca="1">IFERROR(__xludf.DUMMYFUNCTION("""COMPUTED_VALUE"""),"")</f>
        <v/>
      </c>
      <c r="AR339" s="2" t="str">
        <f ca="1">IFERROR(__xludf.DUMMYFUNCTION("""COMPUTED_VALUE"""),"")</f>
        <v/>
      </c>
      <c r="AS339" s="2" t="str">
        <f ca="1">IFERROR(__xludf.DUMMYFUNCTION("""COMPUTED_VALUE"""),"")</f>
        <v/>
      </c>
      <c r="AT339" s="2" t="str">
        <f ca="1">IFERROR(__xludf.DUMMYFUNCTION("""COMPUTED_VALUE"""),"")</f>
        <v/>
      </c>
      <c r="AU339" s="2" t="str">
        <f ca="1">IFERROR(__xludf.DUMMYFUNCTION("""COMPUTED_VALUE"""),"")</f>
        <v/>
      </c>
      <c r="AV339" s="2" t="str">
        <f ca="1">IFERROR(__xludf.DUMMYFUNCTION("""COMPUTED_VALUE"""),"")</f>
        <v/>
      </c>
      <c r="AW339" s="2" t="str">
        <f ca="1">IFERROR(__xludf.DUMMYFUNCTION("""COMPUTED_VALUE"""),"")</f>
        <v/>
      </c>
      <c r="AX339" s="2" t="str">
        <f ca="1">IFERROR(__xludf.DUMMYFUNCTION("""COMPUTED_VALUE"""),"")</f>
        <v/>
      </c>
      <c r="AY339" s="2" t="str">
        <f ca="1">IFERROR(__xludf.DUMMYFUNCTION("""COMPUTED_VALUE"""),"")</f>
        <v/>
      </c>
      <c r="AZ339" s="2" t="str">
        <f ca="1">IFERROR(__xludf.DUMMYFUNCTION("""COMPUTED_VALUE"""),"")</f>
        <v/>
      </c>
      <c r="BA339" s="2" t="str">
        <f ca="1">IFERROR(__xludf.DUMMYFUNCTION("""COMPUTED_VALUE"""),"")</f>
        <v/>
      </c>
      <c r="BB339" s="2" t="str">
        <f ca="1">IFERROR(__xludf.DUMMYFUNCTION("""COMPUTED_VALUE"""),"")</f>
        <v/>
      </c>
      <c r="BC339" s="2" t="str">
        <f ca="1">IFERROR(__xludf.DUMMYFUNCTION("""COMPUTED_VALUE"""),"")</f>
        <v/>
      </c>
      <c r="BD339" s="2" t="str">
        <f ca="1">IFERROR(__xludf.DUMMYFUNCTION("""COMPUTED_VALUE"""),"")</f>
        <v/>
      </c>
      <c r="BE339" s="2" t="str">
        <f ca="1">IFERROR(__xludf.DUMMYFUNCTION("""COMPUTED_VALUE"""),"")</f>
        <v/>
      </c>
      <c r="BF339" t="str">
        <f ca="1">IFERROR(__xludf.DUMMYFUNCTION("""COMPUTED_VALUE"""),"")</f>
        <v/>
      </c>
      <c r="BG339" t="str">
        <f ca="1">IFERROR(__xludf.DUMMYFUNCTION("""COMPUTED_VALUE"""),"")</f>
        <v/>
      </c>
      <c r="BH339" s="2">
        <f ca="1">IFERROR(__xludf.DUMMYFUNCTION("""COMPUTED_VALUE"""),-36.5024147)</f>
        <v>-36.502414700000003</v>
      </c>
      <c r="BI339" s="12">
        <f ca="1">IFERROR(__xludf.DUMMYFUNCTION("""COMPUTED_VALUE"""),174.2422333)</f>
        <v>174.24223330000001</v>
      </c>
      <c r="BJ339" s="9">
        <f ca="1">IFERROR(__xludf.DUMMYFUNCTION("""COMPUTED_VALUE"""),43440)</f>
        <v>43440</v>
      </c>
      <c r="BK339" s="4">
        <f ca="1">IFERROR(__xludf.DUMMYFUNCTION("""COMPUTED_VALUE"""),0.457777777777664)</f>
        <v>0.45777777777766399</v>
      </c>
    </row>
    <row r="340" spans="1:63" ht="12.5" x14ac:dyDescent="0.25">
      <c r="A340" s="7" t="str">
        <f ca="1">IFERROR(__xludf.DUMMYFUNCTION("""COMPUTED_VALUE"""),"")</f>
        <v/>
      </c>
      <c r="B340" s="8" t="str">
        <f ca="1">IFERROR(__xludf.DUMMYFUNCTION("""COMPUTED_VALUE"""),"Waikato")</f>
        <v>Waikato</v>
      </c>
      <c r="C340" s="2">
        <f ca="1">IFERROR(__xludf.DUMMYFUNCTION("""COMPUTED_VALUE"""),21)</f>
        <v>21</v>
      </c>
      <c r="D340" s="9" t="str">
        <f ca="1">IFERROR(__xludf.DUMMYFUNCTION("""COMPUTED_VALUE"""),"")</f>
        <v/>
      </c>
      <c r="E340" s="4" t="str">
        <f ca="1">IFERROR(__xludf.DUMMYFUNCTION("""COMPUTED_VALUE"""),"")</f>
        <v/>
      </c>
      <c r="F340" s="2" t="str">
        <f ca="1">IFERROR(__xludf.DUMMYFUNCTION("""COMPUTED_VALUE"""),"")</f>
        <v/>
      </c>
      <c r="G340" s="2" t="str">
        <f ca="1">IFERROR(__xludf.DUMMYFUNCTION("""COMPUTED_VALUE"""),"GPS: I converted data downloaded from ARGOS using Pinpoint software")</f>
        <v>GPS: I converted data downloaded from ARGOS using Pinpoint software</v>
      </c>
      <c r="H340" s="2" t="str">
        <f ca="1">IFERROR(__xludf.DUMMYFUNCTION("""COMPUTED_VALUE"""),"3D")</f>
        <v>3D</v>
      </c>
      <c r="I340" s="2" t="str">
        <f ca="1">IFERROR(__xludf.DUMMYFUNCTION("""COMPUTED_VALUE"""),"")</f>
        <v/>
      </c>
      <c r="J340" s="2" t="str">
        <f ca="1">IFERROR(__xludf.DUMMYFUNCTION("""COMPUTED_VALUE"""),"")</f>
        <v/>
      </c>
      <c r="K340" s="2" t="str">
        <f ca="1">IFERROR(__xludf.DUMMYFUNCTION("""COMPUTED_VALUE"""),"")</f>
        <v/>
      </c>
      <c r="L340" s="2" t="str">
        <f ca="1">IFERROR(__xludf.DUMMYFUNCTION("""COMPUTED_VALUE"""),"")</f>
        <v/>
      </c>
      <c r="M340" s="5" t="str">
        <f ca="1">IFERROR(__xludf.DUMMYFUNCTION("""COMPUTED_VALUE"""),"")</f>
        <v/>
      </c>
      <c r="N340" s="5" t="str">
        <f ca="1">IFERROR(__xludf.DUMMYFUNCTION("""COMPUTED_VALUE"""),"")</f>
        <v/>
      </c>
      <c r="O340" s="2" t="str">
        <f ca="1">IFERROR(__xludf.DUMMYFUNCTION("""COMPUTED_VALUE"""),"")</f>
        <v/>
      </c>
      <c r="P340" s="2" t="str">
        <f ca="1">IFERROR(__xludf.DUMMYFUNCTION("""COMPUTED_VALUE"""),"")</f>
        <v/>
      </c>
      <c r="Q340" s="2" t="str">
        <f ca="1">IFERROR(__xludf.DUMMYFUNCTION("""COMPUTED_VALUE"""),"")</f>
        <v/>
      </c>
      <c r="R340" s="2" t="str">
        <f ca="1">IFERROR(__xludf.DUMMYFUNCTION("""COMPUTED_VALUE"""),"")</f>
        <v/>
      </c>
      <c r="S340" s="2" t="str">
        <f ca="1">IFERROR(__xludf.DUMMYFUNCTION("""COMPUTED_VALUE"""),"")</f>
        <v/>
      </c>
      <c r="T340" s="2" t="str">
        <f ca="1">IFERROR(__xludf.DUMMYFUNCTION("""COMPUTED_VALUE"""),"")</f>
        <v/>
      </c>
      <c r="U340" s="2" t="str">
        <f ca="1">IFERROR(__xludf.DUMMYFUNCTION("""COMPUTED_VALUE"""),"")</f>
        <v/>
      </c>
      <c r="V340" s="2" t="str">
        <f ca="1">IFERROR(__xludf.DUMMYFUNCTION("""COMPUTED_VALUE"""),"")</f>
        <v/>
      </c>
      <c r="W340" s="2" t="str">
        <f ca="1">IFERROR(__xludf.DUMMYFUNCTION("""COMPUTED_VALUE"""),"")</f>
        <v/>
      </c>
      <c r="X340" s="2" t="str">
        <f ca="1">IFERROR(__xludf.DUMMYFUNCTION("""COMPUTED_VALUE"""),"")</f>
        <v/>
      </c>
      <c r="Y340" s="2" t="str">
        <f ca="1">IFERROR(__xludf.DUMMYFUNCTION("""COMPUTED_VALUE"""),"")</f>
        <v/>
      </c>
      <c r="Z340" s="2" t="str">
        <f ca="1">IFERROR(__xludf.DUMMYFUNCTION("""COMPUTED_VALUE"""),"")</f>
        <v/>
      </c>
      <c r="AA340" s="2" t="str">
        <f ca="1">IFERROR(__xludf.DUMMYFUNCTION("""COMPUTED_VALUE"""),"")</f>
        <v/>
      </c>
      <c r="AB340" s="2" t="str">
        <f ca="1">IFERROR(__xludf.DUMMYFUNCTION("""COMPUTED_VALUE"""),"")</f>
        <v/>
      </c>
      <c r="AC340" s="2" t="str">
        <f ca="1">IFERROR(__xludf.DUMMYFUNCTION("""COMPUTED_VALUE"""),"")</f>
        <v/>
      </c>
      <c r="AD340" s="2" t="str">
        <f ca="1">IFERROR(__xludf.DUMMYFUNCTION("""COMPUTED_VALUE"""),"")</f>
        <v/>
      </c>
      <c r="AE340" s="2" t="str">
        <f ca="1">IFERROR(__xludf.DUMMYFUNCTION("""COMPUTED_VALUE"""),"")</f>
        <v/>
      </c>
      <c r="AF340" s="2" t="str">
        <f ca="1">IFERROR(__xludf.DUMMYFUNCTION("""COMPUTED_VALUE"""),"")</f>
        <v/>
      </c>
      <c r="AG340" s="2" t="str">
        <f ca="1">IFERROR(__xludf.DUMMYFUNCTION("""COMPUTED_VALUE"""),"")</f>
        <v/>
      </c>
      <c r="AH340" s="2" t="str">
        <f ca="1">IFERROR(__xludf.DUMMYFUNCTION("""COMPUTED_VALUE"""),"")</f>
        <v/>
      </c>
      <c r="AI340" s="2" t="str">
        <f ca="1">IFERROR(__xludf.DUMMYFUNCTION("""COMPUTED_VALUE"""),"")</f>
        <v/>
      </c>
      <c r="AJ340" s="2" t="str">
        <f ca="1">IFERROR(__xludf.DUMMYFUNCTION("""COMPUTED_VALUE"""),"")</f>
        <v/>
      </c>
      <c r="AK340" s="2" t="str">
        <f ca="1">IFERROR(__xludf.DUMMYFUNCTION("""COMPUTED_VALUE"""),"")</f>
        <v/>
      </c>
      <c r="AL340" s="2" t="str">
        <f ca="1">IFERROR(__xludf.DUMMYFUNCTION("""COMPUTED_VALUE"""),"")</f>
        <v/>
      </c>
      <c r="AM340" s="2" t="str">
        <f ca="1">IFERROR(__xludf.DUMMYFUNCTION("""COMPUTED_VALUE"""),"")</f>
        <v/>
      </c>
      <c r="AN340" s="2" t="str">
        <f ca="1">IFERROR(__xludf.DUMMYFUNCTION("""COMPUTED_VALUE"""),"")</f>
        <v/>
      </c>
      <c r="AO340" s="2" t="str">
        <f ca="1">IFERROR(__xludf.DUMMYFUNCTION("""COMPUTED_VALUE"""),"")</f>
        <v/>
      </c>
      <c r="AP340" s="2" t="str">
        <f ca="1">IFERROR(__xludf.DUMMYFUNCTION("""COMPUTED_VALUE"""),"")</f>
        <v/>
      </c>
      <c r="AQ340" s="2" t="str">
        <f ca="1">IFERROR(__xludf.DUMMYFUNCTION("""COMPUTED_VALUE"""),"")</f>
        <v/>
      </c>
      <c r="AR340" s="2" t="str">
        <f ca="1">IFERROR(__xludf.DUMMYFUNCTION("""COMPUTED_VALUE"""),"")</f>
        <v/>
      </c>
      <c r="AS340" s="2" t="str">
        <f ca="1">IFERROR(__xludf.DUMMYFUNCTION("""COMPUTED_VALUE"""),"")</f>
        <v/>
      </c>
      <c r="AT340" s="2" t="str">
        <f ca="1">IFERROR(__xludf.DUMMYFUNCTION("""COMPUTED_VALUE"""),"")</f>
        <v/>
      </c>
      <c r="AU340" s="2" t="str">
        <f ca="1">IFERROR(__xludf.DUMMYFUNCTION("""COMPUTED_VALUE"""),"")</f>
        <v/>
      </c>
      <c r="AV340" s="2" t="str">
        <f ca="1">IFERROR(__xludf.DUMMYFUNCTION("""COMPUTED_VALUE"""),"")</f>
        <v/>
      </c>
      <c r="AW340" s="2" t="str">
        <f ca="1">IFERROR(__xludf.DUMMYFUNCTION("""COMPUTED_VALUE"""),"")</f>
        <v/>
      </c>
      <c r="AX340" s="2" t="str">
        <f ca="1">IFERROR(__xludf.DUMMYFUNCTION("""COMPUTED_VALUE"""),"")</f>
        <v/>
      </c>
      <c r="AY340" s="2" t="str">
        <f ca="1">IFERROR(__xludf.DUMMYFUNCTION("""COMPUTED_VALUE"""),"")</f>
        <v/>
      </c>
      <c r="AZ340" s="2" t="str">
        <f ca="1">IFERROR(__xludf.DUMMYFUNCTION("""COMPUTED_VALUE"""),"")</f>
        <v/>
      </c>
      <c r="BA340" s="2" t="str">
        <f ca="1">IFERROR(__xludf.DUMMYFUNCTION("""COMPUTED_VALUE"""),"")</f>
        <v/>
      </c>
      <c r="BB340" s="2" t="str">
        <f ca="1">IFERROR(__xludf.DUMMYFUNCTION("""COMPUTED_VALUE"""),"")</f>
        <v/>
      </c>
      <c r="BC340" s="2" t="str">
        <f ca="1">IFERROR(__xludf.DUMMYFUNCTION("""COMPUTED_VALUE"""),"")</f>
        <v/>
      </c>
      <c r="BD340" s="2" t="str">
        <f ca="1">IFERROR(__xludf.DUMMYFUNCTION("""COMPUTED_VALUE"""),"")</f>
        <v/>
      </c>
      <c r="BE340" s="2" t="str">
        <f ca="1">IFERROR(__xludf.DUMMYFUNCTION("""COMPUTED_VALUE"""),"")</f>
        <v/>
      </c>
      <c r="BF340" t="str">
        <f ca="1">IFERROR(__xludf.DUMMYFUNCTION("""COMPUTED_VALUE"""),"")</f>
        <v/>
      </c>
      <c r="BG340" t="str">
        <f ca="1">IFERROR(__xludf.DUMMYFUNCTION("""COMPUTED_VALUE"""),"")</f>
        <v/>
      </c>
      <c r="BH340" s="2">
        <f ca="1">IFERROR(__xludf.DUMMYFUNCTION("""COMPUTED_VALUE"""),-36.4579964)</f>
        <v>-36.457996399999999</v>
      </c>
      <c r="BI340" s="13">
        <f ca="1">IFERROR(__xludf.DUMMYFUNCTION("""COMPUTED_VALUE"""),174.1913757)</f>
        <v>174.19137570000001</v>
      </c>
      <c r="BJ340" s="9">
        <f ca="1">IFERROR(__xludf.DUMMYFUNCTION("""COMPUTED_VALUE"""),43440)</f>
        <v>43440</v>
      </c>
      <c r="BK340" s="4">
        <f ca="1">IFERROR(__xludf.DUMMYFUNCTION("""COMPUTED_VALUE"""),0.958518518516939)</f>
        <v>0.95851851851693903</v>
      </c>
    </row>
    <row r="341" spans="1:63" ht="12.5" x14ac:dyDescent="0.25">
      <c r="A341" s="7" t="str">
        <f ca="1">IFERROR(__xludf.DUMMYFUNCTION("""COMPUTED_VALUE"""),"")</f>
        <v/>
      </c>
      <c r="B341" s="8" t="str">
        <f ca="1">IFERROR(__xludf.DUMMYFUNCTION("""COMPUTED_VALUE"""),"Waikato")</f>
        <v>Waikato</v>
      </c>
      <c r="C341" s="2">
        <f ca="1">IFERROR(__xludf.DUMMYFUNCTION("""COMPUTED_VALUE"""),21)</f>
        <v>21</v>
      </c>
      <c r="D341" s="9" t="str">
        <f ca="1">IFERROR(__xludf.DUMMYFUNCTION("""COMPUTED_VALUE"""),"")</f>
        <v/>
      </c>
      <c r="E341" s="4" t="str">
        <f ca="1">IFERROR(__xludf.DUMMYFUNCTION("""COMPUTED_VALUE"""),"")</f>
        <v/>
      </c>
      <c r="F341" s="2" t="str">
        <f ca="1">IFERROR(__xludf.DUMMYFUNCTION("""COMPUTED_VALUE"""),"")</f>
        <v/>
      </c>
      <c r="G341" s="2" t="str">
        <f ca="1">IFERROR(__xludf.DUMMYFUNCTION("""COMPUTED_VALUE"""),"GPS: I converted data downloaded from ARGOS using Pinpoint software")</f>
        <v>GPS: I converted data downloaded from ARGOS using Pinpoint software</v>
      </c>
      <c r="H341" s="2" t="str">
        <f ca="1">IFERROR(__xludf.DUMMYFUNCTION("""COMPUTED_VALUE"""),"3D")</f>
        <v>3D</v>
      </c>
      <c r="I341" s="2" t="str">
        <f ca="1">IFERROR(__xludf.DUMMYFUNCTION("""COMPUTED_VALUE"""),"")</f>
        <v/>
      </c>
      <c r="J341" s="2" t="str">
        <f ca="1">IFERROR(__xludf.DUMMYFUNCTION("""COMPUTED_VALUE"""),"")</f>
        <v/>
      </c>
      <c r="K341" s="2" t="str">
        <f ca="1">IFERROR(__xludf.DUMMYFUNCTION("""COMPUTED_VALUE"""),"")</f>
        <v/>
      </c>
      <c r="L341" s="2" t="str">
        <f ca="1">IFERROR(__xludf.DUMMYFUNCTION("""COMPUTED_VALUE"""),"")</f>
        <v/>
      </c>
      <c r="M341" s="5" t="str">
        <f ca="1">IFERROR(__xludf.DUMMYFUNCTION("""COMPUTED_VALUE"""),"")</f>
        <v/>
      </c>
      <c r="N341" s="5" t="str">
        <f ca="1">IFERROR(__xludf.DUMMYFUNCTION("""COMPUTED_VALUE"""),"")</f>
        <v/>
      </c>
      <c r="O341" s="2" t="str">
        <f ca="1">IFERROR(__xludf.DUMMYFUNCTION("""COMPUTED_VALUE"""),"")</f>
        <v/>
      </c>
      <c r="P341" s="2" t="str">
        <f ca="1">IFERROR(__xludf.DUMMYFUNCTION("""COMPUTED_VALUE"""),"")</f>
        <v/>
      </c>
      <c r="Q341" s="2" t="str">
        <f ca="1">IFERROR(__xludf.DUMMYFUNCTION("""COMPUTED_VALUE"""),"")</f>
        <v/>
      </c>
      <c r="R341" s="2" t="str">
        <f ca="1">IFERROR(__xludf.DUMMYFUNCTION("""COMPUTED_VALUE"""),"")</f>
        <v/>
      </c>
      <c r="S341" s="2" t="str">
        <f ca="1">IFERROR(__xludf.DUMMYFUNCTION("""COMPUTED_VALUE"""),"")</f>
        <v/>
      </c>
      <c r="T341" s="2" t="str">
        <f ca="1">IFERROR(__xludf.DUMMYFUNCTION("""COMPUTED_VALUE"""),"")</f>
        <v/>
      </c>
      <c r="U341" s="2" t="str">
        <f ca="1">IFERROR(__xludf.DUMMYFUNCTION("""COMPUTED_VALUE"""),"")</f>
        <v/>
      </c>
      <c r="V341" s="2" t="str">
        <f ca="1">IFERROR(__xludf.DUMMYFUNCTION("""COMPUTED_VALUE"""),"")</f>
        <v/>
      </c>
      <c r="W341" s="2" t="str">
        <f ca="1">IFERROR(__xludf.DUMMYFUNCTION("""COMPUTED_VALUE"""),"")</f>
        <v/>
      </c>
      <c r="X341" s="2" t="str">
        <f ca="1">IFERROR(__xludf.DUMMYFUNCTION("""COMPUTED_VALUE"""),"")</f>
        <v/>
      </c>
      <c r="Y341" s="2" t="str">
        <f ca="1">IFERROR(__xludf.DUMMYFUNCTION("""COMPUTED_VALUE"""),"")</f>
        <v/>
      </c>
      <c r="Z341" s="2" t="str">
        <f ca="1">IFERROR(__xludf.DUMMYFUNCTION("""COMPUTED_VALUE"""),"")</f>
        <v/>
      </c>
      <c r="AA341" s="2" t="str">
        <f ca="1">IFERROR(__xludf.DUMMYFUNCTION("""COMPUTED_VALUE"""),"")</f>
        <v/>
      </c>
      <c r="AB341" s="2" t="str">
        <f ca="1">IFERROR(__xludf.DUMMYFUNCTION("""COMPUTED_VALUE"""),"")</f>
        <v/>
      </c>
      <c r="AC341" s="2" t="str">
        <f ca="1">IFERROR(__xludf.DUMMYFUNCTION("""COMPUTED_VALUE"""),"")</f>
        <v/>
      </c>
      <c r="AD341" s="2" t="str">
        <f ca="1">IFERROR(__xludf.DUMMYFUNCTION("""COMPUTED_VALUE"""),"")</f>
        <v/>
      </c>
      <c r="AE341" s="2" t="str">
        <f ca="1">IFERROR(__xludf.DUMMYFUNCTION("""COMPUTED_VALUE"""),"")</f>
        <v/>
      </c>
      <c r="AF341" s="2" t="str">
        <f ca="1">IFERROR(__xludf.DUMMYFUNCTION("""COMPUTED_VALUE"""),"")</f>
        <v/>
      </c>
      <c r="AG341" s="2" t="str">
        <f ca="1">IFERROR(__xludf.DUMMYFUNCTION("""COMPUTED_VALUE"""),"")</f>
        <v/>
      </c>
      <c r="AH341" s="2" t="str">
        <f ca="1">IFERROR(__xludf.DUMMYFUNCTION("""COMPUTED_VALUE"""),"")</f>
        <v/>
      </c>
      <c r="AI341" s="2" t="str">
        <f ca="1">IFERROR(__xludf.DUMMYFUNCTION("""COMPUTED_VALUE"""),"")</f>
        <v/>
      </c>
      <c r="AJ341" s="2" t="str">
        <f ca="1">IFERROR(__xludf.DUMMYFUNCTION("""COMPUTED_VALUE"""),"")</f>
        <v/>
      </c>
      <c r="AK341" s="2" t="str">
        <f ca="1">IFERROR(__xludf.DUMMYFUNCTION("""COMPUTED_VALUE"""),"")</f>
        <v/>
      </c>
      <c r="AL341" s="2" t="str">
        <f ca="1">IFERROR(__xludf.DUMMYFUNCTION("""COMPUTED_VALUE"""),"")</f>
        <v/>
      </c>
      <c r="AM341" s="2" t="str">
        <f ca="1">IFERROR(__xludf.DUMMYFUNCTION("""COMPUTED_VALUE"""),"")</f>
        <v/>
      </c>
      <c r="AN341" s="2" t="str">
        <f ca="1">IFERROR(__xludf.DUMMYFUNCTION("""COMPUTED_VALUE"""),"")</f>
        <v/>
      </c>
      <c r="AO341" s="2" t="str">
        <f ca="1">IFERROR(__xludf.DUMMYFUNCTION("""COMPUTED_VALUE"""),"")</f>
        <v/>
      </c>
      <c r="AP341" s="2" t="str">
        <f ca="1">IFERROR(__xludf.DUMMYFUNCTION("""COMPUTED_VALUE"""),"")</f>
        <v/>
      </c>
      <c r="AQ341" s="2" t="str">
        <f ca="1">IFERROR(__xludf.DUMMYFUNCTION("""COMPUTED_VALUE"""),"")</f>
        <v/>
      </c>
      <c r="AR341" s="2" t="str">
        <f ca="1">IFERROR(__xludf.DUMMYFUNCTION("""COMPUTED_VALUE"""),"")</f>
        <v/>
      </c>
      <c r="AS341" s="2" t="str">
        <f ca="1">IFERROR(__xludf.DUMMYFUNCTION("""COMPUTED_VALUE"""),"")</f>
        <v/>
      </c>
      <c r="AT341" s="2" t="str">
        <f ca="1">IFERROR(__xludf.DUMMYFUNCTION("""COMPUTED_VALUE"""),"")</f>
        <v/>
      </c>
      <c r="AU341" s="2" t="str">
        <f ca="1">IFERROR(__xludf.DUMMYFUNCTION("""COMPUTED_VALUE"""),"")</f>
        <v/>
      </c>
      <c r="AV341" s="2" t="str">
        <f ca="1">IFERROR(__xludf.DUMMYFUNCTION("""COMPUTED_VALUE"""),"")</f>
        <v/>
      </c>
      <c r="AW341" s="2" t="str">
        <f ca="1">IFERROR(__xludf.DUMMYFUNCTION("""COMPUTED_VALUE"""),"")</f>
        <v/>
      </c>
      <c r="AX341" s="2" t="str">
        <f ca="1">IFERROR(__xludf.DUMMYFUNCTION("""COMPUTED_VALUE"""),"")</f>
        <v/>
      </c>
      <c r="AY341" s="2" t="str">
        <f ca="1">IFERROR(__xludf.DUMMYFUNCTION("""COMPUTED_VALUE"""),"")</f>
        <v/>
      </c>
      <c r="AZ341" s="2" t="str">
        <f ca="1">IFERROR(__xludf.DUMMYFUNCTION("""COMPUTED_VALUE"""),"")</f>
        <v/>
      </c>
      <c r="BA341" s="2" t="str">
        <f ca="1">IFERROR(__xludf.DUMMYFUNCTION("""COMPUTED_VALUE"""),"")</f>
        <v/>
      </c>
      <c r="BB341" s="2" t="str">
        <f ca="1">IFERROR(__xludf.DUMMYFUNCTION("""COMPUTED_VALUE"""),"")</f>
        <v/>
      </c>
      <c r="BC341" s="2" t="str">
        <f ca="1">IFERROR(__xludf.DUMMYFUNCTION("""COMPUTED_VALUE"""),"")</f>
        <v/>
      </c>
      <c r="BD341" s="2" t="str">
        <f ca="1">IFERROR(__xludf.DUMMYFUNCTION("""COMPUTED_VALUE"""),"")</f>
        <v/>
      </c>
      <c r="BE341" s="2" t="str">
        <f ca="1">IFERROR(__xludf.DUMMYFUNCTION("""COMPUTED_VALUE"""),"")</f>
        <v/>
      </c>
      <c r="BF341" t="str">
        <f ca="1">IFERROR(__xludf.DUMMYFUNCTION("""COMPUTED_VALUE"""),"")</f>
        <v/>
      </c>
      <c r="BG341" t="str">
        <f ca="1">IFERROR(__xludf.DUMMYFUNCTION("""COMPUTED_VALUE"""),"")</f>
        <v/>
      </c>
      <c r="BH341" s="2">
        <f ca="1">IFERROR(__xludf.DUMMYFUNCTION("""COMPUTED_VALUE"""),-36.4611702)</f>
        <v>-36.461170199999998</v>
      </c>
      <c r="BI341" s="12">
        <f ca="1">IFERROR(__xludf.DUMMYFUNCTION("""COMPUTED_VALUE"""),174.1985626)</f>
        <v>174.1985626</v>
      </c>
      <c r="BJ341" s="9">
        <f ca="1">IFERROR(__xludf.DUMMYFUNCTION("""COMPUTED_VALUE"""),43441)</f>
        <v>43441</v>
      </c>
      <c r="BK341" s="4">
        <f ca="1">IFERROR(__xludf.DUMMYFUNCTION("""COMPUTED_VALUE"""),0.874074074072268)</f>
        <v>0.874074074072268</v>
      </c>
    </row>
    <row r="342" spans="1:63" ht="12.5" x14ac:dyDescent="0.25">
      <c r="A342" s="7" t="str">
        <f ca="1">IFERROR(__xludf.DUMMYFUNCTION("""COMPUTED_VALUE"""),"")</f>
        <v/>
      </c>
      <c r="B342" s="8" t="str">
        <f ca="1">IFERROR(__xludf.DUMMYFUNCTION("""COMPUTED_VALUE"""),"Waikato")</f>
        <v>Waikato</v>
      </c>
      <c r="C342" s="2">
        <f ca="1">IFERROR(__xludf.DUMMYFUNCTION("""COMPUTED_VALUE"""),21)</f>
        <v>21</v>
      </c>
      <c r="D342" s="9" t="str">
        <f ca="1">IFERROR(__xludf.DUMMYFUNCTION("""COMPUTED_VALUE"""),"")</f>
        <v/>
      </c>
      <c r="E342" s="4" t="str">
        <f ca="1">IFERROR(__xludf.DUMMYFUNCTION("""COMPUTED_VALUE"""),"")</f>
        <v/>
      </c>
      <c r="F342" s="2" t="str">
        <f ca="1">IFERROR(__xludf.DUMMYFUNCTION("""COMPUTED_VALUE"""),"")</f>
        <v/>
      </c>
      <c r="G342" s="2" t="str">
        <f ca="1">IFERROR(__xludf.DUMMYFUNCTION("""COMPUTED_VALUE"""),"GPS: I converted data downloaded from ARGOS using Pinpoint software")</f>
        <v>GPS: I converted data downloaded from ARGOS using Pinpoint software</v>
      </c>
      <c r="H342" s="2" t="str">
        <f ca="1">IFERROR(__xludf.DUMMYFUNCTION("""COMPUTED_VALUE"""),"3D")</f>
        <v>3D</v>
      </c>
      <c r="I342" s="2" t="str">
        <f ca="1">IFERROR(__xludf.DUMMYFUNCTION("""COMPUTED_VALUE"""),"")</f>
        <v/>
      </c>
      <c r="J342" s="2" t="str">
        <f ca="1">IFERROR(__xludf.DUMMYFUNCTION("""COMPUTED_VALUE"""),"")</f>
        <v/>
      </c>
      <c r="K342" s="2" t="str">
        <f ca="1">IFERROR(__xludf.DUMMYFUNCTION("""COMPUTED_VALUE"""),"")</f>
        <v/>
      </c>
      <c r="L342" s="2" t="str">
        <f ca="1">IFERROR(__xludf.DUMMYFUNCTION("""COMPUTED_VALUE"""),"")</f>
        <v/>
      </c>
      <c r="M342" s="5" t="str">
        <f ca="1">IFERROR(__xludf.DUMMYFUNCTION("""COMPUTED_VALUE"""),"")</f>
        <v/>
      </c>
      <c r="N342" s="5" t="str">
        <f ca="1">IFERROR(__xludf.DUMMYFUNCTION("""COMPUTED_VALUE"""),"")</f>
        <v/>
      </c>
      <c r="O342" s="2" t="str">
        <f ca="1">IFERROR(__xludf.DUMMYFUNCTION("""COMPUTED_VALUE"""),"")</f>
        <v/>
      </c>
      <c r="P342" s="2" t="str">
        <f ca="1">IFERROR(__xludf.DUMMYFUNCTION("""COMPUTED_VALUE"""),"")</f>
        <v/>
      </c>
      <c r="Q342" s="2" t="str">
        <f ca="1">IFERROR(__xludf.DUMMYFUNCTION("""COMPUTED_VALUE"""),"")</f>
        <v/>
      </c>
      <c r="R342" s="2" t="str">
        <f ca="1">IFERROR(__xludf.DUMMYFUNCTION("""COMPUTED_VALUE"""),"")</f>
        <v/>
      </c>
      <c r="S342" s="2" t="str">
        <f ca="1">IFERROR(__xludf.DUMMYFUNCTION("""COMPUTED_VALUE"""),"")</f>
        <v/>
      </c>
      <c r="T342" s="2" t="str">
        <f ca="1">IFERROR(__xludf.DUMMYFUNCTION("""COMPUTED_VALUE"""),"")</f>
        <v/>
      </c>
      <c r="U342" s="2" t="str">
        <f ca="1">IFERROR(__xludf.DUMMYFUNCTION("""COMPUTED_VALUE"""),"")</f>
        <v/>
      </c>
      <c r="V342" s="2" t="str">
        <f ca="1">IFERROR(__xludf.DUMMYFUNCTION("""COMPUTED_VALUE"""),"")</f>
        <v/>
      </c>
      <c r="W342" s="2" t="str">
        <f ca="1">IFERROR(__xludf.DUMMYFUNCTION("""COMPUTED_VALUE"""),"")</f>
        <v/>
      </c>
      <c r="X342" s="2" t="str">
        <f ca="1">IFERROR(__xludf.DUMMYFUNCTION("""COMPUTED_VALUE"""),"")</f>
        <v/>
      </c>
      <c r="Y342" s="2" t="str">
        <f ca="1">IFERROR(__xludf.DUMMYFUNCTION("""COMPUTED_VALUE"""),"")</f>
        <v/>
      </c>
      <c r="Z342" s="2" t="str">
        <f ca="1">IFERROR(__xludf.DUMMYFUNCTION("""COMPUTED_VALUE"""),"")</f>
        <v/>
      </c>
      <c r="AA342" s="2" t="str">
        <f ca="1">IFERROR(__xludf.DUMMYFUNCTION("""COMPUTED_VALUE"""),"")</f>
        <v/>
      </c>
      <c r="AB342" s="2" t="str">
        <f ca="1">IFERROR(__xludf.DUMMYFUNCTION("""COMPUTED_VALUE"""),"")</f>
        <v/>
      </c>
      <c r="AC342" s="2" t="str">
        <f ca="1">IFERROR(__xludf.DUMMYFUNCTION("""COMPUTED_VALUE"""),"")</f>
        <v/>
      </c>
      <c r="AD342" s="2" t="str">
        <f ca="1">IFERROR(__xludf.DUMMYFUNCTION("""COMPUTED_VALUE"""),"")</f>
        <v/>
      </c>
      <c r="AE342" s="2" t="str">
        <f ca="1">IFERROR(__xludf.DUMMYFUNCTION("""COMPUTED_VALUE"""),"")</f>
        <v/>
      </c>
      <c r="AF342" s="2" t="str">
        <f ca="1">IFERROR(__xludf.DUMMYFUNCTION("""COMPUTED_VALUE"""),"")</f>
        <v/>
      </c>
      <c r="AG342" s="2" t="str">
        <f ca="1">IFERROR(__xludf.DUMMYFUNCTION("""COMPUTED_VALUE"""),"")</f>
        <v/>
      </c>
      <c r="AH342" s="2" t="str">
        <f ca="1">IFERROR(__xludf.DUMMYFUNCTION("""COMPUTED_VALUE"""),"")</f>
        <v/>
      </c>
      <c r="AI342" s="2" t="str">
        <f ca="1">IFERROR(__xludf.DUMMYFUNCTION("""COMPUTED_VALUE"""),"")</f>
        <v/>
      </c>
      <c r="AJ342" s="2" t="str">
        <f ca="1">IFERROR(__xludf.DUMMYFUNCTION("""COMPUTED_VALUE"""),"")</f>
        <v/>
      </c>
      <c r="AK342" s="2" t="str">
        <f ca="1">IFERROR(__xludf.DUMMYFUNCTION("""COMPUTED_VALUE"""),"")</f>
        <v/>
      </c>
      <c r="AL342" s="2" t="str">
        <f ca="1">IFERROR(__xludf.DUMMYFUNCTION("""COMPUTED_VALUE"""),"")</f>
        <v/>
      </c>
      <c r="AM342" s="2" t="str">
        <f ca="1">IFERROR(__xludf.DUMMYFUNCTION("""COMPUTED_VALUE"""),"")</f>
        <v/>
      </c>
      <c r="AN342" s="2" t="str">
        <f ca="1">IFERROR(__xludf.DUMMYFUNCTION("""COMPUTED_VALUE"""),"")</f>
        <v/>
      </c>
      <c r="AO342" s="2" t="str">
        <f ca="1">IFERROR(__xludf.DUMMYFUNCTION("""COMPUTED_VALUE"""),"")</f>
        <v/>
      </c>
      <c r="AP342" s="2" t="str">
        <f ca="1">IFERROR(__xludf.DUMMYFUNCTION("""COMPUTED_VALUE"""),"")</f>
        <v/>
      </c>
      <c r="AQ342" s="2" t="str">
        <f ca="1">IFERROR(__xludf.DUMMYFUNCTION("""COMPUTED_VALUE"""),"")</f>
        <v/>
      </c>
      <c r="AR342" s="2" t="str">
        <f ca="1">IFERROR(__xludf.DUMMYFUNCTION("""COMPUTED_VALUE"""),"")</f>
        <v/>
      </c>
      <c r="AS342" s="2" t="str">
        <f ca="1">IFERROR(__xludf.DUMMYFUNCTION("""COMPUTED_VALUE"""),"")</f>
        <v/>
      </c>
      <c r="AT342" s="2" t="str">
        <f ca="1">IFERROR(__xludf.DUMMYFUNCTION("""COMPUTED_VALUE"""),"")</f>
        <v/>
      </c>
      <c r="AU342" s="2" t="str">
        <f ca="1">IFERROR(__xludf.DUMMYFUNCTION("""COMPUTED_VALUE"""),"")</f>
        <v/>
      </c>
      <c r="AV342" s="2" t="str">
        <f ca="1">IFERROR(__xludf.DUMMYFUNCTION("""COMPUTED_VALUE"""),"")</f>
        <v/>
      </c>
      <c r="AW342" s="2" t="str">
        <f ca="1">IFERROR(__xludf.DUMMYFUNCTION("""COMPUTED_VALUE"""),"")</f>
        <v/>
      </c>
      <c r="AX342" s="2" t="str">
        <f ca="1">IFERROR(__xludf.DUMMYFUNCTION("""COMPUTED_VALUE"""),"")</f>
        <v/>
      </c>
      <c r="AY342" s="2" t="str">
        <f ca="1">IFERROR(__xludf.DUMMYFUNCTION("""COMPUTED_VALUE"""),"")</f>
        <v/>
      </c>
      <c r="AZ342" s="2" t="str">
        <f ca="1">IFERROR(__xludf.DUMMYFUNCTION("""COMPUTED_VALUE"""),"")</f>
        <v/>
      </c>
      <c r="BA342" s="2" t="str">
        <f ca="1">IFERROR(__xludf.DUMMYFUNCTION("""COMPUTED_VALUE"""),"")</f>
        <v/>
      </c>
      <c r="BB342" s="2" t="str">
        <f ca="1">IFERROR(__xludf.DUMMYFUNCTION("""COMPUTED_VALUE"""),"")</f>
        <v/>
      </c>
      <c r="BC342" s="2" t="str">
        <f ca="1">IFERROR(__xludf.DUMMYFUNCTION("""COMPUTED_VALUE"""),"")</f>
        <v/>
      </c>
      <c r="BD342" s="2" t="str">
        <f ca="1">IFERROR(__xludf.DUMMYFUNCTION("""COMPUTED_VALUE"""),"")</f>
        <v/>
      </c>
      <c r="BE342" s="2" t="str">
        <f ca="1">IFERROR(__xludf.DUMMYFUNCTION("""COMPUTED_VALUE"""),"")</f>
        <v/>
      </c>
      <c r="BF342" t="str">
        <f ca="1">IFERROR(__xludf.DUMMYFUNCTION("""COMPUTED_VALUE"""),"")</f>
        <v/>
      </c>
      <c r="BG342" t="str">
        <f ca="1">IFERROR(__xludf.DUMMYFUNCTION("""COMPUTED_VALUE"""),"")</f>
        <v/>
      </c>
      <c r="BH342" s="2">
        <f ca="1">IFERROR(__xludf.DUMMYFUNCTION("""COMPUTED_VALUE"""),-36.4620171)</f>
        <v>-36.462017099999997</v>
      </c>
      <c r="BI342" s="13">
        <f ca="1">IFERROR(__xludf.DUMMYFUNCTION("""COMPUTED_VALUE"""),174.1985168)</f>
        <v>174.19851679999999</v>
      </c>
      <c r="BJ342" s="9">
        <f ca="1">IFERROR(__xludf.DUMMYFUNCTION("""COMPUTED_VALUE"""),43442)</f>
        <v>43442</v>
      </c>
      <c r="BK342" s="4">
        <f ca="1">IFERROR(__xludf.DUMMYFUNCTION("""COMPUTED_VALUE"""),0.457777777777664)</f>
        <v>0.45777777777766399</v>
      </c>
    </row>
    <row r="343" spans="1:63" ht="12.5" x14ac:dyDescent="0.25">
      <c r="A343" s="7" t="str">
        <f ca="1">IFERROR(__xludf.DUMMYFUNCTION("""COMPUTED_VALUE"""),"")</f>
        <v/>
      </c>
      <c r="B343" s="8" t="str">
        <f ca="1">IFERROR(__xludf.DUMMYFUNCTION("""COMPUTED_VALUE"""),"Waikato")</f>
        <v>Waikato</v>
      </c>
      <c r="C343" s="2">
        <f ca="1">IFERROR(__xludf.DUMMYFUNCTION("""COMPUTED_VALUE"""),21)</f>
        <v>21</v>
      </c>
      <c r="D343" s="9" t="str">
        <f ca="1">IFERROR(__xludf.DUMMYFUNCTION("""COMPUTED_VALUE"""),"")</f>
        <v/>
      </c>
      <c r="E343" s="4" t="str">
        <f ca="1">IFERROR(__xludf.DUMMYFUNCTION("""COMPUTED_VALUE"""),"")</f>
        <v/>
      </c>
      <c r="F343" s="2" t="str">
        <f ca="1">IFERROR(__xludf.DUMMYFUNCTION("""COMPUTED_VALUE"""),"")</f>
        <v/>
      </c>
      <c r="G343" s="2" t="str">
        <f ca="1">IFERROR(__xludf.DUMMYFUNCTION("""COMPUTED_VALUE"""),"GPS: I converted data downloaded from ARGOS using Pinpoint software")</f>
        <v>GPS: I converted data downloaded from ARGOS using Pinpoint software</v>
      </c>
      <c r="H343" s="2" t="str">
        <f ca="1">IFERROR(__xludf.DUMMYFUNCTION("""COMPUTED_VALUE"""),"3D")</f>
        <v>3D</v>
      </c>
      <c r="I343" s="2" t="str">
        <f ca="1">IFERROR(__xludf.DUMMYFUNCTION("""COMPUTED_VALUE"""),"")</f>
        <v/>
      </c>
      <c r="J343" s="2" t="str">
        <f ca="1">IFERROR(__xludf.DUMMYFUNCTION("""COMPUTED_VALUE"""),"")</f>
        <v/>
      </c>
      <c r="K343" s="2" t="str">
        <f ca="1">IFERROR(__xludf.DUMMYFUNCTION("""COMPUTED_VALUE"""),"")</f>
        <v/>
      </c>
      <c r="L343" s="2" t="str">
        <f ca="1">IFERROR(__xludf.DUMMYFUNCTION("""COMPUTED_VALUE"""),"")</f>
        <v/>
      </c>
      <c r="M343" s="5" t="str">
        <f ca="1">IFERROR(__xludf.DUMMYFUNCTION("""COMPUTED_VALUE"""),"")</f>
        <v/>
      </c>
      <c r="N343" s="5" t="str">
        <f ca="1">IFERROR(__xludf.DUMMYFUNCTION("""COMPUTED_VALUE"""),"")</f>
        <v/>
      </c>
      <c r="O343" s="2" t="str">
        <f ca="1">IFERROR(__xludf.DUMMYFUNCTION("""COMPUTED_VALUE"""),"")</f>
        <v/>
      </c>
      <c r="P343" s="2" t="str">
        <f ca="1">IFERROR(__xludf.DUMMYFUNCTION("""COMPUTED_VALUE"""),"")</f>
        <v/>
      </c>
      <c r="Q343" s="2" t="str">
        <f ca="1">IFERROR(__xludf.DUMMYFUNCTION("""COMPUTED_VALUE"""),"")</f>
        <v/>
      </c>
      <c r="R343" s="2" t="str">
        <f ca="1">IFERROR(__xludf.DUMMYFUNCTION("""COMPUTED_VALUE"""),"")</f>
        <v/>
      </c>
      <c r="S343" s="2" t="str">
        <f ca="1">IFERROR(__xludf.DUMMYFUNCTION("""COMPUTED_VALUE"""),"")</f>
        <v/>
      </c>
      <c r="T343" s="2" t="str">
        <f ca="1">IFERROR(__xludf.DUMMYFUNCTION("""COMPUTED_VALUE"""),"")</f>
        <v/>
      </c>
      <c r="U343" s="2" t="str">
        <f ca="1">IFERROR(__xludf.DUMMYFUNCTION("""COMPUTED_VALUE"""),"")</f>
        <v/>
      </c>
      <c r="V343" s="2" t="str">
        <f ca="1">IFERROR(__xludf.DUMMYFUNCTION("""COMPUTED_VALUE"""),"")</f>
        <v/>
      </c>
      <c r="W343" s="2" t="str">
        <f ca="1">IFERROR(__xludf.DUMMYFUNCTION("""COMPUTED_VALUE"""),"")</f>
        <v/>
      </c>
      <c r="X343" s="2" t="str">
        <f ca="1">IFERROR(__xludf.DUMMYFUNCTION("""COMPUTED_VALUE"""),"")</f>
        <v/>
      </c>
      <c r="Y343" s="2" t="str">
        <f ca="1">IFERROR(__xludf.DUMMYFUNCTION("""COMPUTED_VALUE"""),"")</f>
        <v/>
      </c>
      <c r="Z343" s="2" t="str">
        <f ca="1">IFERROR(__xludf.DUMMYFUNCTION("""COMPUTED_VALUE"""),"")</f>
        <v/>
      </c>
      <c r="AA343" s="2" t="str">
        <f ca="1">IFERROR(__xludf.DUMMYFUNCTION("""COMPUTED_VALUE"""),"")</f>
        <v/>
      </c>
      <c r="AB343" s="2" t="str">
        <f ca="1">IFERROR(__xludf.DUMMYFUNCTION("""COMPUTED_VALUE"""),"")</f>
        <v/>
      </c>
      <c r="AC343" s="2" t="str">
        <f ca="1">IFERROR(__xludf.DUMMYFUNCTION("""COMPUTED_VALUE"""),"")</f>
        <v/>
      </c>
      <c r="AD343" s="2" t="str">
        <f ca="1">IFERROR(__xludf.DUMMYFUNCTION("""COMPUTED_VALUE"""),"")</f>
        <v/>
      </c>
      <c r="AE343" s="2" t="str">
        <f ca="1">IFERROR(__xludf.DUMMYFUNCTION("""COMPUTED_VALUE"""),"")</f>
        <v/>
      </c>
      <c r="AF343" s="2" t="str">
        <f ca="1">IFERROR(__xludf.DUMMYFUNCTION("""COMPUTED_VALUE"""),"")</f>
        <v/>
      </c>
      <c r="AG343" s="2" t="str">
        <f ca="1">IFERROR(__xludf.DUMMYFUNCTION("""COMPUTED_VALUE"""),"")</f>
        <v/>
      </c>
      <c r="AH343" s="2" t="str">
        <f ca="1">IFERROR(__xludf.DUMMYFUNCTION("""COMPUTED_VALUE"""),"")</f>
        <v/>
      </c>
      <c r="AI343" s="2" t="str">
        <f ca="1">IFERROR(__xludf.DUMMYFUNCTION("""COMPUTED_VALUE"""),"")</f>
        <v/>
      </c>
      <c r="AJ343" s="2" t="str">
        <f ca="1">IFERROR(__xludf.DUMMYFUNCTION("""COMPUTED_VALUE"""),"")</f>
        <v/>
      </c>
      <c r="AK343" s="2" t="str">
        <f ca="1">IFERROR(__xludf.DUMMYFUNCTION("""COMPUTED_VALUE"""),"")</f>
        <v/>
      </c>
      <c r="AL343" s="2" t="str">
        <f ca="1">IFERROR(__xludf.DUMMYFUNCTION("""COMPUTED_VALUE"""),"")</f>
        <v/>
      </c>
      <c r="AM343" s="2" t="str">
        <f ca="1">IFERROR(__xludf.DUMMYFUNCTION("""COMPUTED_VALUE"""),"")</f>
        <v/>
      </c>
      <c r="AN343" s="2" t="str">
        <f ca="1">IFERROR(__xludf.DUMMYFUNCTION("""COMPUTED_VALUE"""),"")</f>
        <v/>
      </c>
      <c r="AO343" s="2" t="str">
        <f ca="1">IFERROR(__xludf.DUMMYFUNCTION("""COMPUTED_VALUE"""),"")</f>
        <v/>
      </c>
      <c r="AP343" s="2" t="str">
        <f ca="1">IFERROR(__xludf.DUMMYFUNCTION("""COMPUTED_VALUE"""),"")</f>
        <v/>
      </c>
      <c r="AQ343" s="2" t="str">
        <f ca="1">IFERROR(__xludf.DUMMYFUNCTION("""COMPUTED_VALUE"""),"")</f>
        <v/>
      </c>
      <c r="AR343" s="2" t="str">
        <f ca="1">IFERROR(__xludf.DUMMYFUNCTION("""COMPUTED_VALUE"""),"")</f>
        <v/>
      </c>
      <c r="AS343" s="2" t="str">
        <f ca="1">IFERROR(__xludf.DUMMYFUNCTION("""COMPUTED_VALUE"""),"")</f>
        <v/>
      </c>
      <c r="AT343" s="2" t="str">
        <f ca="1">IFERROR(__xludf.DUMMYFUNCTION("""COMPUTED_VALUE"""),"")</f>
        <v/>
      </c>
      <c r="AU343" s="2" t="str">
        <f ca="1">IFERROR(__xludf.DUMMYFUNCTION("""COMPUTED_VALUE"""),"")</f>
        <v/>
      </c>
      <c r="AV343" s="2" t="str">
        <f ca="1">IFERROR(__xludf.DUMMYFUNCTION("""COMPUTED_VALUE"""),"")</f>
        <v/>
      </c>
      <c r="AW343" s="2" t="str">
        <f ca="1">IFERROR(__xludf.DUMMYFUNCTION("""COMPUTED_VALUE"""),"")</f>
        <v/>
      </c>
      <c r="AX343" s="2" t="str">
        <f ca="1">IFERROR(__xludf.DUMMYFUNCTION("""COMPUTED_VALUE"""),"")</f>
        <v/>
      </c>
      <c r="AY343" s="2" t="str">
        <f ca="1">IFERROR(__xludf.DUMMYFUNCTION("""COMPUTED_VALUE"""),"")</f>
        <v/>
      </c>
      <c r="AZ343" s="2" t="str">
        <f ca="1">IFERROR(__xludf.DUMMYFUNCTION("""COMPUTED_VALUE"""),"")</f>
        <v/>
      </c>
      <c r="BA343" s="2" t="str">
        <f ca="1">IFERROR(__xludf.DUMMYFUNCTION("""COMPUTED_VALUE"""),"")</f>
        <v/>
      </c>
      <c r="BB343" s="2" t="str">
        <f ca="1">IFERROR(__xludf.DUMMYFUNCTION("""COMPUTED_VALUE"""),"")</f>
        <v/>
      </c>
      <c r="BC343" s="2" t="str">
        <f ca="1">IFERROR(__xludf.DUMMYFUNCTION("""COMPUTED_VALUE"""),"")</f>
        <v/>
      </c>
      <c r="BD343" s="2" t="str">
        <f ca="1">IFERROR(__xludf.DUMMYFUNCTION("""COMPUTED_VALUE"""),"")</f>
        <v/>
      </c>
      <c r="BE343" s="2" t="str">
        <f ca="1">IFERROR(__xludf.DUMMYFUNCTION("""COMPUTED_VALUE"""),"")</f>
        <v/>
      </c>
      <c r="BF343" t="str">
        <f ca="1">IFERROR(__xludf.DUMMYFUNCTION("""COMPUTED_VALUE"""),"")</f>
        <v/>
      </c>
      <c r="BG343" t="str">
        <f ca="1">IFERROR(__xludf.DUMMYFUNCTION("""COMPUTED_VALUE"""),"")</f>
        <v/>
      </c>
      <c r="BH343" s="2">
        <f ca="1">IFERROR(__xludf.DUMMYFUNCTION("""COMPUTED_VALUE"""),-36.4614525)</f>
        <v>-36.4614525</v>
      </c>
      <c r="BI343" s="12">
        <f ca="1">IFERROR(__xludf.DUMMYFUNCTION("""COMPUTED_VALUE"""),174.1985474)</f>
        <v>174.1985474</v>
      </c>
      <c r="BJ343" s="9">
        <f ca="1">IFERROR(__xludf.DUMMYFUNCTION("""COMPUTED_VALUE"""),43442)</f>
        <v>43442</v>
      </c>
      <c r="BK343" s="4">
        <f ca="1">IFERROR(__xludf.DUMMYFUNCTION("""COMPUTED_VALUE"""),0.958518518516939)</f>
        <v>0.95851851851693903</v>
      </c>
    </row>
    <row r="344" spans="1:63" ht="12.5" x14ac:dyDescent="0.25">
      <c r="A344" s="7" t="str">
        <f ca="1">IFERROR(__xludf.DUMMYFUNCTION("""COMPUTED_VALUE"""),"")</f>
        <v/>
      </c>
      <c r="B344" s="8" t="str">
        <f ca="1">IFERROR(__xludf.DUMMYFUNCTION("""COMPUTED_VALUE"""),"Waikato")</f>
        <v>Waikato</v>
      </c>
      <c r="C344" s="2">
        <f ca="1">IFERROR(__xludf.DUMMYFUNCTION("""COMPUTED_VALUE"""),21)</f>
        <v>21</v>
      </c>
      <c r="D344" s="9" t="str">
        <f ca="1">IFERROR(__xludf.DUMMYFUNCTION("""COMPUTED_VALUE"""),"")</f>
        <v/>
      </c>
      <c r="E344" s="4" t="str">
        <f ca="1">IFERROR(__xludf.DUMMYFUNCTION("""COMPUTED_VALUE"""),"")</f>
        <v/>
      </c>
      <c r="F344" s="2" t="str">
        <f ca="1">IFERROR(__xludf.DUMMYFUNCTION("""COMPUTED_VALUE"""),"")</f>
        <v/>
      </c>
      <c r="G344" s="2" t="str">
        <f ca="1">IFERROR(__xludf.DUMMYFUNCTION("""COMPUTED_VALUE"""),"GPS: I converted data downloaded from ARGOS using Pinpoint software")</f>
        <v>GPS: I converted data downloaded from ARGOS using Pinpoint software</v>
      </c>
      <c r="H344" s="2" t="str">
        <f ca="1">IFERROR(__xludf.DUMMYFUNCTION("""COMPUTED_VALUE"""),"3D")</f>
        <v>3D</v>
      </c>
      <c r="I344" s="2" t="str">
        <f ca="1">IFERROR(__xludf.DUMMYFUNCTION("""COMPUTED_VALUE"""),"")</f>
        <v/>
      </c>
      <c r="J344" s="2" t="str">
        <f ca="1">IFERROR(__xludf.DUMMYFUNCTION("""COMPUTED_VALUE"""),"")</f>
        <v/>
      </c>
      <c r="K344" s="2" t="str">
        <f ca="1">IFERROR(__xludf.DUMMYFUNCTION("""COMPUTED_VALUE"""),"")</f>
        <v/>
      </c>
      <c r="L344" s="2" t="str">
        <f ca="1">IFERROR(__xludf.DUMMYFUNCTION("""COMPUTED_VALUE"""),"")</f>
        <v/>
      </c>
      <c r="M344" s="5" t="str">
        <f ca="1">IFERROR(__xludf.DUMMYFUNCTION("""COMPUTED_VALUE"""),"")</f>
        <v/>
      </c>
      <c r="N344" s="5" t="str">
        <f ca="1">IFERROR(__xludf.DUMMYFUNCTION("""COMPUTED_VALUE"""),"")</f>
        <v/>
      </c>
      <c r="O344" s="2" t="str">
        <f ca="1">IFERROR(__xludf.DUMMYFUNCTION("""COMPUTED_VALUE"""),"")</f>
        <v/>
      </c>
      <c r="P344" s="2" t="str">
        <f ca="1">IFERROR(__xludf.DUMMYFUNCTION("""COMPUTED_VALUE"""),"")</f>
        <v/>
      </c>
      <c r="Q344" s="2" t="str">
        <f ca="1">IFERROR(__xludf.DUMMYFUNCTION("""COMPUTED_VALUE"""),"")</f>
        <v/>
      </c>
      <c r="R344" s="2" t="str">
        <f ca="1">IFERROR(__xludf.DUMMYFUNCTION("""COMPUTED_VALUE"""),"")</f>
        <v/>
      </c>
      <c r="S344" s="2" t="str">
        <f ca="1">IFERROR(__xludf.DUMMYFUNCTION("""COMPUTED_VALUE"""),"")</f>
        <v/>
      </c>
      <c r="T344" s="2" t="str">
        <f ca="1">IFERROR(__xludf.DUMMYFUNCTION("""COMPUTED_VALUE"""),"")</f>
        <v/>
      </c>
      <c r="U344" s="2" t="str">
        <f ca="1">IFERROR(__xludf.DUMMYFUNCTION("""COMPUTED_VALUE"""),"")</f>
        <v/>
      </c>
      <c r="V344" s="2" t="str">
        <f ca="1">IFERROR(__xludf.DUMMYFUNCTION("""COMPUTED_VALUE"""),"")</f>
        <v/>
      </c>
      <c r="W344" s="2" t="str">
        <f ca="1">IFERROR(__xludf.DUMMYFUNCTION("""COMPUTED_VALUE"""),"")</f>
        <v/>
      </c>
      <c r="X344" s="2" t="str">
        <f ca="1">IFERROR(__xludf.DUMMYFUNCTION("""COMPUTED_VALUE"""),"")</f>
        <v/>
      </c>
      <c r="Y344" s="2" t="str">
        <f ca="1">IFERROR(__xludf.DUMMYFUNCTION("""COMPUTED_VALUE"""),"")</f>
        <v/>
      </c>
      <c r="Z344" s="2" t="str">
        <f ca="1">IFERROR(__xludf.DUMMYFUNCTION("""COMPUTED_VALUE"""),"")</f>
        <v/>
      </c>
      <c r="AA344" s="2" t="str">
        <f ca="1">IFERROR(__xludf.DUMMYFUNCTION("""COMPUTED_VALUE"""),"")</f>
        <v/>
      </c>
      <c r="AB344" s="2" t="str">
        <f ca="1">IFERROR(__xludf.DUMMYFUNCTION("""COMPUTED_VALUE"""),"")</f>
        <v/>
      </c>
      <c r="AC344" s="2" t="str">
        <f ca="1">IFERROR(__xludf.DUMMYFUNCTION("""COMPUTED_VALUE"""),"")</f>
        <v/>
      </c>
      <c r="AD344" s="2" t="str">
        <f ca="1">IFERROR(__xludf.DUMMYFUNCTION("""COMPUTED_VALUE"""),"")</f>
        <v/>
      </c>
      <c r="AE344" s="2" t="str">
        <f ca="1">IFERROR(__xludf.DUMMYFUNCTION("""COMPUTED_VALUE"""),"")</f>
        <v/>
      </c>
      <c r="AF344" s="2" t="str">
        <f ca="1">IFERROR(__xludf.DUMMYFUNCTION("""COMPUTED_VALUE"""),"")</f>
        <v/>
      </c>
      <c r="AG344" s="2" t="str">
        <f ca="1">IFERROR(__xludf.DUMMYFUNCTION("""COMPUTED_VALUE"""),"")</f>
        <v/>
      </c>
      <c r="AH344" s="2" t="str">
        <f ca="1">IFERROR(__xludf.DUMMYFUNCTION("""COMPUTED_VALUE"""),"")</f>
        <v/>
      </c>
      <c r="AI344" s="2" t="str">
        <f ca="1">IFERROR(__xludf.DUMMYFUNCTION("""COMPUTED_VALUE"""),"")</f>
        <v/>
      </c>
      <c r="AJ344" s="2" t="str">
        <f ca="1">IFERROR(__xludf.DUMMYFUNCTION("""COMPUTED_VALUE"""),"")</f>
        <v/>
      </c>
      <c r="AK344" s="2" t="str">
        <f ca="1">IFERROR(__xludf.DUMMYFUNCTION("""COMPUTED_VALUE"""),"")</f>
        <v/>
      </c>
      <c r="AL344" s="2" t="str">
        <f ca="1">IFERROR(__xludf.DUMMYFUNCTION("""COMPUTED_VALUE"""),"")</f>
        <v/>
      </c>
      <c r="AM344" s="2" t="str">
        <f ca="1">IFERROR(__xludf.DUMMYFUNCTION("""COMPUTED_VALUE"""),"")</f>
        <v/>
      </c>
      <c r="AN344" s="2" t="str">
        <f ca="1">IFERROR(__xludf.DUMMYFUNCTION("""COMPUTED_VALUE"""),"")</f>
        <v/>
      </c>
      <c r="AO344" s="2" t="str">
        <f ca="1">IFERROR(__xludf.DUMMYFUNCTION("""COMPUTED_VALUE"""),"")</f>
        <v/>
      </c>
      <c r="AP344" s="2" t="str">
        <f ca="1">IFERROR(__xludf.DUMMYFUNCTION("""COMPUTED_VALUE"""),"")</f>
        <v/>
      </c>
      <c r="AQ344" s="2" t="str">
        <f ca="1">IFERROR(__xludf.DUMMYFUNCTION("""COMPUTED_VALUE"""),"")</f>
        <v/>
      </c>
      <c r="AR344" s="2" t="str">
        <f ca="1">IFERROR(__xludf.DUMMYFUNCTION("""COMPUTED_VALUE"""),"")</f>
        <v/>
      </c>
      <c r="AS344" s="2" t="str">
        <f ca="1">IFERROR(__xludf.DUMMYFUNCTION("""COMPUTED_VALUE"""),"")</f>
        <v/>
      </c>
      <c r="AT344" s="2" t="str">
        <f ca="1">IFERROR(__xludf.DUMMYFUNCTION("""COMPUTED_VALUE"""),"")</f>
        <v/>
      </c>
      <c r="AU344" s="2" t="str">
        <f ca="1">IFERROR(__xludf.DUMMYFUNCTION("""COMPUTED_VALUE"""),"")</f>
        <v/>
      </c>
      <c r="AV344" s="2" t="str">
        <f ca="1">IFERROR(__xludf.DUMMYFUNCTION("""COMPUTED_VALUE"""),"")</f>
        <v/>
      </c>
      <c r="AW344" s="2" t="str">
        <f ca="1">IFERROR(__xludf.DUMMYFUNCTION("""COMPUTED_VALUE"""),"")</f>
        <v/>
      </c>
      <c r="AX344" s="2" t="str">
        <f ca="1">IFERROR(__xludf.DUMMYFUNCTION("""COMPUTED_VALUE"""),"")</f>
        <v/>
      </c>
      <c r="AY344" s="2" t="str">
        <f ca="1">IFERROR(__xludf.DUMMYFUNCTION("""COMPUTED_VALUE"""),"")</f>
        <v/>
      </c>
      <c r="AZ344" s="2" t="str">
        <f ca="1">IFERROR(__xludf.DUMMYFUNCTION("""COMPUTED_VALUE"""),"")</f>
        <v/>
      </c>
      <c r="BA344" s="2" t="str">
        <f ca="1">IFERROR(__xludf.DUMMYFUNCTION("""COMPUTED_VALUE"""),"")</f>
        <v/>
      </c>
      <c r="BB344" s="2" t="str">
        <f ca="1">IFERROR(__xludf.DUMMYFUNCTION("""COMPUTED_VALUE"""),"")</f>
        <v/>
      </c>
      <c r="BC344" s="2" t="str">
        <f ca="1">IFERROR(__xludf.DUMMYFUNCTION("""COMPUTED_VALUE"""),"")</f>
        <v/>
      </c>
      <c r="BD344" s="2" t="str">
        <f ca="1">IFERROR(__xludf.DUMMYFUNCTION("""COMPUTED_VALUE"""),"")</f>
        <v/>
      </c>
      <c r="BE344" s="2" t="str">
        <f ca="1">IFERROR(__xludf.DUMMYFUNCTION("""COMPUTED_VALUE"""),"")</f>
        <v/>
      </c>
      <c r="BF344" t="str">
        <f ca="1">IFERROR(__xludf.DUMMYFUNCTION("""COMPUTED_VALUE"""),"")</f>
        <v/>
      </c>
      <c r="BG344" t="str">
        <f ca="1">IFERROR(__xludf.DUMMYFUNCTION("""COMPUTED_VALUE"""),"")</f>
        <v/>
      </c>
      <c r="BH344" s="2">
        <f ca="1">IFERROR(__xludf.DUMMYFUNCTION("""COMPUTED_VALUE"""),-36.4598656)</f>
        <v>-36.459865600000001</v>
      </c>
      <c r="BI344" s="13">
        <f ca="1">IFERROR(__xludf.DUMMYFUNCTION("""COMPUTED_VALUE"""),174.1984406)</f>
        <v>174.1984406</v>
      </c>
      <c r="BJ344" s="9">
        <f ca="1">IFERROR(__xludf.DUMMYFUNCTION("""COMPUTED_VALUE"""),43444)</f>
        <v>43444</v>
      </c>
      <c r="BK344" s="4">
        <f ca="1">IFERROR(__xludf.DUMMYFUNCTION("""COMPUTED_VALUE"""),0.457777777777664)</f>
        <v>0.45777777777766399</v>
      </c>
    </row>
    <row r="345" spans="1:63" ht="12.5" x14ac:dyDescent="0.25">
      <c r="A345" s="7" t="str">
        <f ca="1">IFERROR(__xludf.DUMMYFUNCTION("""COMPUTED_VALUE"""),"")</f>
        <v/>
      </c>
      <c r="B345" s="8" t="str">
        <f ca="1">IFERROR(__xludf.DUMMYFUNCTION("""COMPUTED_VALUE"""),"Waikato")</f>
        <v>Waikato</v>
      </c>
      <c r="C345" s="2">
        <f ca="1">IFERROR(__xludf.DUMMYFUNCTION("""COMPUTED_VALUE"""),21)</f>
        <v>21</v>
      </c>
      <c r="D345" s="9" t="str">
        <f ca="1">IFERROR(__xludf.DUMMYFUNCTION("""COMPUTED_VALUE"""),"")</f>
        <v/>
      </c>
      <c r="E345" s="4" t="str">
        <f ca="1">IFERROR(__xludf.DUMMYFUNCTION("""COMPUTED_VALUE"""),"")</f>
        <v/>
      </c>
      <c r="F345" s="2" t="str">
        <f ca="1">IFERROR(__xludf.DUMMYFUNCTION("""COMPUTED_VALUE"""),"")</f>
        <v/>
      </c>
      <c r="G345" s="2" t="str">
        <f ca="1">IFERROR(__xludf.DUMMYFUNCTION("""COMPUTED_VALUE"""),"GPS: I converted data downloaded from ARGOS using Pinpoint software")</f>
        <v>GPS: I converted data downloaded from ARGOS using Pinpoint software</v>
      </c>
      <c r="H345" s="2" t="str">
        <f ca="1">IFERROR(__xludf.DUMMYFUNCTION("""COMPUTED_VALUE"""),"3D")</f>
        <v>3D</v>
      </c>
      <c r="I345" s="2" t="str">
        <f ca="1">IFERROR(__xludf.DUMMYFUNCTION("""COMPUTED_VALUE"""),"")</f>
        <v/>
      </c>
      <c r="J345" s="2" t="str">
        <f ca="1">IFERROR(__xludf.DUMMYFUNCTION("""COMPUTED_VALUE"""),"")</f>
        <v/>
      </c>
      <c r="K345" s="2" t="str">
        <f ca="1">IFERROR(__xludf.DUMMYFUNCTION("""COMPUTED_VALUE"""),"")</f>
        <v/>
      </c>
      <c r="L345" s="2" t="str">
        <f ca="1">IFERROR(__xludf.DUMMYFUNCTION("""COMPUTED_VALUE"""),"")</f>
        <v/>
      </c>
      <c r="M345" s="5" t="str">
        <f ca="1">IFERROR(__xludf.DUMMYFUNCTION("""COMPUTED_VALUE"""),"")</f>
        <v/>
      </c>
      <c r="N345" s="5" t="str">
        <f ca="1">IFERROR(__xludf.DUMMYFUNCTION("""COMPUTED_VALUE"""),"")</f>
        <v/>
      </c>
      <c r="O345" s="2" t="str">
        <f ca="1">IFERROR(__xludf.DUMMYFUNCTION("""COMPUTED_VALUE"""),"")</f>
        <v/>
      </c>
      <c r="P345" s="2" t="str">
        <f ca="1">IFERROR(__xludf.DUMMYFUNCTION("""COMPUTED_VALUE"""),"")</f>
        <v/>
      </c>
      <c r="Q345" s="2" t="str">
        <f ca="1">IFERROR(__xludf.DUMMYFUNCTION("""COMPUTED_VALUE"""),"")</f>
        <v/>
      </c>
      <c r="R345" s="2" t="str">
        <f ca="1">IFERROR(__xludf.DUMMYFUNCTION("""COMPUTED_VALUE"""),"")</f>
        <v/>
      </c>
      <c r="S345" s="2" t="str">
        <f ca="1">IFERROR(__xludf.DUMMYFUNCTION("""COMPUTED_VALUE"""),"")</f>
        <v/>
      </c>
      <c r="T345" s="2" t="str">
        <f ca="1">IFERROR(__xludf.DUMMYFUNCTION("""COMPUTED_VALUE"""),"")</f>
        <v/>
      </c>
      <c r="U345" s="2" t="str">
        <f ca="1">IFERROR(__xludf.DUMMYFUNCTION("""COMPUTED_VALUE"""),"")</f>
        <v/>
      </c>
      <c r="V345" s="2" t="str">
        <f ca="1">IFERROR(__xludf.DUMMYFUNCTION("""COMPUTED_VALUE"""),"")</f>
        <v/>
      </c>
      <c r="W345" s="2" t="str">
        <f ca="1">IFERROR(__xludf.DUMMYFUNCTION("""COMPUTED_VALUE"""),"")</f>
        <v/>
      </c>
      <c r="X345" s="2" t="str">
        <f ca="1">IFERROR(__xludf.DUMMYFUNCTION("""COMPUTED_VALUE"""),"")</f>
        <v/>
      </c>
      <c r="Y345" s="2" t="str">
        <f ca="1">IFERROR(__xludf.DUMMYFUNCTION("""COMPUTED_VALUE"""),"")</f>
        <v/>
      </c>
      <c r="Z345" s="2" t="str">
        <f ca="1">IFERROR(__xludf.DUMMYFUNCTION("""COMPUTED_VALUE"""),"")</f>
        <v/>
      </c>
      <c r="AA345" s="2" t="str">
        <f ca="1">IFERROR(__xludf.DUMMYFUNCTION("""COMPUTED_VALUE"""),"")</f>
        <v/>
      </c>
      <c r="AB345" s="2" t="str">
        <f ca="1">IFERROR(__xludf.DUMMYFUNCTION("""COMPUTED_VALUE"""),"")</f>
        <v/>
      </c>
      <c r="AC345" s="2" t="str">
        <f ca="1">IFERROR(__xludf.DUMMYFUNCTION("""COMPUTED_VALUE"""),"")</f>
        <v/>
      </c>
      <c r="AD345" s="2" t="str">
        <f ca="1">IFERROR(__xludf.DUMMYFUNCTION("""COMPUTED_VALUE"""),"")</f>
        <v/>
      </c>
      <c r="AE345" s="2" t="str">
        <f ca="1">IFERROR(__xludf.DUMMYFUNCTION("""COMPUTED_VALUE"""),"")</f>
        <v/>
      </c>
      <c r="AF345" s="2" t="str">
        <f ca="1">IFERROR(__xludf.DUMMYFUNCTION("""COMPUTED_VALUE"""),"")</f>
        <v/>
      </c>
      <c r="AG345" s="2" t="str">
        <f ca="1">IFERROR(__xludf.DUMMYFUNCTION("""COMPUTED_VALUE"""),"")</f>
        <v/>
      </c>
      <c r="AH345" s="2" t="str">
        <f ca="1">IFERROR(__xludf.DUMMYFUNCTION("""COMPUTED_VALUE"""),"")</f>
        <v/>
      </c>
      <c r="AI345" s="2" t="str">
        <f ca="1">IFERROR(__xludf.DUMMYFUNCTION("""COMPUTED_VALUE"""),"")</f>
        <v/>
      </c>
      <c r="AJ345" s="2" t="str">
        <f ca="1">IFERROR(__xludf.DUMMYFUNCTION("""COMPUTED_VALUE"""),"")</f>
        <v/>
      </c>
      <c r="AK345" s="2" t="str">
        <f ca="1">IFERROR(__xludf.DUMMYFUNCTION("""COMPUTED_VALUE"""),"")</f>
        <v/>
      </c>
      <c r="AL345" s="2" t="str">
        <f ca="1">IFERROR(__xludf.DUMMYFUNCTION("""COMPUTED_VALUE"""),"")</f>
        <v/>
      </c>
      <c r="AM345" s="2" t="str">
        <f ca="1">IFERROR(__xludf.DUMMYFUNCTION("""COMPUTED_VALUE"""),"")</f>
        <v/>
      </c>
      <c r="AN345" s="2" t="str">
        <f ca="1">IFERROR(__xludf.DUMMYFUNCTION("""COMPUTED_VALUE"""),"")</f>
        <v/>
      </c>
      <c r="AO345" s="2" t="str">
        <f ca="1">IFERROR(__xludf.DUMMYFUNCTION("""COMPUTED_VALUE"""),"")</f>
        <v/>
      </c>
      <c r="AP345" s="2" t="str">
        <f ca="1">IFERROR(__xludf.DUMMYFUNCTION("""COMPUTED_VALUE"""),"")</f>
        <v/>
      </c>
      <c r="AQ345" s="2" t="str">
        <f ca="1">IFERROR(__xludf.DUMMYFUNCTION("""COMPUTED_VALUE"""),"")</f>
        <v/>
      </c>
      <c r="AR345" s="2" t="str">
        <f ca="1">IFERROR(__xludf.DUMMYFUNCTION("""COMPUTED_VALUE"""),"")</f>
        <v/>
      </c>
      <c r="AS345" s="2" t="str">
        <f ca="1">IFERROR(__xludf.DUMMYFUNCTION("""COMPUTED_VALUE"""),"")</f>
        <v/>
      </c>
      <c r="AT345" s="2" t="str">
        <f ca="1">IFERROR(__xludf.DUMMYFUNCTION("""COMPUTED_VALUE"""),"")</f>
        <v/>
      </c>
      <c r="AU345" s="2" t="str">
        <f ca="1">IFERROR(__xludf.DUMMYFUNCTION("""COMPUTED_VALUE"""),"")</f>
        <v/>
      </c>
      <c r="AV345" s="2" t="str">
        <f ca="1">IFERROR(__xludf.DUMMYFUNCTION("""COMPUTED_VALUE"""),"")</f>
        <v/>
      </c>
      <c r="AW345" s="2" t="str">
        <f ca="1">IFERROR(__xludf.DUMMYFUNCTION("""COMPUTED_VALUE"""),"")</f>
        <v/>
      </c>
      <c r="AX345" s="2" t="str">
        <f ca="1">IFERROR(__xludf.DUMMYFUNCTION("""COMPUTED_VALUE"""),"")</f>
        <v/>
      </c>
      <c r="AY345" s="2" t="str">
        <f ca="1">IFERROR(__xludf.DUMMYFUNCTION("""COMPUTED_VALUE"""),"")</f>
        <v/>
      </c>
      <c r="AZ345" s="2" t="str">
        <f ca="1">IFERROR(__xludf.DUMMYFUNCTION("""COMPUTED_VALUE"""),"")</f>
        <v/>
      </c>
      <c r="BA345" s="2" t="str">
        <f ca="1">IFERROR(__xludf.DUMMYFUNCTION("""COMPUTED_VALUE"""),"")</f>
        <v/>
      </c>
      <c r="BB345" s="2" t="str">
        <f ca="1">IFERROR(__xludf.DUMMYFUNCTION("""COMPUTED_VALUE"""),"")</f>
        <v/>
      </c>
      <c r="BC345" s="2" t="str">
        <f ca="1">IFERROR(__xludf.DUMMYFUNCTION("""COMPUTED_VALUE"""),"")</f>
        <v/>
      </c>
      <c r="BD345" s="2" t="str">
        <f ca="1">IFERROR(__xludf.DUMMYFUNCTION("""COMPUTED_VALUE"""),"")</f>
        <v/>
      </c>
      <c r="BE345" s="2" t="str">
        <f ca="1">IFERROR(__xludf.DUMMYFUNCTION("""COMPUTED_VALUE"""),"")</f>
        <v/>
      </c>
      <c r="BF345" t="str">
        <f ca="1">IFERROR(__xludf.DUMMYFUNCTION("""COMPUTED_VALUE"""),"")</f>
        <v/>
      </c>
      <c r="BG345" t="str">
        <f ca="1">IFERROR(__xludf.DUMMYFUNCTION("""COMPUTED_VALUE"""),"")</f>
        <v/>
      </c>
      <c r="BH345" s="2">
        <f ca="1">IFERROR(__xludf.DUMMYFUNCTION("""COMPUTED_VALUE"""),-36.4573059)</f>
        <v>-36.457305900000001</v>
      </c>
      <c r="BI345" s="12">
        <f ca="1">IFERROR(__xludf.DUMMYFUNCTION("""COMPUTED_VALUE"""),174.1788788)</f>
        <v>174.17887880000001</v>
      </c>
      <c r="BJ345" s="9">
        <f ca="1">IFERROR(__xludf.DUMMYFUNCTION("""COMPUTED_VALUE"""),43444)</f>
        <v>43444</v>
      </c>
      <c r="BK345" s="4">
        <f ca="1">IFERROR(__xludf.DUMMYFUNCTION("""COMPUTED_VALUE"""),0.958518518516939)</f>
        <v>0.95851851851693903</v>
      </c>
    </row>
    <row r="346" spans="1:63" ht="12.5" x14ac:dyDescent="0.25">
      <c r="A346" s="7" t="str">
        <f ca="1">IFERROR(__xludf.DUMMYFUNCTION("""COMPUTED_VALUE"""),"")</f>
        <v/>
      </c>
      <c r="B346" s="8" t="str">
        <f ca="1">IFERROR(__xludf.DUMMYFUNCTION("""COMPUTED_VALUE"""),"Waikato")</f>
        <v>Waikato</v>
      </c>
      <c r="C346" s="2">
        <f ca="1">IFERROR(__xludf.DUMMYFUNCTION("""COMPUTED_VALUE"""),21)</f>
        <v>21</v>
      </c>
      <c r="D346" s="9" t="str">
        <f ca="1">IFERROR(__xludf.DUMMYFUNCTION("""COMPUTED_VALUE"""),"")</f>
        <v/>
      </c>
      <c r="E346" s="4" t="str">
        <f ca="1">IFERROR(__xludf.DUMMYFUNCTION("""COMPUTED_VALUE"""),"")</f>
        <v/>
      </c>
      <c r="F346" s="2" t="str">
        <f ca="1">IFERROR(__xludf.DUMMYFUNCTION("""COMPUTED_VALUE"""),"")</f>
        <v/>
      </c>
      <c r="G346" s="2" t="str">
        <f ca="1">IFERROR(__xludf.DUMMYFUNCTION("""COMPUTED_VALUE"""),"GPS: I converted data downloaded from ARGOS using Pinpoint software")</f>
        <v>GPS: I converted data downloaded from ARGOS using Pinpoint software</v>
      </c>
      <c r="H346" s="2" t="str">
        <f ca="1">IFERROR(__xludf.DUMMYFUNCTION("""COMPUTED_VALUE"""),"3D")</f>
        <v>3D</v>
      </c>
      <c r="I346" s="2" t="str">
        <f ca="1">IFERROR(__xludf.DUMMYFUNCTION("""COMPUTED_VALUE"""),"")</f>
        <v/>
      </c>
      <c r="J346" s="2" t="str">
        <f ca="1">IFERROR(__xludf.DUMMYFUNCTION("""COMPUTED_VALUE"""),"")</f>
        <v/>
      </c>
      <c r="K346" s="2" t="str">
        <f ca="1">IFERROR(__xludf.DUMMYFUNCTION("""COMPUTED_VALUE"""),"")</f>
        <v/>
      </c>
      <c r="L346" s="2" t="str">
        <f ca="1">IFERROR(__xludf.DUMMYFUNCTION("""COMPUTED_VALUE"""),"")</f>
        <v/>
      </c>
      <c r="M346" s="5" t="str">
        <f ca="1">IFERROR(__xludf.DUMMYFUNCTION("""COMPUTED_VALUE"""),"")</f>
        <v/>
      </c>
      <c r="N346" s="5" t="str">
        <f ca="1">IFERROR(__xludf.DUMMYFUNCTION("""COMPUTED_VALUE"""),"")</f>
        <v/>
      </c>
      <c r="O346" s="2" t="str">
        <f ca="1">IFERROR(__xludf.DUMMYFUNCTION("""COMPUTED_VALUE"""),"")</f>
        <v/>
      </c>
      <c r="P346" s="2" t="str">
        <f ca="1">IFERROR(__xludf.DUMMYFUNCTION("""COMPUTED_VALUE"""),"")</f>
        <v/>
      </c>
      <c r="Q346" s="2" t="str">
        <f ca="1">IFERROR(__xludf.DUMMYFUNCTION("""COMPUTED_VALUE"""),"")</f>
        <v/>
      </c>
      <c r="R346" s="2" t="str">
        <f ca="1">IFERROR(__xludf.DUMMYFUNCTION("""COMPUTED_VALUE"""),"")</f>
        <v/>
      </c>
      <c r="S346" s="2" t="str">
        <f ca="1">IFERROR(__xludf.DUMMYFUNCTION("""COMPUTED_VALUE"""),"")</f>
        <v/>
      </c>
      <c r="T346" s="2" t="str">
        <f ca="1">IFERROR(__xludf.DUMMYFUNCTION("""COMPUTED_VALUE"""),"")</f>
        <v/>
      </c>
      <c r="U346" s="2" t="str">
        <f ca="1">IFERROR(__xludf.DUMMYFUNCTION("""COMPUTED_VALUE"""),"")</f>
        <v/>
      </c>
      <c r="V346" s="2" t="str">
        <f ca="1">IFERROR(__xludf.DUMMYFUNCTION("""COMPUTED_VALUE"""),"")</f>
        <v/>
      </c>
      <c r="W346" s="2" t="str">
        <f ca="1">IFERROR(__xludf.DUMMYFUNCTION("""COMPUTED_VALUE"""),"")</f>
        <v/>
      </c>
      <c r="X346" s="2" t="str">
        <f ca="1">IFERROR(__xludf.DUMMYFUNCTION("""COMPUTED_VALUE"""),"")</f>
        <v/>
      </c>
      <c r="Y346" s="2" t="str">
        <f ca="1">IFERROR(__xludf.DUMMYFUNCTION("""COMPUTED_VALUE"""),"")</f>
        <v/>
      </c>
      <c r="Z346" s="2" t="str">
        <f ca="1">IFERROR(__xludf.DUMMYFUNCTION("""COMPUTED_VALUE"""),"")</f>
        <v/>
      </c>
      <c r="AA346" s="2" t="str">
        <f ca="1">IFERROR(__xludf.DUMMYFUNCTION("""COMPUTED_VALUE"""),"")</f>
        <v/>
      </c>
      <c r="AB346" s="2" t="str">
        <f ca="1">IFERROR(__xludf.DUMMYFUNCTION("""COMPUTED_VALUE"""),"")</f>
        <v/>
      </c>
      <c r="AC346" s="2" t="str">
        <f ca="1">IFERROR(__xludf.DUMMYFUNCTION("""COMPUTED_VALUE"""),"")</f>
        <v/>
      </c>
      <c r="AD346" s="2" t="str">
        <f ca="1">IFERROR(__xludf.DUMMYFUNCTION("""COMPUTED_VALUE"""),"")</f>
        <v/>
      </c>
      <c r="AE346" s="2" t="str">
        <f ca="1">IFERROR(__xludf.DUMMYFUNCTION("""COMPUTED_VALUE"""),"")</f>
        <v/>
      </c>
      <c r="AF346" s="2" t="str">
        <f ca="1">IFERROR(__xludf.DUMMYFUNCTION("""COMPUTED_VALUE"""),"")</f>
        <v/>
      </c>
      <c r="AG346" s="2" t="str">
        <f ca="1">IFERROR(__xludf.DUMMYFUNCTION("""COMPUTED_VALUE"""),"")</f>
        <v/>
      </c>
      <c r="AH346" s="2" t="str">
        <f ca="1">IFERROR(__xludf.DUMMYFUNCTION("""COMPUTED_VALUE"""),"")</f>
        <v/>
      </c>
      <c r="AI346" s="2" t="str">
        <f ca="1">IFERROR(__xludf.DUMMYFUNCTION("""COMPUTED_VALUE"""),"")</f>
        <v/>
      </c>
      <c r="AJ346" s="2" t="str">
        <f ca="1">IFERROR(__xludf.DUMMYFUNCTION("""COMPUTED_VALUE"""),"")</f>
        <v/>
      </c>
      <c r="AK346" s="2" t="str">
        <f ca="1">IFERROR(__xludf.DUMMYFUNCTION("""COMPUTED_VALUE"""),"")</f>
        <v/>
      </c>
      <c r="AL346" s="2" t="str">
        <f ca="1">IFERROR(__xludf.DUMMYFUNCTION("""COMPUTED_VALUE"""),"")</f>
        <v/>
      </c>
      <c r="AM346" s="2" t="str">
        <f ca="1">IFERROR(__xludf.DUMMYFUNCTION("""COMPUTED_VALUE"""),"")</f>
        <v/>
      </c>
      <c r="AN346" s="2" t="str">
        <f ca="1">IFERROR(__xludf.DUMMYFUNCTION("""COMPUTED_VALUE"""),"")</f>
        <v/>
      </c>
      <c r="AO346" s="2" t="str">
        <f ca="1">IFERROR(__xludf.DUMMYFUNCTION("""COMPUTED_VALUE"""),"")</f>
        <v/>
      </c>
      <c r="AP346" s="2" t="str">
        <f ca="1">IFERROR(__xludf.DUMMYFUNCTION("""COMPUTED_VALUE"""),"")</f>
        <v/>
      </c>
      <c r="AQ346" s="2" t="str">
        <f ca="1">IFERROR(__xludf.DUMMYFUNCTION("""COMPUTED_VALUE"""),"")</f>
        <v/>
      </c>
      <c r="AR346" s="2" t="str">
        <f ca="1">IFERROR(__xludf.DUMMYFUNCTION("""COMPUTED_VALUE"""),"")</f>
        <v/>
      </c>
      <c r="AS346" s="2" t="str">
        <f ca="1">IFERROR(__xludf.DUMMYFUNCTION("""COMPUTED_VALUE"""),"")</f>
        <v/>
      </c>
      <c r="AT346" s="2" t="str">
        <f ca="1">IFERROR(__xludf.DUMMYFUNCTION("""COMPUTED_VALUE"""),"")</f>
        <v/>
      </c>
      <c r="AU346" s="2" t="str">
        <f ca="1">IFERROR(__xludf.DUMMYFUNCTION("""COMPUTED_VALUE"""),"")</f>
        <v/>
      </c>
      <c r="AV346" s="2" t="str">
        <f ca="1">IFERROR(__xludf.DUMMYFUNCTION("""COMPUTED_VALUE"""),"")</f>
        <v/>
      </c>
      <c r="AW346" s="2" t="str">
        <f ca="1">IFERROR(__xludf.DUMMYFUNCTION("""COMPUTED_VALUE"""),"")</f>
        <v/>
      </c>
      <c r="AX346" s="2" t="str">
        <f ca="1">IFERROR(__xludf.DUMMYFUNCTION("""COMPUTED_VALUE"""),"")</f>
        <v/>
      </c>
      <c r="AY346" s="2" t="str">
        <f ca="1">IFERROR(__xludf.DUMMYFUNCTION("""COMPUTED_VALUE"""),"")</f>
        <v/>
      </c>
      <c r="AZ346" s="2" t="str">
        <f ca="1">IFERROR(__xludf.DUMMYFUNCTION("""COMPUTED_VALUE"""),"")</f>
        <v/>
      </c>
      <c r="BA346" s="2" t="str">
        <f ca="1">IFERROR(__xludf.DUMMYFUNCTION("""COMPUTED_VALUE"""),"")</f>
        <v/>
      </c>
      <c r="BB346" s="2" t="str">
        <f ca="1">IFERROR(__xludf.DUMMYFUNCTION("""COMPUTED_VALUE"""),"")</f>
        <v/>
      </c>
      <c r="BC346" s="2" t="str">
        <f ca="1">IFERROR(__xludf.DUMMYFUNCTION("""COMPUTED_VALUE"""),"")</f>
        <v/>
      </c>
      <c r="BD346" s="2" t="str">
        <f ca="1">IFERROR(__xludf.DUMMYFUNCTION("""COMPUTED_VALUE"""),"")</f>
        <v/>
      </c>
      <c r="BE346" s="2" t="str">
        <f ca="1">IFERROR(__xludf.DUMMYFUNCTION("""COMPUTED_VALUE"""),"")</f>
        <v/>
      </c>
      <c r="BF346" t="str">
        <f ca="1">IFERROR(__xludf.DUMMYFUNCTION("""COMPUTED_VALUE"""),"")</f>
        <v/>
      </c>
      <c r="BG346" t="str">
        <f ca="1">IFERROR(__xludf.DUMMYFUNCTION("""COMPUTED_VALUE"""),"")</f>
        <v/>
      </c>
      <c r="BH346" s="2">
        <f ca="1">IFERROR(__xludf.DUMMYFUNCTION("""COMPUTED_VALUE"""),-36.4472198)</f>
        <v>-36.447219799999999</v>
      </c>
      <c r="BI346" s="13">
        <f ca="1">IFERROR(__xludf.DUMMYFUNCTION("""COMPUTED_VALUE"""),174.2224274)</f>
        <v>174.22242739999999</v>
      </c>
      <c r="BJ346" s="9">
        <f ca="1">IFERROR(__xludf.DUMMYFUNCTION("""COMPUTED_VALUE"""),43446)</f>
        <v>43446</v>
      </c>
      <c r="BK346" s="4">
        <f ca="1">IFERROR(__xludf.DUMMYFUNCTION("""COMPUTED_VALUE"""),0.457777777777664)</f>
        <v>0.45777777777766399</v>
      </c>
    </row>
    <row r="347" spans="1:63" ht="12.5" x14ac:dyDescent="0.25">
      <c r="A347" s="7" t="str">
        <f ca="1">IFERROR(__xludf.DUMMYFUNCTION("""COMPUTED_VALUE"""),"")</f>
        <v/>
      </c>
      <c r="B347" s="8" t="str">
        <f ca="1">IFERROR(__xludf.DUMMYFUNCTION("""COMPUTED_VALUE"""),"Waikato")</f>
        <v>Waikato</v>
      </c>
      <c r="C347" s="2">
        <f ca="1">IFERROR(__xludf.DUMMYFUNCTION("""COMPUTED_VALUE"""),21)</f>
        <v>21</v>
      </c>
      <c r="D347" s="9" t="str">
        <f ca="1">IFERROR(__xludf.DUMMYFUNCTION("""COMPUTED_VALUE"""),"")</f>
        <v/>
      </c>
      <c r="E347" s="4" t="str">
        <f ca="1">IFERROR(__xludf.DUMMYFUNCTION("""COMPUTED_VALUE"""),"")</f>
        <v/>
      </c>
      <c r="F347" s="2" t="str">
        <f ca="1">IFERROR(__xludf.DUMMYFUNCTION("""COMPUTED_VALUE"""),"")</f>
        <v/>
      </c>
      <c r="G347" s="2" t="str">
        <f ca="1">IFERROR(__xludf.DUMMYFUNCTION("""COMPUTED_VALUE"""),"GPS: I converted data downloaded from ARGOS using Pinpoint software")</f>
        <v>GPS: I converted data downloaded from ARGOS using Pinpoint software</v>
      </c>
      <c r="H347" s="2" t="str">
        <f ca="1">IFERROR(__xludf.DUMMYFUNCTION("""COMPUTED_VALUE"""),"3D")</f>
        <v>3D</v>
      </c>
      <c r="I347" s="2" t="str">
        <f ca="1">IFERROR(__xludf.DUMMYFUNCTION("""COMPUTED_VALUE"""),"")</f>
        <v/>
      </c>
      <c r="J347" s="2" t="str">
        <f ca="1">IFERROR(__xludf.DUMMYFUNCTION("""COMPUTED_VALUE"""),"")</f>
        <v/>
      </c>
      <c r="K347" s="2" t="str">
        <f ca="1">IFERROR(__xludf.DUMMYFUNCTION("""COMPUTED_VALUE"""),"")</f>
        <v/>
      </c>
      <c r="L347" s="2" t="str">
        <f ca="1">IFERROR(__xludf.DUMMYFUNCTION("""COMPUTED_VALUE"""),"")</f>
        <v/>
      </c>
      <c r="M347" s="5" t="str">
        <f ca="1">IFERROR(__xludf.DUMMYFUNCTION("""COMPUTED_VALUE"""),"")</f>
        <v/>
      </c>
      <c r="N347" s="5" t="str">
        <f ca="1">IFERROR(__xludf.DUMMYFUNCTION("""COMPUTED_VALUE"""),"")</f>
        <v/>
      </c>
      <c r="O347" s="2" t="str">
        <f ca="1">IFERROR(__xludf.DUMMYFUNCTION("""COMPUTED_VALUE"""),"")</f>
        <v/>
      </c>
      <c r="P347" s="2" t="str">
        <f ca="1">IFERROR(__xludf.DUMMYFUNCTION("""COMPUTED_VALUE"""),"")</f>
        <v/>
      </c>
      <c r="Q347" s="2" t="str">
        <f ca="1">IFERROR(__xludf.DUMMYFUNCTION("""COMPUTED_VALUE"""),"")</f>
        <v/>
      </c>
      <c r="R347" s="2" t="str">
        <f ca="1">IFERROR(__xludf.DUMMYFUNCTION("""COMPUTED_VALUE"""),"")</f>
        <v/>
      </c>
      <c r="S347" s="2" t="str">
        <f ca="1">IFERROR(__xludf.DUMMYFUNCTION("""COMPUTED_VALUE"""),"")</f>
        <v/>
      </c>
      <c r="T347" s="2" t="str">
        <f ca="1">IFERROR(__xludf.DUMMYFUNCTION("""COMPUTED_VALUE"""),"")</f>
        <v/>
      </c>
      <c r="U347" s="2" t="str">
        <f ca="1">IFERROR(__xludf.DUMMYFUNCTION("""COMPUTED_VALUE"""),"")</f>
        <v/>
      </c>
      <c r="V347" s="2" t="str">
        <f ca="1">IFERROR(__xludf.DUMMYFUNCTION("""COMPUTED_VALUE"""),"")</f>
        <v/>
      </c>
      <c r="W347" s="2" t="str">
        <f ca="1">IFERROR(__xludf.DUMMYFUNCTION("""COMPUTED_VALUE"""),"")</f>
        <v/>
      </c>
      <c r="X347" s="2" t="str">
        <f ca="1">IFERROR(__xludf.DUMMYFUNCTION("""COMPUTED_VALUE"""),"")</f>
        <v/>
      </c>
      <c r="Y347" s="2" t="str">
        <f ca="1">IFERROR(__xludf.DUMMYFUNCTION("""COMPUTED_VALUE"""),"")</f>
        <v/>
      </c>
      <c r="Z347" s="2" t="str">
        <f ca="1">IFERROR(__xludf.DUMMYFUNCTION("""COMPUTED_VALUE"""),"")</f>
        <v/>
      </c>
      <c r="AA347" s="2" t="str">
        <f ca="1">IFERROR(__xludf.DUMMYFUNCTION("""COMPUTED_VALUE"""),"")</f>
        <v/>
      </c>
      <c r="AB347" s="2" t="str">
        <f ca="1">IFERROR(__xludf.DUMMYFUNCTION("""COMPUTED_VALUE"""),"")</f>
        <v/>
      </c>
      <c r="AC347" s="2" t="str">
        <f ca="1">IFERROR(__xludf.DUMMYFUNCTION("""COMPUTED_VALUE"""),"")</f>
        <v/>
      </c>
      <c r="AD347" s="2" t="str">
        <f ca="1">IFERROR(__xludf.DUMMYFUNCTION("""COMPUTED_VALUE"""),"")</f>
        <v/>
      </c>
      <c r="AE347" s="2" t="str">
        <f ca="1">IFERROR(__xludf.DUMMYFUNCTION("""COMPUTED_VALUE"""),"")</f>
        <v/>
      </c>
      <c r="AF347" s="2" t="str">
        <f ca="1">IFERROR(__xludf.DUMMYFUNCTION("""COMPUTED_VALUE"""),"")</f>
        <v/>
      </c>
      <c r="AG347" s="2" t="str">
        <f ca="1">IFERROR(__xludf.DUMMYFUNCTION("""COMPUTED_VALUE"""),"")</f>
        <v/>
      </c>
      <c r="AH347" s="2" t="str">
        <f ca="1">IFERROR(__xludf.DUMMYFUNCTION("""COMPUTED_VALUE"""),"")</f>
        <v/>
      </c>
      <c r="AI347" s="2" t="str">
        <f ca="1">IFERROR(__xludf.DUMMYFUNCTION("""COMPUTED_VALUE"""),"")</f>
        <v/>
      </c>
      <c r="AJ347" s="2" t="str">
        <f ca="1">IFERROR(__xludf.DUMMYFUNCTION("""COMPUTED_VALUE"""),"")</f>
        <v/>
      </c>
      <c r="AK347" s="2" t="str">
        <f ca="1">IFERROR(__xludf.DUMMYFUNCTION("""COMPUTED_VALUE"""),"")</f>
        <v/>
      </c>
      <c r="AL347" s="2" t="str">
        <f ca="1">IFERROR(__xludf.DUMMYFUNCTION("""COMPUTED_VALUE"""),"")</f>
        <v/>
      </c>
      <c r="AM347" s="2" t="str">
        <f ca="1">IFERROR(__xludf.DUMMYFUNCTION("""COMPUTED_VALUE"""),"")</f>
        <v/>
      </c>
      <c r="AN347" s="2" t="str">
        <f ca="1">IFERROR(__xludf.DUMMYFUNCTION("""COMPUTED_VALUE"""),"")</f>
        <v/>
      </c>
      <c r="AO347" s="2" t="str">
        <f ca="1">IFERROR(__xludf.DUMMYFUNCTION("""COMPUTED_VALUE"""),"")</f>
        <v/>
      </c>
      <c r="AP347" s="2" t="str">
        <f ca="1">IFERROR(__xludf.DUMMYFUNCTION("""COMPUTED_VALUE"""),"")</f>
        <v/>
      </c>
      <c r="AQ347" s="2" t="str">
        <f ca="1">IFERROR(__xludf.DUMMYFUNCTION("""COMPUTED_VALUE"""),"")</f>
        <v/>
      </c>
      <c r="AR347" s="2" t="str">
        <f ca="1">IFERROR(__xludf.DUMMYFUNCTION("""COMPUTED_VALUE"""),"")</f>
        <v/>
      </c>
      <c r="AS347" s="2" t="str">
        <f ca="1">IFERROR(__xludf.DUMMYFUNCTION("""COMPUTED_VALUE"""),"")</f>
        <v/>
      </c>
      <c r="AT347" s="2" t="str">
        <f ca="1">IFERROR(__xludf.DUMMYFUNCTION("""COMPUTED_VALUE"""),"")</f>
        <v/>
      </c>
      <c r="AU347" s="2" t="str">
        <f ca="1">IFERROR(__xludf.DUMMYFUNCTION("""COMPUTED_VALUE"""),"")</f>
        <v/>
      </c>
      <c r="AV347" s="2" t="str">
        <f ca="1">IFERROR(__xludf.DUMMYFUNCTION("""COMPUTED_VALUE"""),"")</f>
        <v/>
      </c>
      <c r="AW347" s="2" t="str">
        <f ca="1">IFERROR(__xludf.DUMMYFUNCTION("""COMPUTED_VALUE"""),"")</f>
        <v/>
      </c>
      <c r="AX347" s="2" t="str">
        <f ca="1">IFERROR(__xludf.DUMMYFUNCTION("""COMPUTED_VALUE"""),"")</f>
        <v/>
      </c>
      <c r="AY347" s="2" t="str">
        <f ca="1">IFERROR(__xludf.DUMMYFUNCTION("""COMPUTED_VALUE"""),"")</f>
        <v/>
      </c>
      <c r="AZ347" s="2" t="str">
        <f ca="1">IFERROR(__xludf.DUMMYFUNCTION("""COMPUTED_VALUE"""),"")</f>
        <v/>
      </c>
      <c r="BA347" s="2" t="str">
        <f ca="1">IFERROR(__xludf.DUMMYFUNCTION("""COMPUTED_VALUE"""),"")</f>
        <v/>
      </c>
      <c r="BB347" s="2" t="str">
        <f ca="1">IFERROR(__xludf.DUMMYFUNCTION("""COMPUTED_VALUE"""),"")</f>
        <v/>
      </c>
      <c r="BC347" s="2" t="str">
        <f ca="1">IFERROR(__xludf.DUMMYFUNCTION("""COMPUTED_VALUE"""),"")</f>
        <v/>
      </c>
      <c r="BD347" s="2" t="str">
        <f ca="1">IFERROR(__xludf.DUMMYFUNCTION("""COMPUTED_VALUE"""),"")</f>
        <v/>
      </c>
      <c r="BE347" s="2" t="str">
        <f ca="1">IFERROR(__xludf.DUMMYFUNCTION("""COMPUTED_VALUE"""),"")</f>
        <v/>
      </c>
      <c r="BF347" t="str">
        <f ca="1">IFERROR(__xludf.DUMMYFUNCTION("""COMPUTED_VALUE"""),"")</f>
        <v/>
      </c>
      <c r="BG347" t="str">
        <f ca="1">IFERROR(__xludf.DUMMYFUNCTION("""COMPUTED_VALUE"""),"")</f>
        <v/>
      </c>
      <c r="BH347" s="2">
        <f ca="1">IFERROR(__xludf.DUMMYFUNCTION("""COMPUTED_VALUE"""),-36.4564095)</f>
        <v>-36.456409499999999</v>
      </c>
      <c r="BI347" s="12">
        <f ca="1">IFERROR(__xludf.DUMMYFUNCTION("""COMPUTED_VALUE"""),174.190094)</f>
        <v>174.19009399999999</v>
      </c>
      <c r="BJ347" s="9">
        <f ca="1">IFERROR(__xludf.DUMMYFUNCTION("""COMPUTED_VALUE"""),43446)</f>
        <v>43446</v>
      </c>
      <c r="BK347" s="4">
        <f ca="1">IFERROR(__xludf.DUMMYFUNCTION("""COMPUTED_VALUE"""),0.958518518516939)</f>
        <v>0.95851851851693903</v>
      </c>
    </row>
    <row r="348" spans="1:63" ht="12.5" x14ac:dyDescent="0.25">
      <c r="A348" s="7" t="str">
        <f ca="1">IFERROR(__xludf.DUMMYFUNCTION("""COMPUTED_VALUE"""),"")</f>
        <v/>
      </c>
      <c r="B348" s="8" t="str">
        <f ca="1">IFERROR(__xludf.DUMMYFUNCTION("""COMPUTED_VALUE"""),"Waikato")</f>
        <v>Waikato</v>
      </c>
      <c r="C348" s="2">
        <f ca="1">IFERROR(__xludf.DUMMYFUNCTION("""COMPUTED_VALUE"""),21)</f>
        <v>21</v>
      </c>
      <c r="D348" s="9" t="str">
        <f ca="1">IFERROR(__xludf.DUMMYFUNCTION("""COMPUTED_VALUE"""),"")</f>
        <v/>
      </c>
      <c r="E348" s="4" t="str">
        <f ca="1">IFERROR(__xludf.DUMMYFUNCTION("""COMPUTED_VALUE"""),"")</f>
        <v/>
      </c>
      <c r="F348" s="2" t="str">
        <f ca="1">IFERROR(__xludf.DUMMYFUNCTION("""COMPUTED_VALUE"""),"")</f>
        <v/>
      </c>
      <c r="G348" s="2" t="str">
        <f ca="1">IFERROR(__xludf.DUMMYFUNCTION("""COMPUTED_VALUE"""),"GPS: I converted data downloaded from ARGOS using Pinpoint software")</f>
        <v>GPS: I converted data downloaded from ARGOS using Pinpoint software</v>
      </c>
      <c r="H348" s="2" t="str">
        <f ca="1">IFERROR(__xludf.DUMMYFUNCTION("""COMPUTED_VALUE"""),"3D")</f>
        <v>3D</v>
      </c>
      <c r="I348" s="2" t="str">
        <f ca="1">IFERROR(__xludf.DUMMYFUNCTION("""COMPUTED_VALUE"""),"")</f>
        <v/>
      </c>
      <c r="J348" s="2" t="str">
        <f ca="1">IFERROR(__xludf.DUMMYFUNCTION("""COMPUTED_VALUE"""),"")</f>
        <v/>
      </c>
      <c r="K348" s="2" t="str">
        <f ca="1">IFERROR(__xludf.DUMMYFUNCTION("""COMPUTED_VALUE"""),"")</f>
        <v/>
      </c>
      <c r="L348" s="2" t="str">
        <f ca="1">IFERROR(__xludf.DUMMYFUNCTION("""COMPUTED_VALUE"""),"")</f>
        <v/>
      </c>
      <c r="M348" s="5" t="str">
        <f ca="1">IFERROR(__xludf.DUMMYFUNCTION("""COMPUTED_VALUE"""),"")</f>
        <v/>
      </c>
      <c r="N348" s="5" t="str">
        <f ca="1">IFERROR(__xludf.DUMMYFUNCTION("""COMPUTED_VALUE"""),"")</f>
        <v/>
      </c>
      <c r="O348" s="2" t="str">
        <f ca="1">IFERROR(__xludf.DUMMYFUNCTION("""COMPUTED_VALUE"""),"")</f>
        <v/>
      </c>
      <c r="P348" s="2" t="str">
        <f ca="1">IFERROR(__xludf.DUMMYFUNCTION("""COMPUTED_VALUE"""),"")</f>
        <v/>
      </c>
      <c r="Q348" s="2" t="str">
        <f ca="1">IFERROR(__xludf.DUMMYFUNCTION("""COMPUTED_VALUE"""),"")</f>
        <v/>
      </c>
      <c r="R348" s="2" t="str">
        <f ca="1">IFERROR(__xludf.DUMMYFUNCTION("""COMPUTED_VALUE"""),"")</f>
        <v/>
      </c>
      <c r="S348" s="2" t="str">
        <f ca="1">IFERROR(__xludf.DUMMYFUNCTION("""COMPUTED_VALUE"""),"")</f>
        <v/>
      </c>
      <c r="T348" s="2" t="str">
        <f ca="1">IFERROR(__xludf.DUMMYFUNCTION("""COMPUTED_VALUE"""),"")</f>
        <v/>
      </c>
      <c r="U348" s="2" t="str">
        <f ca="1">IFERROR(__xludf.DUMMYFUNCTION("""COMPUTED_VALUE"""),"")</f>
        <v/>
      </c>
      <c r="V348" s="2" t="str">
        <f ca="1">IFERROR(__xludf.DUMMYFUNCTION("""COMPUTED_VALUE"""),"")</f>
        <v/>
      </c>
      <c r="W348" s="2" t="str">
        <f ca="1">IFERROR(__xludf.DUMMYFUNCTION("""COMPUTED_VALUE"""),"")</f>
        <v/>
      </c>
      <c r="X348" s="2" t="str">
        <f ca="1">IFERROR(__xludf.DUMMYFUNCTION("""COMPUTED_VALUE"""),"")</f>
        <v/>
      </c>
      <c r="Y348" s="2" t="str">
        <f ca="1">IFERROR(__xludf.DUMMYFUNCTION("""COMPUTED_VALUE"""),"")</f>
        <v/>
      </c>
      <c r="Z348" s="2" t="str">
        <f ca="1">IFERROR(__xludf.DUMMYFUNCTION("""COMPUTED_VALUE"""),"")</f>
        <v/>
      </c>
      <c r="AA348" s="2" t="str">
        <f ca="1">IFERROR(__xludf.DUMMYFUNCTION("""COMPUTED_VALUE"""),"")</f>
        <v/>
      </c>
      <c r="AB348" s="2" t="str">
        <f ca="1">IFERROR(__xludf.DUMMYFUNCTION("""COMPUTED_VALUE"""),"")</f>
        <v/>
      </c>
      <c r="AC348" s="2" t="str">
        <f ca="1">IFERROR(__xludf.DUMMYFUNCTION("""COMPUTED_VALUE"""),"")</f>
        <v/>
      </c>
      <c r="AD348" s="2" t="str">
        <f ca="1">IFERROR(__xludf.DUMMYFUNCTION("""COMPUTED_VALUE"""),"")</f>
        <v/>
      </c>
      <c r="AE348" s="2" t="str">
        <f ca="1">IFERROR(__xludf.DUMMYFUNCTION("""COMPUTED_VALUE"""),"")</f>
        <v/>
      </c>
      <c r="AF348" s="2" t="str">
        <f ca="1">IFERROR(__xludf.DUMMYFUNCTION("""COMPUTED_VALUE"""),"")</f>
        <v/>
      </c>
      <c r="AG348" s="2" t="str">
        <f ca="1">IFERROR(__xludf.DUMMYFUNCTION("""COMPUTED_VALUE"""),"")</f>
        <v/>
      </c>
      <c r="AH348" s="2" t="str">
        <f ca="1">IFERROR(__xludf.DUMMYFUNCTION("""COMPUTED_VALUE"""),"")</f>
        <v/>
      </c>
      <c r="AI348" s="2" t="str">
        <f ca="1">IFERROR(__xludf.DUMMYFUNCTION("""COMPUTED_VALUE"""),"")</f>
        <v/>
      </c>
      <c r="AJ348" s="2" t="str">
        <f ca="1">IFERROR(__xludf.DUMMYFUNCTION("""COMPUTED_VALUE"""),"")</f>
        <v/>
      </c>
      <c r="AK348" s="2" t="str">
        <f ca="1">IFERROR(__xludf.DUMMYFUNCTION("""COMPUTED_VALUE"""),"")</f>
        <v/>
      </c>
      <c r="AL348" s="2" t="str">
        <f ca="1">IFERROR(__xludf.DUMMYFUNCTION("""COMPUTED_VALUE"""),"")</f>
        <v/>
      </c>
      <c r="AM348" s="2" t="str">
        <f ca="1">IFERROR(__xludf.DUMMYFUNCTION("""COMPUTED_VALUE"""),"")</f>
        <v/>
      </c>
      <c r="AN348" s="2" t="str">
        <f ca="1">IFERROR(__xludf.DUMMYFUNCTION("""COMPUTED_VALUE"""),"")</f>
        <v/>
      </c>
      <c r="AO348" s="2" t="str">
        <f ca="1">IFERROR(__xludf.DUMMYFUNCTION("""COMPUTED_VALUE"""),"")</f>
        <v/>
      </c>
      <c r="AP348" s="2" t="str">
        <f ca="1">IFERROR(__xludf.DUMMYFUNCTION("""COMPUTED_VALUE"""),"")</f>
        <v/>
      </c>
      <c r="AQ348" s="2" t="str">
        <f ca="1">IFERROR(__xludf.DUMMYFUNCTION("""COMPUTED_VALUE"""),"")</f>
        <v/>
      </c>
      <c r="AR348" s="2" t="str">
        <f ca="1">IFERROR(__xludf.DUMMYFUNCTION("""COMPUTED_VALUE"""),"")</f>
        <v/>
      </c>
      <c r="AS348" s="2" t="str">
        <f ca="1">IFERROR(__xludf.DUMMYFUNCTION("""COMPUTED_VALUE"""),"")</f>
        <v/>
      </c>
      <c r="AT348" s="2" t="str">
        <f ca="1">IFERROR(__xludf.DUMMYFUNCTION("""COMPUTED_VALUE"""),"")</f>
        <v/>
      </c>
      <c r="AU348" s="2" t="str">
        <f ca="1">IFERROR(__xludf.DUMMYFUNCTION("""COMPUTED_VALUE"""),"")</f>
        <v/>
      </c>
      <c r="AV348" s="2" t="str">
        <f ca="1">IFERROR(__xludf.DUMMYFUNCTION("""COMPUTED_VALUE"""),"")</f>
        <v/>
      </c>
      <c r="AW348" s="2" t="str">
        <f ca="1">IFERROR(__xludf.DUMMYFUNCTION("""COMPUTED_VALUE"""),"")</f>
        <v/>
      </c>
      <c r="AX348" s="2" t="str">
        <f ca="1">IFERROR(__xludf.DUMMYFUNCTION("""COMPUTED_VALUE"""),"")</f>
        <v/>
      </c>
      <c r="AY348" s="2" t="str">
        <f ca="1">IFERROR(__xludf.DUMMYFUNCTION("""COMPUTED_VALUE"""),"")</f>
        <v/>
      </c>
      <c r="AZ348" s="2" t="str">
        <f ca="1">IFERROR(__xludf.DUMMYFUNCTION("""COMPUTED_VALUE"""),"")</f>
        <v/>
      </c>
      <c r="BA348" s="2" t="str">
        <f ca="1">IFERROR(__xludf.DUMMYFUNCTION("""COMPUTED_VALUE"""),"")</f>
        <v/>
      </c>
      <c r="BB348" s="2" t="str">
        <f ca="1">IFERROR(__xludf.DUMMYFUNCTION("""COMPUTED_VALUE"""),"")</f>
        <v/>
      </c>
      <c r="BC348" s="2" t="str">
        <f ca="1">IFERROR(__xludf.DUMMYFUNCTION("""COMPUTED_VALUE"""),"")</f>
        <v/>
      </c>
      <c r="BD348" s="2" t="str">
        <f ca="1">IFERROR(__xludf.DUMMYFUNCTION("""COMPUTED_VALUE"""),"")</f>
        <v/>
      </c>
      <c r="BE348" s="2" t="str">
        <f ca="1">IFERROR(__xludf.DUMMYFUNCTION("""COMPUTED_VALUE"""),"")</f>
        <v/>
      </c>
      <c r="BF348" t="str">
        <f ca="1">IFERROR(__xludf.DUMMYFUNCTION("""COMPUTED_VALUE"""),"")</f>
        <v/>
      </c>
      <c r="BG348" t="str">
        <f ca="1">IFERROR(__xludf.DUMMYFUNCTION("""COMPUTED_VALUE"""),"")</f>
        <v/>
      </c>
      <c r="BH348" s="2">
        <f ca="1">IFERROR(__xludf.DUMMYFUNCTION("""COMPUTED_VALUE"""),-36.4573555)</f>
        <v>-36.457355499999998</v>
      </c>
      <c r="BI348" s="13">
        <f ca="1">IFERROR(__xludf.DUMMYFUNCTION("""COMPUTED_VALUE"""),174.1788788)</f>
        <v>174.17887880000001</v>
      </c>
      <c r="BJ348" s="9">
        <f ca="1">IFERROR(__xludf.DUMMYFUNCTION("""COMPUTED_VALUE"""),43448)</f>
        <v>43448</v>
      </c>
      <c r="BK348" s="4">
        <f ca="1">IFERROR(__xludf.DUMMYFUNCTION("""COMPUTED_VALUE"""),0.457777777777664)</f>
        <v>0.45777777777766399</v>
      </c>
    </row>
    <row r="349" spans="1:63" ht="12.5" x14ac:dyDescent="0.25">
      <c r="A349" s="7" t="str">
        <f ca="1">IFERROR(__xludf.DUMMYFUNCTION("""COMPUTED_VALUE"""),"")</f>
        <v/>
      </c>
      <c r="B349" s="8" t="str">
        <f ca="1">IFERROR(__xludf.DUMMYFUNCTION("""COMPUTED_VALUE"""),"Waikato")</f>
        <v>Waikato</v>
      </c>
      <c r="C349" s="2">
        <f ca="1">IFERROR(__xludf.DUMMYFUNCTION("""COMPUTED_VALUE"""),21)</f>
        <v>21</v>
      </c>
      <c r="D349" s="9" t="str">
        <f ca="1">IFERROR(__xludf.DUMMYFUNCTION("""COMPUTED_VALUE"""),"")</f>
        <v/>
      </c>
      <c r="E349" s="4" t="str">
        <f ca="1">IFERROR(__xludf.DUMMYFUNCTION("""COMPUTED_VALUE"""),"")</f>
        <v/>
      </c>
      <c r="F349" s="2" t="str">
        <f ca="1">IFERROR(__xludf.DUMMYFUNCTION("""COMPUTED_VALUE"""),"")</f>
        <v/>
      </c>
      <c r="G349" s="2" t="str">
        <f ca="1">IFERROR(__xludf.DUMMYFUNCTION("""COMPUTED_VALUE"""),"GPS: I converted data downloaded from ARGOS using Pinpoint software")</f>
        <v>GPS: I converted data downloaded from ARGOS using Pinpoint software</v>
      </c>
      <c r="H349" s="2" t="str">
        <f ca="1">IFERROR(__xludf.DUMMYFUNCTION("""COMPUTED_VALUE"""),"3D")</f>
        <v>3D</v>
      </c>
      <c r="I349" s="2" t="str">
        <f ca="1">IFERROR(__xludf.DUMMYFUNCTION("""COMPUTED_VALUE"""),"")</f>
        <v/>
      </c>
      <c r="J349" s="2" t="str">
        <f ca="1">IFERROR(__xludf.DUMMYFUNCTION("""COMPUTED_VALUE"""),"")</f>
        <v/>
      </c>
      <c r="K349" s="2" t="str">
        <f ca="1">IFERROR(__xludf.DUMMYFUNCTION("""COMPUTED_VALUE"""),"")</f>
        <v/>
      </c>
      <c r="L349" s="2" t="str">
        <f ca="1">IFERROR(__xludf.DUMMYFUNCTION("""COMPUTED_VALUE"""),"")</f>
        <v/>
      </c>
      <c r="M349" s="5" t="str">
        <f ca="1">IFERROR(__xludf.DUMMYFUNCTION("""COMPUTED_VALUE"""),"")</f>
        <v/>
      </c>
      <c r="N349" s="5" t="str">
        <f ca="1">IFERROR(__xludf.DUMMYFUNCTION("""COMPUTED_VALUE"""),"")</f>
        <v/>
      </c>
      <c r="O349" s="2" t="str">
        <f ca="1">IFERROR(__xludf.DUMMYFUNCTION("""COMPUTED_VALUE"""),"")</f>
        <v/>
      </c>
      <c r="P349" s="2" t="str">
        <f ca="1">IFERROR(__xludf.DUMMYFUNCTION("""COMPUTED_VALUE"""),"")</f>
        <v/>
      </c>
      <c r="Q349" s="2" t="str">
        <f ca="1">IFERROR(__xludf.DUMMYFUNCTION("""COMPUTED_VALUE"""),"")</f>
        <v/>
      </c>
      <c r="R349" s="2" t="str">
        <f ca="1">IFERROR(__xludf.DUMMYFUNCTION("""COMPUTED_VALUE"""),"")</f>
        <v/>
      </c>
      <c r="S349" s="2" t="str">
        <f ca="1">IFERROR(__xludf.DUMMYFUNCTION("""COMPUTED_VALUE"""),"")</f>
        <v/>
      </c>
      <c r="T349" s="2" t="str">
        <f ca="1">IFERROR(__xludf.DUMMYFUNCTION("""COMPUTED_VALUE"""),"")</f>
        <v/>
      </c>
      <c r="U349" s="2" t="str">
        <f ca="1">IFERROR(__xludf.DUMMYFUNCTION("""COMPUTED_VALUE"""),"")</f>
        <v/>
      </c>
      <c r="V349" s="2" t="str">
        <f ca="1">IFERROR(__xludf.DUMMYFUNCTION("""COMPUTED_VALUE"""),"")</f>
        <v/>
      </c>
      <c r="W349" s="2" t="str">
        <f ca="1">IFERROR(__xludf.DUMMYFUNCTION("""COMPUTED_VALUE"""),"")</f>
        <v/>
      </c>
      <c r="X349" s="2" t="str">
        <f ca="1">IFERROR(__xludf.DUMMYFUNCTION("""COMPUTED_VALUE"""),"")</f>
        <v/>
      </c>
      <c r="Y349" s="2" t="str">
        <f ca="1">IFERROR(__xludf.DUMMYFUNCTION("""COMPUTED_VALUE"""),"")</f>
        <v/>
      </c>
      <c r="Z349" s="2" t="str">
        <f ca="1">IFERROR(__xludf.DUMMYFUNCTION("""COMPUTED_VALUE"""),"")</f>
        <v/>
      </c>
      <c r="AA349" s="2" t="str">
        <f ca="1">IFERROR(__xludf.DUMMYFUNCTION("""COMPUTED_VALUE"""),"")</f>
        <v/>
      </c>
      <c r="AB349" s="2" t="str">
        <f ca="1">IFERROR(__xludf.DUMMYFUNCTION("""COMPUTED_VALUE"""),"")</f>
        <v/>
      </c>
      <c r="AC349" s="2" t="str">
        <f ca="1">IFERROR(__xludf.DUMMYFUNCTION("""COMPUTED_VALUE"""),"")</f>
        <v/>
      </c>
      <c r="AD349" s="2" t="str">
        <f ca="1">IFERROR(__xludf.DUMMYFUNCTION("""COMPUTED_VALUE"""),"")</f>
        <v/>
      </c>
      <c r="AE349" s="2" t="str">
        <f ca="1">IFERROR(__xludf.DUMMYFUNCTION("""COMPUTED_VALUE"""),"")</f>
        <v/>
      </c>
      <c r="AF349" s="2" t="str">
        <f ca="1">IFERROR(__xludf.DUMMYFUNCTION("""COMPUTED_VALUE"""),"")</f>
        <v/>
      </c>
      <c r="AG349" s="2" t="str">
        <f ca="1">IFERROR(__xludf.DUMMYFUNCTION("""COMPUTED_VALUE"""),"")</f>
        <v/>
      </c>
      <c r="AH349" s="2" t="str">
        <f ca="1">IFERROR(__xludf.DUMMYFUNCTION("""COMPUTED_VALUE"""),"")</f>
        <v/>
      </c>
      <c r="AI349" s="2" t="str">
        <f ca="1">IFERROR(__xludf.DUMMYFUNCTION("""COMPUTED_VALUE"""),"")</f>
        <v/>
      </c>
      <c r="AJ349" s="2" t="str">
        <f ca="1">IFERROR(__xludf.DUMMYFUNCTION("""COMPUTED_VALUE"""),"")</f>
        <v/>
      </c>
      <c r="AK349" s="2" t="str">
        <f ca="1">IFERROR(__xludf.DUMMYFUNCTION("""COMPUTED_VALUE"""),"")</f>
        <v/>
      </c>
      <c r="AL349" s="2" t="str">
        <f ca="1">IFERROR(__xludf.DUMMYFUNCTION("""COMPUTED_VALUE"""),"")</f>
        <v/>
      </c>
      <c r="AM349" s="2" t="str">
        <f ca="1">IFERROR(__xludf.DUMMYFUNCTION("""COMPUTED_VALUE"""),"")</f>
        <v/>
      </c>
      <c r="AN349" s="2" t="str">
        <f ca="1">IFERROR(__xludf.DUMMYFUNCTION("""COMPUTED_VALUE"""),"")</f>
        <v/>
      </c>
      <c r="AO349" s="2" t="str">
        <f ca="1">IFERROR(__xludf.DUMMYFUNCTION("""COMPUTED_VALUE"""),"")</f>
        <v/>
      </c>
      <c r="AP349" s="2" t="str">
        <f ca="1">IFERROR(__xludf.DUMMYFUNCTION("""COMPUTED_VALUE"""),"")</f>
        <v/>
      </c>
      <c r="AQ349" s="2" t="str">
        <f ca="1">IFERROR(__xludf.DUMMYFUNCTION("""COMPUTED_VALUE"""),"")</f>
        <v/>
      </c>
      <c r="AR349" s="2" t="str">
        <f ca="1">IFERROR(__xludf.DUMMYFUNCTION("""COMPUTED_VALUE"""),"")</f>
        <v/>
      </c>
      <c r="AS349" s="2" t="str">
        <f ca="1">IFERROR(__xludf.DUMMYFUNCTION("""COMPUTED_VALUE"""),"")</f>
        <v/>
      </c>
      <c r="AT349" s="2" t="str">
        <f ca="1">IFERROR(__xludf.DUMMYFUNCTION("""COMPUTED_VALUE"""),"")</f>
        <v/>
      </c>
      <c r="AU349" s="2" t="str">
        <f ca="1">IFERROR(__xludf.DUMMYFUNCTION("""COMPUTED_VALUE"""),"")</f>
        <v/>
      </c>
      <c r="AV349" s="2" t="str">
        <f ca="1">IFERROR(__xludf.DUMMYFUNCTION("""COMPUTED_VALUE"""),"")</f>
        <v/>
      </c>
      <c r="AW349" s="2" t="str">
        <f ca="1">IFERROR(__xludf.DUMMYFUNCTION("""COMPUTED_VALUE"""),"")</f>
        <v/>
      </c>
      <c r="AX349" s="2" t="str">
        <f ca="1">IFERROR(__xludf.DUMMYFUNCTION("""COMPUTED_VALUE"""),"")</f>
        <v/>
      </c>
      <c r="AY349" s="2" t="str">
        <f ca="1">IFERROR(__xludf.DUMMYFUNCTION("""COMPUTED_VALUE"""),"")</f>
        <v/>
      </c>
      <c r="AZ349" s="2" t="str">
        <f ca="1">IFERROR(__xludf.DUMMYFUNCTION("""COMPUTED_VALUE"""),"")</f>
        <v/>
      </c>
      <c r="BA349" s="2" t="str">
        <f ca="1">IFERROR(__xludf.DUMMYFUNCTION("""COMPUTED_VALUE"""),"")</f>
        <v/>
      </c>
      <c r="BB349" s="2" t="str">
        <f ca="1">IFERROR(__xludf.DUMMYFUNCTION("""COMPUTED_VALUE"""),"")</f>
        <v/>
      </c>
      <c r="BC349" s="2" t="str">
        <f ca="1">IFERROR(__xludf.DUMMYFUNCTION("""COMPUTED_VALUE"""),"")</f>
        <v/>
      </c>
      <c r="BD349" s="2" t="str">
        <f ca="1">IFERROR(__xludf.DUMMYFUNCTION("""COMPUTED_VALUE"""),"")</f>
        <v/>
      </c>
      <c r="BE349" s="2" t="str">
        <f ca="1">IFERROR(__xludf.DUMMYFUNCTION("""COMPUTED_VALUE"""),"")</f>
        <v/>
      </c>
      <c r="BF349" t="str">
        <f ca="1">IFERROR(__xludf.DUMMYFUNCTION("""COMPUTED_VALUE"""),"")</f>
        <v/>
      </c>
      <c r="BG349" t="str">
        <f ca="1">IFERROR(__xludf.DUMMYFUNCTION("""COMPUTED_VALUE"""),"")</f>
        <v/>
      </c>
      <c r="BH349" s="2">
        <f ca="1">IFERROR(__xludf.DUMMYFUNCTION("""COMPUTED_VALUE"""),-36.456562)</f>
        <v>-36.456561999999998</v>
      </c>
      <c r="BI349" s="12">
        <f ca="1">IFERROR(__xludf.DUMMYFUNCTION("""COMPUTED_VALUE"""),174.1770935)</f>
        <v>174.17709350000001</v>
      </c>
      <c r="BJ349" s="9">
        <f ca="1">IFERROR(__xludf.DUMMYFUNCTION("""COMPUTED_VALUE"""),43448)</f>
        <v>43448</v>
      </c>
      <c r="BK349" s="4">
        <f ca="1">IFERROR(__xludf.DUMMYFUNCTION("""COMPUTED_VALUE"""),0.875555555554456)</f>
        <v>0.87555555555445597</v>
      </c>
    </row>
    <row r="350" spans="1:63" ht="12.5" x14ac:dyDescent="0.25">
      <c r="A350" s="7" t="str">
        <f ca="1">IFERROR(__xludf.DUMMYFUNCTION("""COMPUTED_VALUE"""),"")</f>
        <v/>
      </c>
      <c r="B350" s="8" t="str">
        <f ca="1">IFERROR(__xludf.DUMMYFUNCTION("""COMPUTED_VALUE"""),"Waikato")</f>
        <v>Waikato</v>
      </c>
      <c r="C350" s="2">
        <f ca="1">IFERROR(__xludf.DUMMYFUNCTION("""COMPUTED_VALUE"""),21)</f>
        <v>21</v>
      </c>
      <c r="D350" s="9" t="str">
        <f ca="1">IFERROR(__xludf.DUMMYFUNCTION("""COMPUTED_VALUE"""),"")</f>
        <v/>
      </c>
      <c r="E350" s="4" t="str">
        <f ca="1">IFERROR(__xludf.DUMMYFUNCTION("""COMPUTED_VALUE"""),"")</f>
        <v/>
      </c>
      <c r="F350" s="2" t="str">
        <f ca="1">IFERROR(__xludf.DUMMYFUNCTION("""COMPUTED_VALUE"""),"")</f>
        <v/>
      </c>
      <c r="G350" s="2" t="str">
        <f ca="1">IFERROR(__xludf.DUMMYFUNCTION("""COMPUTED_VALUE"""),"GPS: I converted data downloaded from ARGOS using Pinpoint software")</f>
        <v>GPS: I converted data downloaded from ARGOS using Pinpoint software</v>
      </c>
      <c r="H350" s="2" t="str">
        <f ca="1">IFERROR(__xludf.DUMMYFUNCTION("""COMPUTED_VALUE"""),"3D")</f>
        <v>3D</v>
      </c>
      <c r="I350" s="2" t="str">
        <f ca="1">IFERROR(__xludf.DUMMYFUNCTION("""COMPUTED_VALUE"""),"")</f>
        <v/>
      </c>
      <c r="J350" s="2" t="str">
        <f ca="1">IFERROR(__xludf.DUMMYFUNCTION("""COMPUTED_VALUE"""),"")</f>
        <v/>
      </c>
      <c r="K350" s="2" t="str">
        <f ca="1">IFERROR(__xludf.DUMMYFUNCTION("""COMPUTED_VALUE"""),"")</f>
        <v/>
      </c>
      <c r="L350" s="2" t="str">
        <f ca="1">IFERROR(__xludf.DUMMYFUNCTION("""COMPUTED_VALUE"""),"")</f>
        <v/>
      </c>
      <c r="M350" s="5" t="str">
        <f ca="1">IFERROR(__xludf.DUMMYFUNCTION("""COMPUTED_VALUE"""),"")</f>
        <v/>
      </c>
      <c r="N350" s="5" t="str">
        <f ca="1">IFERROR(__xludf.DUMMYFUNCTION("""COMPUTED_VALUE"""),"")</f>
        <v/>
      </c>
      <c r="O350" s="2" t="str">
        <f ca="1">IFERROR(__xludf.DUMMYFUNCTION("""COMPUTED_VALUE"""),"")</f>
        <v/>
      </c>
      <c r="P350" s="2" t="str">
        <f ca="1">IFERROR(__xludf.DUMMYFUNCTION("""COMPUTED_VALUE"""),"")</f>
        <v/>
      </c>
      <c r="Q350" s="2" t="str">
        <f ca="1">IFERROR(__xludf.DUMMYFUNCTION("""COMPUTED_VALUE"""),"")</f>
        <v/>
      </c>
      <c r="R350" s="2" t="str">
        <f ca="1">IFERROR(__xludf.DUMMYFUNCTION("""COMPUTED_VALUE"""),"")</f>
        <v/>
      </c>
      <c r="S350" s="2" t="str">
        <f ca="1">IFERROR(__xludf.DUMMYFUNCTION("""COMPUTED_VALUE"""),"")</f>
        <v/>
      </c>
      <c r="T350" s="2" t="str">
        <f ca="1">IFERROR(__xludf.DUMMYFUNCTION("""COMPUTED_VALUE"""),"")</f>
        <v/>
      </c>
      <c r="U350" s="2" t="str">
        <f ca="1">IFERROR(__xludf.DUMMYFUNCTION("""COMPUTED_VALUE"""),"")</f>
        <v/>
      </c>
      <c r="V350" s="2" t="str">
        <f ca="1">IFERROR(__xludf.DUMMYFUNCTION("""COMPUTED_VALUE"""),"")</f>
        <v/>
      </c>
      <c r="W350" s="2" t="str">
        <f ca="1">IFERROR(__xludf.DUMMYFUNCTION("""COMPUTED_VALUE"""),"")</f>
        <v/>
      </c>
      <c r="X350" s="2" t="str">
        <f ca="1">IFERROR(__xludf.DUMMYFUNCTION("""COMPUTED_VALUE"""),"")</f>
        <v/>
      </c>
      <c r="Y350" s="2" t="str">
        <f ca="1">IFERROR(__xludf.DUMMYFUNCTION("""COMPUTED_VALUE"""),"")</f>
        <v/>
      </c>
      <c r="Z350" s="2" t="str">
        <f ca="1">IFERROR(__xludf.DUMMYFUNCTION("""COMPUTED_VALUE"""),"")</f>
        <v/>
      </c>
      <c r="AA350" s="2" t="str">
        <f ca="1">IFERROR(__xludf.DUMMYFUNCTION("""COMPUTED_VALUE"""),"")</f>
        <v/>
      </c>
      <c r="AB350" s="2" t="str">
        <f ca="1">IFERROR(__xludf.DUMMYFUNCTION("""COMPUTED_VALUE"""),"")</f>
        <v/>
      </c>
      <c r="AC350" s="2" t="str">
        <f ca="1">IFERROR(__xludf.DUMMYFUNCTION("""COMPUTED_VALUE"""),"")</f>
        <v/>
      </c>
      <c r="AD350" s="2" t="str">
        <f ca="1">IFERROR(__xludf.DUMMYFUNCTION("""COMPUTED_VALUE"""),"")</f>
        <v/>
      </c>
      <c r="AE350" s="2" t="str">
        <f ca="1">IFERROR(__xludf.DUMMYFUNCTION("""COMPUTED_VALUE"""),"")</f>
        <v/>
      </c>
      <c r="AF350" s="2" t="str">
        <f ca="1">IFERROR(__xludf.DUMMYFUNCTION("""COMPUTED_VALUE"""),"")</f>
        <v/>
      </c>
      <c r="AG350" s="2" t="str">
        <f ca="1">IFERROR(__xludf.DUMMYFUNCTION("""COMPUTED_VALUE"""),"")</f>
        <v/>
      </c>
      <c r="AH350" s="2" t="str">
        <f ca="1">IFERROR(__xludf.DUMMYFUNCTION("""COMPUTED_VALUE"""),"")</f>
        <v/>
      </c>
      <c r="AI350" s="2" t="str">
        <f ca="1">IFERROR(__xludf.DUMMYFUNCTION("""COMPUTED_VALUE"""),"")</f>
        <v/>
      </c>
      <c r="AJ350" s="2" t="str">
        <f ca="1">IFERROR(__xludf.DUMMYFUNCTION("""COMPUTED_VALUE"""),"")</f>
        <v/>
      </c>
      <c r="AK350" s="2" t="str">
        <f ca="1">IFERROR(__xludf.DUMMYFUNCTION("""COMPUTED_VALUE"""),"")</f>
        <v/>
      </c>
      <c r="AL350" s="2" t="str">
        <f ca="1">IFERROR(__xludf.DUMMYFUNCTION("""COMPUTED_VALUE"""),"")</f>
        <v/>
      </c>
      <c r="AM350" s="2" t="str">
        <f ca="1">IFERROR(__xludf.DUMMYFUNCTION("""COMPUTED_VALUE"""),"")</f>
        <v/>
      </c>
      <c r="AN350" s="2" t="str">
        <f ca="1">IFERROR(__xludf.DUMMYFUNCTION("""COMPUTED_VALUE"""),"")</f>
        <v/>
      </c>
      <c r="AO350" s="2" t="str">
        <f ca="1">IFERROR(__xludf.DUMMYFUNCTION("""COMPUTED_VALUE"""),"")</f>
        <v/>
      </c>
      <c r="AP350" s="2" t="str">
        <f ca="1">IFERROR(__xludf.DUMMYFUNCTION("""COMPUTED_VALUE"""),"")</f>
        <v/>
      </c>
      <c r="AQ350" s="2" t="str">
        <f ca="1">IFERROR(__xludf.DUMMYFUNCTION("""COMPUTED_VALUE"""),"")</f>
        <v/>
      </c>
      <c r="AR350" s="2" t="str">
        <f ca="1">IFERROR(__xludf.DUMMYFUNCTION("""COMPUTED_VALUE"""),"")</f>
        <v/>
      </c>
      <c r="AS350" s="2" t="str">
        <f ca="1">IFERROR(__xludf.DUMMYFUNCTION("""COMPUTED_VALUE"""),"")</f>
        <v/>
      </c>
      <c r="AT350" s="2" t="str">
        <f ca="1">IFERROR(__xludf.DUMMYFUNCTION("""COMPUTED_VALUE"""),"")</f>
        <v/>
      </c>
      <c r="AU350" s="2" t="str">
        <f ca="1">IFERROR(__xludf.DUMMYFUNCTION("""COMPUTED_VALUE"""),"")</f>
        <v/>
      </c>
      <c r="AV350" s="2" t="str">
        <f ca="1">IFERROR(__xludf.DUMMYFUNCTION("""COMPUTED_VALUE"""),"")</f>
        <v/>
      </c>
      <c r="AW350" s="2" t="str">
        <f ca="1">IFERROR(__xludf.DUMMYFUNCTION("""COMPUTED_VALUE"""),"")</f>
        <v/>
      </c>
      <c r="AX350" s="2" t="str">
        <f ca="1">IFERROR(__xludf.DUMMYFUNCTION("""COMPUTED_VALUE"""),"")</f>
        <v/>
      </c>
      <c r="AY350" s="2" t="str">
        <f ca="1">IFERROR(__xludf.DUMMYFUNCTION("""COMPUTED_VALUE"""),"")</f>
        <v/>
      </c>
      <c r="AZ350" s="2" t="str">
        <f ca="1">IFERROR(__xludf.DUMMYFUNCTION("""COMPUTED_VALUE"""),"")</f>
        <v/>
      </c>
      <c r="BA350" s="2" t="str">
        <f ca="1">IFERROR(__xludf.DUMMYFUNCTION("""COMPUTED_VALUE"""),"")</f>
        <v/>
      </c>
      <c r="BB350" s="2" t="str">
        <f ca="1">IFERROR(__xludf.DUMMYFUNCTION("""COMPUTED_VALUE"""),"")</f>
        <v/>
      </c>
      <c r="BC350" s="2" t="str">
        <f ca="1">IFERROR(__xludf.DUMMYFUNCTION("""COMPUTED_VALUE"""),"")</f>
        <v/>
      </c>
      <c r="BD350" s="2" t="str">
        <f ca="1">IFERROR(__xludf.DUMMYFUNCTION("""COMPUTED_VALUE"""),"")</f>
        <v/>
      </c>
      <c r="BE350" s="2" t="str">
        <f ca="1">IFERROR(__xludf.DUMMYFUNCTION("""COMPUTED_VALUE"""),"")</f>
        <v/>
      </c>
      <c r="BF350" t="str">
        <f ca="1">IFERROR(__xludf.DUMMYFUNCTION("""COMPUTED_VALUE"""),"")</f>
        <v/>
      </c>
      <c r="BG350" t="str">
        <f ca="1">IFERROR(__xludf.DUMMYFUNCTION("""COMPUTED_VALUE"""),"")</f>
        <v/>
      </c>
      <c r="BH350" s="2">
        <f ca="1">IFERROR(__xludf.DUMMYFUNCTION("""COMPUTED_VALUE"""),-36.4567947)</f>
        <v>-36.456794700000003</v>
      </c>
      <c r="BI350" s="13">
        <f ca="1">IFERROR(__xludf.DUMMYFUNCTION("""COMPUTED_VALUE"""),174.1769867)</f>
        <v>174.17698669999999</v>
      </c>
      <c r="BJ350" s="9">
        <f ca="1">IFERROR(__xludf.DUMMYFUNCTION("""COMPUTED_VALUE"""),43448)</f>
        <v>43448</v>
      </c>
      <c r="BK350" s="4">
        <f ca="1">IFERROR(__xludf.DUMMYFUNCTION("""COMPUTED_VALUE"""),0.958518518516939)</f>
        <v>0.95851851851693903</v>
      </c>
    </row>
    <row r="351" spans="1:63" ht="12.5" x14ac:dyDescent="0.25">
      <c r="A351" s="7" t="str">
        <f ca="1">IFERROR(__xludf.DUMMYFUNCTION("""COMPUTED_VALUE"""),"")</f>
        <v/>
      </c>
      <c r="B351" s="8" t="str">
        <f ca="1">IFERROR(__xludf.DUMMYFUNCTION("""COMPUTED_VALUE"""),"Waikato")</f>
        <v>Waikato</v>
      </c>
      <c r="C351" s="2">
        <f ca="1">IFERROR(__xludf.DUMMYFUNCTION("""COMPUTED_VALUE"""),21)</f>
        <v>21</v>
      </c>
      <c r="D351" s="9" t="str">
        <f ca="1">IFERROR(__xludf.DUMMYFUNCTION("""COMPUTED_VALUE"""),"")</f>
        <v/>
      </c>
      <c r="E351" s="4" t="str">
        <f ca="1">IFERROR(__xludf.DUMMYFUNCTION("""COMPUTED_VALUE"""),"")</f>
        <v/>
      </c>
      <c r="F351" s="2" t="str">
        <f ca="1">IFERROR(__xludf.DUMMYFUNCTION("""COMPUTED_VALUE"""),"")</f>
        <v/>
      </c>
      <c r="G351" s="2" t="str">
        <f ca="1">IFERROR(__xludf.DUMMYFUNCTION("""COMPUTED_VALUE"""),"GPS: I converted data downloaded from ARGOS using Pinpoint software")</f>
        <v>GPS: I converted data downloaded from ARGOS using Pinpoint software</v>
      </c>
      <c r="H351" s="2" t="str">
        <f ca="1">IFERROR(__xludf.DUMMYFUNCTION("""COMPUTED_VALUE"""),"3D")</f>
        <v>3D</v>
      </c>
      <c r="I351" s="2" t="str">
        <f ca="1">IFERROR(__xludf.DUMMYFUNCTION("""COMPUTED_VALUE"""),"")</f>
        <v/>
      </c>
      <c r="J351" s="2" t="str">
        <f ca="1">IFERROR(__xludf.DUMMYFUNCTION("""COMPUTED_VALUE"""),"")</f>
        <v/>
      </c>
      <c r="K351" s="2" t="str">
        <f ca="1">IFERROR(__xludf.DUMMYFUNCTION("""COMPUTED_VALUE"""),"")</f>
        <v/>
      </c>
      <c r="L351" s="2" t="str">
        <f ca="1">IFERROR(__xludf.DUMMYFUNCTION("""COMPUTED_VALUE"""),"")</f>
        <v/>
      </c>
      <c r="M351" s="5" t="str">
        <f ca="1">IFERROR(__xludf.DUMMYFUNCTION("""COMPUTED_VALUE"""),"")</f>
        <v/>
      </c>
      <c r="N351" s="5" t="str">
        <f ca="1">IFERROR(__xludf.DUMMYFUNCTION("""COMPUTED_VALUE"""),"")</f>
        <v/>
      </c>
      <c r="O351" s="2" t="str">
        <f ca="1">IFERROR(__xludf.DUMMYFUNCTION("""COMPUTED_VALUE"""),"")</f>
        <v/>
      </c>
      <c r="P351" s="2" t="str">
        <f ca="1">IFERROR(__xludf.DUMMYFUNCTION("""COMPUTED_VALUE"""),"")</f>
        <v/>
      </c>
      <c r="Q351" s="2" t="str">
        <f ca="1">IFERROR(__xludf.DUMMYFUNCTION("""COMPUTED_VALUE"""),"")</f>
        <v/>
      </c>
      <c r="R351" s="2" t="str">
        <f ca="1">IFERROR(__xludf.DUMMYFUNCTION("""COMPUTED_VALUE"""),"")</f>
        <v/>
      </c>
      <c r="S351" s="2" t="str">
        <f ca="1">IFERROR(__xludf.DUMMYFUNCTION("""COMPUTED_VALUE"""),"")</f>
        <v/>
      </c>
      <c r="T351" s="2" t="str">
        <f ca="1">IFERROR(__xludf.DUMMYFUNCTION("""COMPUTED_VALUE"""),"")</f>
        <v/>
      </c>
      <c r="U351" s="2" t="str">
        <f ca="1">IFERROR(__xludf.DUMMYFUNCTION("""COMPUTED_VALUE"""),"")</f>
        <v/>
      </c>
      <c r="V351" s="2" t="str">
        <f ca="1">IFERROR(__xludf.DUMMYFUNCTION("""COMPUTED_VALUE"""),"")</f>
        <v/>
      </c>
      <c r="W351" s="2" t="str">
        <f ca="1">IFERROR(__xludf.DUMMYFUNCTION("""COMPUTED_VALUE"""),"")</f>
        <v/>
      </c>
      <c r="X351" s="2" t="str">
        <f ca="1">IFERROR(__xludf.DUMMYFUNCTION("""COMPUTED_VALUE"""),"")</f>
        <v/>
      </c>
      <c r="Y351" s="2" t="str">
        <f ca="1">IFERROR(__xludf.DUMMYFUNCTION("""COMPUTED_VALUE"""),"")</f>
        <v/>
      </c>
      <c r="Z351" s="2" t="str">
        <f ca="1">IFERROR(__xludf.DUMMYFUNCTION("""COMPUTED_VALUE"""),"")</f>
        <v/>
      </c>
      <c r="AA351" s="2" t="str">
        <f ca="1">IFERROR(__xludf.DUMMYFUNCTION("""COMPUTED_VALUE"""),"")</f>
        <v/>
      </c>
      <c r="AB351" s="2" t="str">
        <f ca="1">IFERROR(__xludf.DUMMYFUNCTION("""COMPUTED_VALUE"""),"")</f>
        <v/>
      </c>
      <c r="AC351" s="2" t="str">
        <f ca="1">IFERROR(__xludf.DUMMYFUNCTION("""COMPUTED_VALUE"""),"")</f>
        <v/>
      </c>
      <c r="AD351" s="2" t="str">
        <f ca="1">IFERROR(__xludf.DUMMYFUNCTION("""COMPUTED_VALUE"""),"")</f>
        <v/>
      </c>
      <c r="AE351" s="2" t="str">
        <f ca="1">IFERROR(__xludf.DUMMYFUNCTION("""COMPUTED_VALUE"""),"")</f>
        <v/>
      </c>
      <c r="AF351" s="2" t="str">
        <f ca="1">IFERROR(__xludf.DUMMYFUNCTION("""COMPUTED_VALUE"""),"")</f>
        <v/>
      </c>
      <c r="AG351" s="2" t="str">
        <f ca="1">IFERROR(__xludf.DUMMYFUNCTION("""COMPUTED_VALUE"""),"")</f>
        <v/>
      </c>
      <c r="AH351" s="2" t="str">
        <f ca="1">IFERROR(__xludf.DUMMYFUNCTION("""COMPUTED_VALUE"""),"")</f>
        <v/>
      </c>
      <c r="AI351" s="2" t="str">
        <f ca="1">IFERROR(__xludf.DUMMYFUNCTION("""COMPUTED_VALUE"""),"")</f>
        <v/>
      </c>
      <c r="AJ351" s="2" t="str">
        <f ca="1">IFERROR(__xludf.DUMMYFUNCTION("""COMPUTED_VALUE"""),"")</f>
        <v/>
      </c>
      <c r="AK351" s="2" t="str">
        <f ca="1">IFERROR(__xludf.DUMMYFUNCTION("""COMPUTED_VALUE"""),"")</f>
        <v/>
      </c>
      <c r="AL351" s="2" t="str">
        <f ca="1">IFERROR(__xludf.DUMMYFUNCTION("""COMPUTED_VALUE"""),"")</f>
        <v/>
      </c>
      <c r="AM351" s="2" t="str">
        <f ca="1">IFERROR(__xludf.DUMMYFUNCTION("""COMPUTED_VALUE"""),"")</f>
        <v/>
      </c>
      <c r="AN351" s="2" t="str">
        <f ca="1">IFERROR(__xludf.DUMMYFUNCTION("""COMPUTED_VALUE"""),"")</f>
        <v/>
      </c>
      <c r="AO351" s="2" t="str">
        <f ca="1">IFERROR(__xludf.DUMMYFUNCTION("""COMPUTED_VALUE"""),"")</f>
        <v/>
      </c>
      <c r="AP351" s="2" t="str">
        <f ca="1">IFERROR(__xludf.DUMMYFUNCTION("""COMPUTED_VALUE"""),"")</f>
        <v/>
      </c>
      <c r="AQ351" s="2" t="str">
        <f ca="1">IFERROR(__xludf.DUMMYFUNCTION("""COMPUTED_VALUE"""),"")</f>
        <v/>
      </c>
      <c r="AR351" s="2" t="str">
        <f ca="1">IFERROR(__xludf.DUMMYFUNCTION("""COMPUTED_VALUE"""),"")</f>
        <v/>
      </c>
      <c r="AS351" s="2" t="str">
        <f ca="1">IFERROR(__xludf.DUMMYFUNCTION("""COMPUTED_VALUE"""),"")</f>
        <v/>
      </c>
      <c r="AT351" s="2" t="str">
        <f ca="1">IFERROR(__xludf.DUMMYFUNCTION("""COMPUTED_VALUE"""),"")</f>
        <v/>
      </c>
      <c r="AU351" s="2" t="str">
        <f ca="1">IFERROR(__xludf.DUMMYFUNCTION("""COMPUTED_VALUE"""),"")</f>
        <v/>
      </c>
      <c r="AV351" s="2" t="str">
        <f ca="1">IFERROR(__xludf.DUMMYFUNCTION("""COMPUTED_VALUE"""),"")</f>
        <v/>
      </c>
      <c r="AW351" s="2" t="str">
        <f ca="1">IFERROR(__xludf.DUMMYFUNCTION("""COMPUTED_VALUE"""),"")</f>
        <v/>
      </c>
      <c r="AX351" s="2" t="str">
        <f ca="1">IFERROR(__xludf.DUMMYFUNCTION("""COMPUTED_VALUE"""),"")</f>
        <v/>
      </c>
      <c r="AY351" s="2" t="str">
        <f ca="1">IFERROR(__xludf.DUMMYFUNCTION("""COMPUTED_VALUE"""),"")</f>
        <v/>
      </c>
      <c r="AZ351" s="2" t="str">
        <f ca="1">IFERROR(__xludf.DUMMYFUNCTION("""COMPUTED_VALUE"""),"")</f>
        <v/>
      </c>
      <c r="BA351" s="2" t="str">
        <f ca="1">IFERROR(__xludf.DUMMYFUNCTION("""COMPUTED_VALUE"""),"")</f>
        <v/>
      </c>
      <c r="BB351" s="2" t="str">
        <f ca="1">IFERROR(__xludf.DUMMYFUNCTION("""COMPUTED_VALUE"""),"")</f>
        <v/>
      </c>
      <c r="BC351" s="2" t="str">
        <f ca="1">IFERROR(__xludf.DUMMYFUNCTION("""COMPUTED_VALUE"""),"")</f>
        <v/>
      </c>
      <c r="BD351" s="2" t="str">
        <f ca="1">IFERROR(__xludf.DUMMYFUNCTION("""COMPUTED_VALUE"""),"")</f>
        <v/>
      </c>
      <c r="BE351" s="2" t="str">
        <f ca="1">IFERROR(__xludf.DUMMYFUNCTION("""COMPUTED_VALUE"""),"")</f>
        <v/>
      </c>
      <c r="BF351" t="str">
        <f ca="1">IFERROR(__xludf.DUMMYFUNCTION("""COMPUTED_VALUE"""),"")</f>
        <v/>
      </c>
      <c r="BG351" t="str">
        <f ca="1">IFERROR(__xludf.DUMMYFUNCTION("""COMPUTED_VALUE"""),"")</f>
        <v/>
      </c>
      <c r="BH351" s="2">
        <f ca="1">IFERROR(__xludf.DUMMYFUNCTION("""COMPUTED_VALUE"""),-36.4576378)</f>
        <v>-36.457637800000001</v>
      </c>
      <c r="BI351" s="12">
        <f ca="1">IFERROR(__xludf.DUMMYFUNCTION("""COMPUTED_VALUE"""),174.1766205)</f>
        <v>174.17662050000001</v>
      </c>
      <c r="BJ351" s="9">
        <f ca="1">IFERROR(__xludf.DUMMYFUNCTION("""COMPUTED_VALUE"""),43450)</f>
        <v>43450</v>
      </c>
      <c r="BK351" s="4">
        <f ca="1">IFERROR(__xludf.DUMMYFUNCTION("""COMPUTED_VALUE"""),0.457777777777664)</f>
        <v>0.45777777777766399</v>
      </c>
    </row>
    <row r="352" spans="1:63" ht="12.5" x14ac:dyDescent="0.25">
      <c r="A352" s="7" t="str">
        <f ca="1">IFERROR(__xludf.DUMMYFUNCTION("""COMPUTED_VALUE"""),"")</f>
        <v/>
      </c>
      <c r="B352" s="8" t="str">
        <f ca="1">IFERROR(__xludf.DUMMYFUNCTION("""COMPUTED_VALUE"""),"Waikato")</f>
        <v>Waikato</v>
      </c>
      <c r="C352" s="2">
        <f ca="1">IFERROR(__xludf.DUMMYFUNCTION("""COMPUTED_VALUE"""),21)</f>
        <v>21</v>
      </c>
      <c r="D352" s="9" t="str">
        <f ca="1">IFERROR(__xludf.DUMMYFUNCTION("""COMPUTED_VALUE"""),"")</f>
        <v/>
      </c>
      <c r="E352" s="4" t="str">
        <f ca="1">IFERROR(__xludf.DUMMYFUNCTION("""COMPUTED_VALUE"""),"")</f>
        <v/>
      </c>
      <c r="F352" s="2" t="str">
        <f ca="1">IFERROR(__xludf.DUMMYFUNCTION("""COMPUTED_VALUE"""),"")</f>
        <v/>
      </c>
      <c r="G352" s="2" t="str">
        <f ca="1">IFERROR(__xludf.DUMMYFUNCTION("""COMPUTED_VALUE"""),"GPS: I converted data downloaded from ARGOS using Pinpoint software")</f>
        <v>GPS: I converted data downloaded from ARGOS using Pinpoint software</v>
      </c>
      <c r="H352" s="2" t="str">
        <f ca="1">IFERROR(__xludf.DUMMYFUNCTION("""COMPUTED_VALUE"""),"3D")</f>
        <v>3D</v>
      </c>
      <c r="I352" s="2" t="str">
        <f ca="1">IFERROR(__xludf.DUMMYFUNCTION("""COMPUTED_VALUE"""),"")</f>
        <v/>
      </c>
      <c r="J352" s="2" t="str">
        <f ca="1">IFERROR(__xludf.DUMMYFUNCTION("""COMPUTED_VALUE"""),"")</f>
        <v/>
      </c>
      <c r="K352" s="2" t="str">
        <f ca="1">IFERROR(__xludf.DUMMYFUNCTION("""COMPUTED_VALUE"""),"")</f>
        <v/>
      </c>
      <c r="L352" s="2" t="str">
        <f ca="1">IFERROR(__xludf.DUMMYFUNCTION("""COMPUTED_VALUE"""),"")</f>
        <v/>
      </c>
      <c r="M352" s="5" t="str">
        <f ca="1">IFERROR(__xludf.DUMMYFUNCTION("""COMPUTED_VALUE"""),"")</f>
        <v/>
      </c>
      <c r="N352" s="5" t="str">
        <f ca="1">IFERROR(__xludf.DUMMYFUNCTION("""COMPUTED_VALUE"""),"")</f>
        <v/>
      </c>
      <c r="O352" s="2" t="str">
        <f ca="1">IFERROR(__xludf.DUMMYFUNCTION("""COMPUTED_VALUE"""),"")</f>
        <v/>
      </c>
      <c r="P352" s="2" t="str">
        <f ca="1">IFERROR(__xludf.DUMMYFUNCTION("""COMPUTED_VALUE"""),"")</f>
        <v/>
      </c>
      <c r="Q352" s="2" t="str">
        <f ca="1">IFERROR(__xludf.DUMMYFUNCTION("""COMPUTED_VALUE"""),"")</f>
        <v/>
      </c>
      <c r="R352" s="2" t="str">
        <f ca="1">IFERROR(__xludf.DUMMYFUNCTION("""COMPUTED_VALUE"""),"")</f>
        <v/>
      </c>
      <c r="S352" s="2" t="str">
        <f ca="1">IFERROR(__xludf.DUMMYFUNCTION("""COMPUTED_VALUE"""),"")</f>
        <v/>
      </c>
      <c r="T352" s="2" t="str">
        <f ca="1">IFERROR(__xludf.DUMMYFUNCTION("""COMPUTED_VALUE"""),"")</f>
        <v/>
      </c>
      <c r="U352" s="2" t="str">
        <f ca="1">IFERROR(__xludf.DUMMYFUNCTION("""COMPUTED_VALUE"""),"")</f>
        <v/>
      </c>
      <c r="V352" s="2" t="str">
        <f ca="1">IFERROR(__xludf.DUMMYFUNCTION("""COMPUTED_VALUE"""),"")</f>
        <v/>
      </c>
      <c r="W352" s="2" t="str">
        <f ca="1">IFERROR(__xludf.DUMMYFUNCTION("""COMPUTED_VALUE"""),"")</f>
        <v/>
      </c>
      <c r="X352" s="2" t="str">
        <f ca="1">IFERROR(__xludf.DUMMYFUNCTION("""COMPUTED_VALUE"""),"")</f>
        <v/>
      </c>
      <c r="Y352" s="2" t="str">
        <f ca="1">IFERROR(__xludf.DUMMYFUNCTION("""COMPUTED_VALUE"""),"")</f>
        <v/>
      </c>
      <c r="Z352" s="2" t="str">
        <f ca="1">IFERROR(__xludf.DUMMYFUNCTION("""COMPUTED_VALUE"""),"")</f>
        <v/>
      </c>
      <c r="AA352" s="2" t="str">
        <f ca="1">IFERROR(__xludf.DUMMYFUNCTION("""COMPUTED_VALUE"""),"")</f>
        <v/>
      </c>
      <c r="AB352" s="2" t="str">
        <f ca="1">IFERROR(__xludf.DUMMYFUNCTION("""COMPUTED_VALUE"""),"")</f>
        <v/>
      </c>
      <c r="AC352" s="2" t="str">
        <f ca="1">IFERROR(__xludf.DUMMYFUNCTION("""COMPUTED_VALUE"""),"")</f>
        <v/>
      </c>
      <c r="AD352" s="2" t="str">
        <f ca="1">IFERROR(__xludf.DUMMYFUNCTION("""COMPUTED_VALUE"""),"")</f>
        <v/>
      </c>
      <c r="AE352" s="2" t="str">
        <f ca="1">IFERROR(__xludf.DUMMYFUNCTION("""COMPUTED_VALUE"""),"")</f>
        <v/>
      </c>
      <c r="AF352" s="2" t="str">
        <f ca="1">IFERROR(__xludf.DUMMYFUNCTION("""COMPUTED_VALUE"""),"")</f>
        <v/>
      </c>
      <c r="AG352" s="2" t="str">
        <f ca="1">IFERROR(__xludf.DUMMYFUNCTION("""COMPUTED_VALUE"""),"")</f>
        <v/>
      </c>
      <c r="AH352" s="2" t="str">
        <f ca="1">IFERROR(__xludf.DUMMYFUNCTION("""COMPUTED_VALUE"""),"")</f>
        <v/>
      </c>
      <c r="AI352" s="2" t="str">
        <f ca="1">IFERROR(__xludf.DUMMYFUNCTION("""COMPUTED_VALUE"""),"")</f>
        <v/>
      </c>
      <c r="AJ352" s="2" t="str">
        <f ca="1">IFERROR(__xludf.DUMMYFUNCTION("""COMPUTED_VALUE"""),"")</f>
        <v/>
      </c>
      <c r="AK352" s="2" t="str">
        <f ca="1">IFERROR(__xludf.DUMMYFUNCTION("""COMPUTED_VALUE"""),"")</f>
        <v/>
      </c>
      <c r="AL352" s="2" t="str">
        <f ca="1">IFERROR(__xludf.DUMMYFUNCTION("""COMPUTED_VALUE"""),"")</f>
        <v/>
      </c>
      <c r="AM352" s="2" t="str">
        <f ca="1">IFERROR(__xludf.DUMMYFUNCTION("""COMPUTED_VALUE"""),"")</f>
        <v/>
      </c>
      <c r="AN352" s="2" t="str">
        <f ca="1">IFERROR(__xludf.DUMMYFUNCTION("""COMPUTED_VALUE"""),"")</f>
        <v/>
      </c>
      <c r="AO352" s="2" t="str">
        <f ca="1">IFERROR(__xludf.DUMMYFUNCTION("""COMPUTED_VALUE"""),"")</f>
        <v/>
      </c>
      <c r="AP352" s="2" t="str">
        <f ca="1">IFERROR(__xludf.DUMMYFUNCTION("""COMPUTED_VALUE"""),"")</f>
        <v/>
      </c>
      <c r="AQ352" s="2" t="str">
        <f ca="1">IFERROR(__xludf.DUMMYFUNCTION("""COMPUTED_VALUE"""),"")</f>
        <v/>
      </c>
      <c r="AR352" s="2" t="str">
        <f ca="1">IFERROR(__xludf.DUMMYFUNCTION("""COMPUTED_VALUE"""),"")</f>
        <v/>
      </c>
      <c r="AS352" s="2" t="str">
        <f ca="1">IFERROR(__xludf.DUMMYFUNCTION("""COMPUTED_VALUE"""),"")</f>
        <v/>
      </c>
      <c r="AT352" s="2" t="str">
        <f ca="1">IFERROR(__xludf.DUMMYFUNCTION("""COMPUTED_VALUE"""),"")</f>
        <v/>
      </c>
      <c r="AU352" s="2" t="str">
        <f ca="1">IFERROR(__xludf.DUMMYFUNCTION("""COMPUTED_VALUE"""),"")</f>
        <v/>
      </c>
      <c r="AV352" s="2" t="str">
        <f ca="1">IFERROR(__xludf.DUMMYFUNCTION("""COMPUTED_VALUE"""),"")</f>
        <v/>
      </c>
      <c r="AW352" s="2" t="str">
        <f ca="1">IFERROR(__xludf.DUMMYFUNCTION("""COMPUTED_VALUE"""),"")</f>
        <v/>
      </c>
      <c r="AX352" s="2" t="str">
        <f ca="1">IFERROR(__xludf.DUMMYFUNCTION("""COMPUTED_VALUE"""),"")</f>
        <v/>
      </c>
      <c r="AY352" s="2" t="str">
        <f ca="1">IFERROR(__xludf.DUMMYFUNCTION("""COMPUTED_VALUE"""),"")</f>
        <v/>
      </c>
      <c r="AZ352" s="2" t="str">
        <f ca="1">IFERROR(__xludf.DUMMYFUNCTION("""COMPUTED_VALUE"""),"")</f>
        <v/>
      </c>
      <c r="BA352" s="2" t="str">
        <f ca="1">IFERROR(__xludf.DUMMYFUNCTION("""COMPUTED_VALUE"""),"")</f>
        <v/>
      </c>
      <c r="BB352" s="2" t="str">
        <f ca="1">IFERROR(__xludf.DUMMYFUNCTION("""COMPUTED_VALUE"""),"")</f>
        <v/>
      </c>
      <c r="BC352" s="2" t="str">
        <f ca="1">IFERROR(__xludf.DUMMYFUNCTION("""COMPUTED_VALUE"""),"")</f>
        <v/>
      </c>
      <c r="BD352" s="2" t="str">
        <f ca="1">IFERROR(__xludf.DUMMYFUNCTION("""COMPUTED_VALUE"""),"")</f>
        <v/>
      </c>
      <c r="BE352" s="2" t="str">
        <f ca="1">IFERROR(__xludf.DUMMYFUNCTION("""COMPUTED_VALUE"""),"")</f>
        <v/>
      </c>
      <c r="BF352" t="str">
        <f ca="1">IFERROR(__xludf.DUMMYFUNCTION("""COMPUTED_VALUE"""),"")</f>
        <v/>
      </c>
      <c r="BG352" t="str">
        <f ca="1">IFERROR(__xludf.DUMMYFUNCTION("""COMPUTED_VALUE"""),"")</f>
        <v/>
      </c>
      <c r="BH352" s="2">
        <f ca="1">IFERROR(__xludf.DUMMYFUNCTION("""COMPUTED_VALUE"""),-36.4675446)</f>
        <v>-36.467544599999997</v>
      </c>
      <c r="BI352" s="13">
        <f ca="1">IFERROR(__xludf.DUMMYFUNCTION("""COMPUTED_VALUE"""),174.1959991)</f>
        <v>174.19599909999999</v>
      </c>
      <c r="BJ352" s="9">
        <f ca="1">IFERROR(__xludf.DUMMYFUNCTION("""COMPUTED_VALUE"""),43450)</f>
        <v>43450</v>
      </c>
      <c r="BK352" s="4">
        <f ca="1">IFERROR(__xludf.DUMMYFUNCTION("""COMPUTED_VALUE"""),0.958518518516939)</f>
        <v>0.95851851851693903</v>
      </c>
    </row>
    <row r="353" spans="1:63" ht="12.5" x14ac:dyDescent="0.25">
      <c r="A353" s="7" t="str">
        <f ca="1">IFERROR(__xludf.DUMMYFUNCTION("""COMPUTED_VALUE"""),"")</f>
        <v/>
      </c>
      <c r="B353" s="8" t="str">
        <f ca="1">IFERROR(__xludf.DUMMYFUNCTION("""COMPUTED_VALUE"""),"Waikato")</f>
        <v>Waikato</v>
      </c>
      <c r="C353" s="2">
        <f ca="1">IFERROR(__xludf.DUMMYFUNCTION("""COMPUTED_VALUE"""),21)</f>
        <v>21</v>
      </c>
      <c r="D353" s="9" t="str">
        <f ca="1">IFERROR(__xludf.DUMMYFUNCTION("""COMPUTED_VALUE"""),"")</f>
        <v/>
      </c>
      <c r="E353" s="4" t="str">
        <f ca="1">IFERROR(__xludf.DUMMYFUNCTION("""COMPUTED_VALUE"""),"")</f>
        <v/>
      </c>
      <c r="F353" s="2" t="str">
        <f ca="1">IFERROR(__xludf.DUMMYFUNCTION("""COMPUTED_VALUE"""),"")</f>
        <v/>
      </c>
      <c r="G353" s="2" t="str">
        <f ca="1">IFERROR(__xludf.DUMMYFUNCTION("""COMPUTED_VALUE"""),"GPS: I converted data downloaded from ARGOS using Pinpoint software")</f>
        <v>GPS: I converted data downloaded from ARGOS using Pinpoint software</v>
      </c>
      <c r="H353" s="2" t="str">
        <f ca="1">IFERROR(__xludf.DUMMYFUNCTION("""COMPUTED_VALUE"""),"3D")</f>
        <v>3D</v>
      </c>
      <c r="I353" s="2" t="str">
        <f ca="1">IFERROR(__xludf.DUMMYFUNCTION("""COMPUTED_VALUE"""),"")</f>
        <v/>
      </c>
      <c r="J353" s="2" t="str">
        <f ca="1">IFERROR(__xludf.DUMMYFUNCTION("""COMPUTED_VALUE"""),"")</f>
        <v/>
      </c>
      <c r="K353" s="2" t="str">
        <f ca="1">IFERROR(__xludf.DUMMYFUNCTION("""COMPUTED_VALUE"""),"")</f>
        <v/>
      </c>
      <c r="L353" s="2" t="str">
        <f ca="1">IFERROR(__xludf.DUMMYFUNCTION("""COMPUTED_VALUE"""),"")</f>
        <v/>
      </c>
      <c r="M353" s="5" t="str">
        <f ca="1">IFERROR(__xludf.DUMMYFUNCTION("""COMPUTED_VALUE"""),"")</f>
        <v/>
      </c>
      <c r="N353" s="5" t="str">
        <f ca="1">IFERROR(__xludf.DUMMYFUNCTION("""COMPUTED_VALUE"""),"")</f>
        <v/>
      </c>
      <c r="O353" s="2" t="str">
        <f ca="1">IFERROR(__xludf.DUMMYFUNCTION("""COMPUTED_VALUE"""),"")</f>
        <v/>
      </c>
      <c r="P353" s="2" t="str">
        <f ca="1">IFERROR(__xludf.DUMMYFUNCTION("""COMPUTED_VALUE"""),"")</f>
        <v/>
      </c>
      <c r="Q353" s="2" t="str">
        <f ca="1">IFERROR(__xludf.DUMMYFUNCTION("""COMPUTED_VALUE"""),"")</f>
        <v/>
      </c>
      <c r="R353" s="2" t="str">
        <f ca="1">IFERROR(__xludf.DUMMYFUNCTION("""COMPUTED_VALUE"""),"")</f>
        <v/>
      </c>
      <c r="S353" s="2" t="str">
        <f ca="1">IFERROR(__xludf.DUMMYFUNCTION("""COMPUTED_VALUE"""),"")</f>
        <v/>
      </c>
      <c r="T353" s="2" t="str">
        <f ca="1">IFERROR(__xludf.DUMMYFUNCTION("""COMPUTED_VALUE"""),"")</f>
        <v/>
      </c>
      <c r="U353" s="2" t="str">
        <f ca="1">IFERROR(__xludf.DUMMYFUNCTION("""COMPUTED_VALUE"""),"")</f>
        <v/>
      </c>
      <c r="V353" s="2" t="str">
        <f ca="1">IFERROR(__xludf.DUMMYFUNCTION("""COMPUTED_VALUE"""),"")</f>
        <v/>
      </c>
      <c r="W353" s="2" t="str">
        <f ca="1">IFERROR(__xludf.DUMMYFUNCTION("""COMPUTED_VALUE"""),"")</f>
        <v/>
      </c>
      <c r="X353" s="2" t="str">
        <f ca="1">IFERROR(__xludf.DUMMYFUNCTION("""COMPUTED_VALUE"""),"")</f>
        <v/>
      </c>
      <c r="Y353" s="2" t="str">
        <f ca="1">IFERROR(__xludf.DUMMYFUNCTION("""COMPUTED_VALUE"""),"")</f>
        <v/>
      </c>
      <c r="Z353" s="2" t="str">
        <f ca="1">IFERROR(__xludf.DUMMYFUNCTION("""COMPUTED_VALUE"""),"")</f>
        <v/>
      </c>
      <c r="AA353" s="2" t="str">
        <f ca="1">IFERROR(__xludf.DUMMYFUNCTION("""COMPUTED_VALUE"""),"")</f>
        <v/>
      </c>
      <c r="AB353" s="2" t="str">
        <f ca="1">IFERROR(__xludf.DUMMYFUNCTION("""COMPUTED_VALUE"""),"")</f>
        <v/>
      </c>
      <c r="AC353" s="2" t="str">
        <f ca="1">IFERROR(__xludf.DUMMYFUNCTION("""COMPUTED_VALUE"""),"")</f>
        <v/>
      </c>
      <c r="AD353" s="2" t="str">
        <f ca="1">IFERROR(__xludf.DUMMYFUNCTION("""COMPUTED_VALUE"""),"")</f>
        <v/>
      </c>
      <c r="AE353" s="2" t="str">
        <f ca="1">IFERROR(__xludf.DUMMYFUNCTION("""COMPUTED_VALUE"""),"")</f>
        <v/>
      </c>
      <c r="AF353" s="2" t="str">
        <f ca="1">IFERROR(__xludf.DUMMYFUNCTION("""COMPUTED_VALUE"""),"")</f>
        <v/>
      </c>
      <c r="AG353" s="2" t="str">
        <f ca="1">IFERROR(__xludf.DUMMYFUNCTION("""COMPUTED_VALUE"""),"")</f>
        <v/>
      </c>
      <c r="AH353" s="2" t="str">
        <f ca="1">IFERROR(__xludf.DUMMYFUNCTION("""COMPUTED_VALUE"""),"")</f>
        <v/>
      </c>
      <c r="AI353" s="2" t="str">
        <f ca="1">IFERROR(__xludf.DUMMYFUNCTION("""COMPUTED_VALUE"""),"")</f>
        <v/>
      </c>
      <c r="AJ353" s="2" t="str">
        <f ca="1">IFERROR(__xludf.DUMMYFUNCTION("""COMPUTED_VALUE"""),"")</f>
        <v/>
      </c>
      <c r="AK353" s="2" t="str">
        <f ca="1">IFERROR(__xludf.DUMMYFUNCTION("""COMPUTED_VALUE"""),"")</f>
        <v/>
      </c>
      <c r="AL353" s="2" t="str">
        <f ca="1">IFERROR(__xludf.DUMMYFUNCTION("""COMPUTED_VALUE"""),"")</f>
        <v/>
      </c>
      <c r="AM353" s="2" t="str">
        <f ca="1">IFERROR(__xludf.DUMMYFUNCTION("""COMPUTED_VALUE"""),"")</f>
        <v/>
      </c>
      <c r="AN353" s="2" t="str">
        <f ca="1">IFERROR(__xludf.DUMMYFUNCTION("""COMPUTED_VALUE"""),"")</f>
        <v/>
      </c>
      <c r="AO353" s="2" t="str">
        <f ca="1">IFERROR(__xludf.DUMMYFUNCTION("""COMPUTED_VALUE"""),"")</f>
        <v/>
      </c>
      <c r="AP353" s="2" t="str">
        <f ca="1">IFERROR(__xludf.DUMMYFUNCTION("""COMPUTED_VALUE"""),"")</f>
        <v/>
      </c>
      <c r="AQ353" s="2" t="str">
        <f ca="1">IFERROR(__xludf.DUMMYFUNCTION("""COMPUTED_VALUE"""),"")</f>
        <v/>
      </c>
      <c r="AR353" s="2" t="str">
        <f ca="1">IFERROR(__xludf.DUMMYFUNCTION("""COMPUTED_VALUE"""),"")</f>
        <v/>
      </c>
      <c r="AS353" s="2" t="str">
        <f ca="1">IFERROR(__xludf.DUMMYFUNCTION("""COMPUTED_VALUE"""),"")</f>
        <v/>
      </c>
      <c r="AT353" s="2" t="str">
        <f ca="1">IFERROR(__xludf.DUMMYFUNCTION("""COMPUTED_VALUE"""),"")</f>
        <v/>
      </c>
      <c r="AU353" s="2" t="str">
        <f ca="1">IFERROR(__xludf.DUMMYFUNCTION("""COMPUTED_VALUE"""),"")</f>
        <v/>
      </c>
      <c r="AV353" s="2" t="str">
        <f ca="1">IFERROR(__xludf.DUMMYFUNCTION("""COMPUTED_VALUE"""),"")</f>
        <v/>
      </c>
      <c r="AW353" s="2" t="str">
        <f ca="1">IFERROR(__xludf.DUMMYFUNCTION("""COMPUTED_VALUE"""),"")</f>
        <v/>
      </c>
      <c r="AX353" s="2" t="str">
        <f ca="1">IFERROR(__xludf.DUMMYFUNCTION("""COMPUTED_VALUE"""),"")</f>
        <v/>
      </c>
      <c r="AY353" s="2" t="str">
        <f ca="1">IFERROR(__xludf.DUMMYFUNCTION("""COMPUTED_VALUE"""),"")</f>
        <v/>
      </c>
      <c r="AZ353" s="2" t="str">
        <f ca="1">IFERROR(__xludf.DUMMYFUNCTION("""COMPUTED_VALUE"""),"")</f>
        <v/>
      </c>
      <c r="BA353" s="2" t="str">
        <f ca="1">IFERROR(__xludf.DUMMYFUNCTION("""COMPUTED_VALUE"""),"")</f>
        <v/>
      </c>
      <c r="BB353" s="2" t="str">
        <f ca="1">IFERROR(__xludf.DUMMYFUNCTION("""COMPUTED_VALUE"""),"")</f>
        <v/>
      </c>
      <c r="BC353" s="2" t="str">
        <f ca="1">IFERROR(__xludf.DUMMYFUNCTION("""COMPUTED_VALUE"""),"")</f>
        <v/>
      </c>
      <c r="BD353" s="2" t="str">
        <f ca="1">IFERROR(__xludf.DUMMYFUNCTION("""COMPUTED_VALUE"""),"")</f>
        <v/>
      </c>
      <c r="BE353" s="2" t="str">
        <f ca="1">IFERROR(__xludf.DUMMYFUNCTION("""COMPUTED_VALUE"""),"")</f>
        <v/>
      </c>
      <c r="BF353" t="str">
        <f ca="1">IFERROR(__xludf.DUMMYFUNCTION("""COMPUTED_VALUE"""),"")</f>
        <v/>
      </c>
      <c r="BG353" t="str">
        <f ca="1">IFERROR(__xludf.DUMMYFUNCTION("""COMPUTED_VALUE"""),"")</f>
        <v/>
      </c>
      <c r="BH353" s="2">
        <f ca="1">IFERROR(__xludf.DUMMYFUNCTION("""COMPUTED_VALUE"""),-36.4575119)</f>
        <v>-36.4575119</v>
      </c>
      <c r="BI353" s="12">
        <f ca="1">IFERROR(__xludf.DUMMYFUNCTION("""COMPUTED_VALUE"""),174.176651)</f>
        <v>174.17665099999999</v>
      </c>
      <c r="BJ353" s="9">
        <f ca="1">IFERROR(__xludf.DUMMYFUNCTION("""COMPUTED_VALUE"""),43452)</f>
        <v>43452</v>
      </c>
      <c r="BK353" s="4">
        <f ca="1">IFERROR(__xludf.DUMMYFUNCTION("""COMPUTED_VALUE"""),0.457777777777664)</f>
        <v>0.45777777777766399</v>
      </c>
    </row>
    <row r="354" spans="1:63" ht="12.5" x14ac:dyDescent="0.25">
      <c r="A354" s="7" t="str">
        <f ca="1">IFERROR(__xludf.DUMMYFUNCTION("""COMPUTED_VALUE"""),"")</f>
        <v/>
      </c>
      <c r="B354" s="8" t="str">
        <f ca="1">IFERROR(__xludf.DUMMYFUNCTION("""COMPUTED_VALUE"""),"Waikato")</f>
        <v>Waikato</v>
      </c>
      <c r="C354" s="2">
        <f ca="1">IFERROR(__xludf.DUMMYFUNCTION("""COMPUTED_VALUE"""),21)</f>
        <v>21</v>
      </c>
      <c r="D354" s="9" t="str">
        <f ca="1">IFERROR(__xludf.DUMMYFUNCTION("""COMPUTED_VALUE"""),"")</f>
        <v/>
      </c>
      <c r="E354" s="4" t="str">
        <f ca="1">IFERROR(__xludf.DUMMYFUNCTION("""COMPUTED_VALUE"""),"")</f>
        <v/>
      </c>
      <c r="F354" s="2" t="str">
        <f ca="1">IFERROR(__xludf.DUMMYFUNCTION("""COMPUTED_VALUE"""),"")</f>
        <v/>
      </c>
      <c r="G354" s="2" t="str">
        <f ca="1">IFERROR(__xludf.DUMMYFUNCTION("""COMPUTED_VALUE"""),"GPS: I converted data downloaded from ARGOS using Pinpoint software")</f>
        <v>GPS: I converted data downloaded from ARGOS using Pinpoint software</v>
      </c>
      <c r="H354" s="2" t="str">
        <f ca="1">IFERROR(__xludf.DUMMYFUNCTION("""COMPUTED_VALUE"""),"3D")</f>
        <v>3D</v>
      </c>
      <c r="I354" s="2" t="str">
        <f ca="1">IFERROR(__xludf.DUMMYFUNCTION("""COMPUTED_VALUE"""),"")</f>
        <v/>
      </c>
      <c r="J354" s="2" t="str">
        <f ca="1">IFERROR(__xludf.DUMMYFUNCTION("""COMPUTED_VALUE"""),"")</f>
        <v/>
      </c>
      <c r="K354" s="2" t="str">
        <f ca="1">IFERROR(__xludf.DUMMYFUNCTION("""COMPUTED_VALUE"""),"")</f>
        <v/>
      </c>
      <c r="L354" s="2" t="str">
        <f ca="1">IFERROR(__xludf.DUMMYFUNCTION("""COMPUTED_VALUE"""),"")</f>
        <v/>
      </c>
      <c r="M354" s="5" t="str">
        <f ca="1">IFERROR(__xludf.DUMMYFUNCTION("""COMPUTED_VALUE"""),"")</f>
        <v/>
      </c>
      <c r="N354" s="5" t="str">
        <f ca="1">IFERROR(__xludf.DUMMYFUNCTION("""COMPUTED_VALUE"""),"")</f>
        <v/>
      </c>
      <c r="O354" s="2" t="str">
        <f ca="1">IFERROR(__xludf.DUMMYFUNCTION("""COMPUTED_VALUE"""),"")</f>
        <v/>
      </c>
      <c r="P354" s="2" t="str">
        <f ca="1">IFERROR(__xludf.DUMMYFUNCTION("""COMPUTED_VALUE"""),"")</f>
        <v/>
      </c>
      <c r="Q354" s="2" t="str">
        <f ca="1">IFERROR(__xludf.DUMMYFUNCTION("""COMPUTED_VALUE"""),"")</f>
        <v/>
      </c>
      <c r="R354" s="2" t="str">
        <f ca="1">IFERROR(__xludf.DUMMYFUNCTION("""COMPUTED_VALUE"""),"")</f>
        <v/>
      </c>
      <c r="S354" s="2" t="str">
        <f ca="1">IFERROR(__xludf.DUMMYFUNCTION("""COMPUTED_VALUE"""),"")</f>
        <v/>
      </c>
      <c r="T354" s="2" t="str">
        <f ca="1">IFERROR(__xludf.DUMMYFUNCTION("""COMPUTED_VALUE"""),"")</f>
        <v/>
      </c>
      <c r="U354" s="2" t="str">
        <f ca="1">IFERROR(__xludf.DUMMYFUNCTION("""COMPUTED_VALUE"""),"")</f>
        <v/>
      </c>
      <c r="V354" s="2" t="str">
        <f ca="1">IFERROR(__xludf.DUMMYFUNCTION("""COMPUTED_VALUE"""),"")</f>
        <v/>
      </c>
      <c r="W354" s="2" t="str">
        <f ca="1">IFERROR(__xludf.DUMMYFUNCTION("""COMPUTED_VALUE"""),"")</f>
        <v/>
      </c>
      <c r="X354" s="2" t="str">
        <f ca="1">IFERROR(__xludf.DUMMYFUNCTION("""COMPUTED_VALUE"""),"")</f>
        <v/>
      </c>
      <c r="Y354" s="2" t="str">
        <f ca="1">IFERROR(__xludf.DUMMYFUNCTION("""COMPUTED_VALUE"""),"")</f>
        <v/>
      </c>
      <c r="Z354" s="2" t="str">
        <f ca="1">IFERROR(__xludf.DUMMYFUNCTION("""COMPUTED_VALUE"""),"")</f>
        <v/>
      </c>
      <c r="AA354" s="2" t="str">
        <f ca="1">IFERROR(__xludf.DUMMYFUNCTION("""COMPUTED_VALUE"""),"")</f>
        <v/>
      </c>
      <c r="AB354" s="2" t="str">
        <f ca="1">IFERROR(__xludf.DUMMYFUNCTION("""COMPUTED_VALUE"""),"")</f>
        <v/>
      </c>
      <c r="AC354" s="2" t="str">
        <f ca="1">IFERROR(__xludf.DUMMYFUNCTION("""COMPUTED_VALUE"""),"")</f>
        <v/>
      </c>
      <c r="AD354" s="2" t="str">
        <f ca="1">IFERROR(__xludf.DUMMYFUNCTION("""COMPUTED_VALUE"""),"")</f>
        <v/>
      </c>
      <c r="AE354" s="2" t="str">
        <f ca="1">IFERROR(__xludf.DUMMYFUNCTION("""COMPUTED_VALUE"""),"")</f>
        <v/>
      </c>
      <c r="AF354" s="2" t="str">
        <f ca="1">IFERROR(__xludf.DUMMYFUNCTION("""COMPUTED_VALUE"""),"")</f>
        <v/>
      </c>
      <c r="AG354" s="2" t="str">
        <f ca="1">IFERROR(__xludf.DUMMYFUNCTION("""COMPUTED_VALUE"""),"")</f>
        <v/>
      </c>
      <c r="AH354" s="2" t="str">
        <f ca="1">IFERROR(__xludf.DUMMYFUNCTION("""COMPUTED_VALUE"""),"")</f>
        <v/>
      </c>
      <c r="AI354" s="2" t="str">
        <f ca="1">IFERROR(__xludf.DUMMYFUNCTION("""COMPUTED_VALUE"""),"")</f>
        <v/>
      </c>
      <c r="AJ354" s="2" t="str">
        <f ca="1">IFERROR(__xludf.DUMMYFUNCTION("""COMPUTED_VALUE"""),"")</f>
        <v/>
      </c>
      <c r="AK354" s="2" t="str">
        <f ca="1">IFERROR(__xludf.DUMMYFUNCTION("""COMPUTED_VALUE"""),"")</f>
        <v/>
      </c>
      <c r="AL354" s="2" t="str">
        <f ca="1">IFERROR(__xludf.DUMMYFUNCTION("""COMPUTED_VALUE"""),"")</f>
        <v/>
      </c>
      <c r="AM354" s="2" t="str">
        <f ca="1">IFERROR(__xludf.DUMMYFUNCTION("""COMPUTED_VALUE"""),"")</f>
        <v/>
      </c>
      <c r="AN354" s="2" t="str">
        <f ca="1">IFERROR(__xludf.DUMMYFUNCTION("""COMPUTED_VALUE"""),"")</f>
        <v/>
      </c>
      <c r="AO354" s="2" t="str">
        <f ca="1">IFERROR(__xludf.DUMMYFUNCTION("""COMPUTED_VALUE"""),"")</f>
        <v/>
      </c>
      <c r="AP354" s="2" t="str">
        <f ca="1">IFERROR(__xludf.DUMMYFUNCTION("""COMPUTED_VALUE"""),"")</f>
        <v/>
      </c>
      <c r="AQ354" s="2" t="str">
        <f ca="1">IFERROR(__xludf.DUMMYFUNCTION("""COMPUTED_VALUE"""),"")</f>
        <v/>
      </c>
      <c r="AR354" s="2" t="str">
        <f ca="1">IFERROR(__xludf.DUMMYFUNCTION("""COMPUTED_VALUE"""),"")</f>
        <v/>
      </c>
      <c r="AS354" s="2" t="str">
        <f ca="1">IFERROR(__xludf.DUMMYFUNCTION("""COMPUTED_VALUE"""),"")</f>
        <v/>
      </c>
      <c r="AT354" s="2" t="str">
        <f ca="1">IFERROR(__xludf.DUMMYFUNCTION("""COMPUTED_VALUE"""),"")</f>
        <v/>
      </c>
      <c r="AU354" s="2" t="str">
        <f ca="1">IFERROR(__xludf.DUMMYFUNCTION("""COMPUTED_VALUE"""),"")</f>
        <v/>
      </c>
      <c r="AV354" s="2" t="str">
        <f ca="1">IFERROR(__xludf.DUMMYFUNCTION("""COMPUTED_VALUE"""),"")</f>
        <v/>
      </c>
      <c r="AW354" s="2" t="str">
        <f ca="1">IFERROR(__xludf.DUMMYFUNCTION("""COMPUTED_VALUE"""),"")</f>
        <v/>
      </c>
      <c r="AX354" s="2" t="str">
        <f ca="1">IFERROR(__xludf.DUMMYFUNCTION("""COMPUTED_VALUE"""),"")</f>
        <v/>
      </c>
      <c r="AY354" s="2" t="str">
        <f ca="1">IFERROR(__xludf.DUMMYFUNCTION("""COMPUTED_VALUE"""),"")</f>
        <v/>
      </c>
      <c r="AZ354" s="2" t="str">
        <f ca="1">IFERROR(__xludf.DUMMYFUNCTION("""COMPUTED_VALUE"""),"")</f>
        <v/>
      </c>
      <c r="BA354" s="2" t="str">
        <f ca="1">IFERROR(__xludf.DUMMYFUNCTION("""COMPUTED_VALUE"""),"")</f>
        <v/>
      </c>
      <c r="BB354" s="2" t="str">
        <f ca="1">IFERROR(__xludf.DUMMYFUNCTION("""COMPUTED_VALUE"""),"")</f>
        <v/>
      </c>
      <c r="BC354" s="2" t="str">
        <f ca="1">IFERROR(__xludf.DUMMYFUNCTION("""COMPUTED_VALUE"""),"")</f>
        <v/>
      </c>
      <c r="BD354" s="2" t="str">
        <f ca="1">IFERROR(__xludf.DUMMYFUNCTION("""COMPUTED_VALUE"""),"")</f>
        <v/>
      </c>
      <c r="BE354" s="2" t="str">
        <f ca="1">IFERROR(__xludf.DUMMYFUNCTION("""COMPUTED_VALUE"""),"")</f>
        <v/>
      </c>
      <c r="BF354" t="str">
        <f ca="1">IFERROR(__xludf.DUMMYFUNCTION("""COMPUTED_VALUE"""),"")</f>
        <v/>
      </c>
      <c r="BG354" t="str">
        <f ca="1">IFERROR(__xludf.DUMMYFUNCTION("""COMPUTED_VALUE"""),"")</f>
        <v/>
      </c>
      <c r="BH354" s="2">
        <f ca="1">IFERROR(__xludf.DUMMYFUNCTION("""COMPUTED_VALUE"""),-36.4574852)</f>
        <v>-36.457485200000001</v>
      </c>
      <c r="BI354" s="13">
        <f ca="1">IFERROR(__xludf.DUMMYFUNCTION("""COMPUTED_VALUE"""),174.1906281)</f>
        <v>174.1906281</v>
      </c>
      <c r="BJ354" s="9">
        <f ca="1">IFERROR(__xludf.DUMMYFUNCTION("""COMPUTED_VALUE"""),43452)</f>
        <v>43452</v>
      </c>
      <c r="BK354" s="4">
        <f ca="1">IFERROR(__xludf.DUMMYFUNCTION("""COMPUTED_VALUE"""),0.958518518516939)</f>
        <v>0.95851851851693903</v>
      </c>
    </row>
    <row r="355" spans="1:63" ht="12.5" x14ac:dyDescent="0.25">
      <c r="A355" s="7" t="str">
        <f ca="1">IFERROR(__xludf.DUMMYFUNCTION("""COMPUTED_VALUE"""),"")</f>
        <v/>
      </c>
      <c r="B355" s="8" t="str">
        <f ca="1">IFERROR(__xludf.DUMMYFUNCTION("""COMPUTED_VALUE"""),"Waikato")</f>
        <v>Waikato</v>
      </c>
      <c r="C355" s="2">
        <f ca="1">IFERROR(__xludf.DUMMYFUNCTION("""COMPUTED_VALUE"""),21)</f>
        <v>21</v>
      </c>
      <c r="D355" s="9" t="str">
        <f ca="1">IFERROR(__xludf.DUMMYFUNCTION("""COMPUTED_VALUE"""),"")</f>
        <v/>
      </c>
      <c r="E355" s="4" t="str">
        <f ca="1">IFERROR(__xludf.DUMMYFUNCTION("""COMPUTED_VALUE"""),"")</f>
        <v/>
      </c>
      <c r="F355" s="2" t="str">
        <f ca="1">IFERROR(__xludf.DUMMYFUNCTION("""COMPUTED_VALUE"""),"")</f>
        <v/>
      </c>
      <c r="G355" s="2" t="str">
        <f ca="1">IFERROR(__xludf.DUMMYFUNCTION("""COMPUTED_VALUE"""),"GPS: I converted data downloaded from ARGOS using Pinpoint software")</f>
        <v>GPS: I converted data downloaded from ARGOS using Pinpoint software</v>
      </c>
      <c r="H355" s="2" t="str">
        <f ca="1">IFERROR(__xludf.DUMMYFUNCTION("""COMPUTED_VALUE"""),"3D")</f>
        <v>3D</v>
      </c>
      <c r="I355" s="2" t="str">
        <f ca="1">IFERROR(__xludf.DUMMYFUNCTION("""COMPUTED_VALUE"""),"")</f>
        <v/>
      </c>
      <c r="J355" s="2" t="str">
        <f ca="1">IFERROR(__xludf.DUMMYFUNCTION("""COMPUTED_VALUE"""),"")</f>
        <v/>
      </c>
      <c r="K355" s="2" t="str">
        <f ca="1">IFERROR(__xludf.DUMMYFUNCTION("""COMPUTED_VALUE"""),"")</f>
        <v/>
      </c>
      <c r="L355" s="2" t="str">
        <f ca="1">IFERROR(__xludf.DUMMYFUNCTION("""COMPUTED_VALUE"""),"")</f>
        <v/>
      </c>
      <c r="M355" s="5" t="str">
        <f ca="1">IFERROR(__xludf.DUMMYFUNCTION("""COMPUTED_VALUE"""),"")</f>
        <v/>
      </c>
      <c r="N355" s="5" t="str">
        <f ca="1">IFERROR(__xludf.DUMMYFUNCTION("""COMPUTED_VALUE"""),"")</f>
        <v/>
      </c>
      <c r="O355" s="2" t="str">
        <f ca="1">IFERROR(__xludf.DUMMYFUNCTION("""COMPUTED_VALUE"""),"")</f>
        <v/>
      </c>
      <c r="P355" s="2" t="str">
        <f ca="1">IFERROR(__xludf.DUMMYFUNCTION("""COMPUTED_VALUE"""),"")</f>
        <v/>
      </c>
      <c r="Q355" s="2" t="str">
        <f ca="1">IFERROR(__xludf.DUMMYFUNCTION("""COMPUTED_VALUE"""),"")</f>
        <v/>
      </c>
      <c r="R355" s="2" t="str">
        <f ca="1">IFERROR(__xludf.DUMMYFUNCTION("""COMPUTED_VALUE"""),"")</f>
        <v/>
      </c>
      <c r="S355" s="2" t="str">
        <f ca="1">IFERROR(__xludf.DUMMYFUNCTION("""COMPUTED_VALUE"""),"")</f>
        <v/>
      </c>
      <c r="T355" s="2" t="str">
        <f ca="1">IFERROR(__xludf.DUMMYFUNCTION("""COMPUTED_VALUE"""),"")</f>
        <v/>
      </c>
      <c r="U355" s="2" t="str">
        <f ca="1">IFERROR(__xludf.DUMMYFUNCTION("""COMPUTED_VALUE"""),"")</f>
        <v/>
      </c>
      <c r="V355" s="2" t="str">
        <f ca="1">IFERROR(__xludf.DUMMYFUNCTION("""COMPUTED_VALUE"""),"")</f>
        <v/>
      </c>
      <c r="W355" s="2" t="str">
        <f ca="1">IFERROR(__xludf.DUMMYFUNCTION("""COMPUTED_VALUE"""),"")</f>
        <v/>
      </c>
      <c r="X355" s="2" t="str">
        <f ca="1">IFERROR(__xludf.DUMMYFUNCTION("""COMPUTED_VALUE"""),"")</f>
        <v/>
      </c>
      <c r="Y355" s="2" t="str">
        <f ca="1">IFERROR(__xludf.DUMMYFUNCTION("""COMPUTED_VALUE"""),"")</f>
        <v/>
      </c>
      <c r="Z355" s="2" t="str">
        <f ca="1">IFERROR(__xludf.DUMMYFUNCTION("""COMPUTED_VALUE"""),"")</f>
        <v/>
      </c>
      <c r="AA355" s="2" t="str">
        <f ca="1">IFERROR(__xludf.DUMMYFUNCTION("""COMPUTED_VALUE"""),"")</f>
        <v/>
      </c>
      <c r="AB355" s="2" t="str">
        <f ca="1">IFERROR(__xludf.DUMMYFUNCTION("""COMPUTED_VALUE"""),"")</f>
        <v/>
      </c>
      <c r="AC355" s="2" t="str">
        <f ca="1">IFERROR(__xludf.DUMMYFUNCTION("""COMPUTED_VALUE"""),"")</f>
        <v/>
      </c>
      <c r="AD355" s="2" t="str">
        <f ca="1">IFERROR(__xludf.DUMMYFUNCTION("""COMPUTED_VALUE"""),"")</f>
        <v/>
      </c>
      <c r="AE355" s="2" t="str">
        <f ca="1">IFERROR(__xludf.DUMMYFUNCTION("""COMPUTED_VALUE"""),"")</f>
        <v/>
      </c>
      <c r="AF355" s="2" t="str">
        <f ca="1">IFERROR(__xludf.DUMMYFUNCTION("""COMPUTED_VALUE"""),"")</f>
        <v/>
      </c>
      <c r="AG355" s="2" t="str">
        <f ca="1">IFERROR(__xludf.DUMMYFUNCTION("""COMPUTED_VALUE"""),"")</f>
        <v/>
      </c>
      <c r="AH355" s="2" t="str">
        <f ca="1">IFERROR(__xludf.DUMMYFUNCTION("""COMPUTED_VALUE"""),"")</f>
        <v/>
      </c>
      <c r="AI355" s="2" t="str">
        <f ca="1">IFERROR(__xludf.DUMMYFUNCTION("""COMPUTED_VALUE"""),"")</f>
        <v/>
      </c>
      <c r="AJ355" s="2" t="str">
        <f ca="1">IFERROR(__xludf.DUMMYFUNCTION("""COMPUTED_VALUE"""),"")</f>
        <v/>
      </c>
      <c r="AK355" s="2" t="str">
        <f ca="1">IFERROR(__xludf.DUMMYFUNCTION("""COMPUTED_VALUE"""),"")</f>
        <v/>
      </c>
      <c r="AL355" s="2" t="str">
        <f ca="1">IFERROR(__xludf.DUMMYFUNCTION("""COMPUTED_VALUE"""),"")</f>
        <v/>
      </c>
      <c r="AM355" s="2" t="str">
        <f ca="1">IFERROR(__xludf.DUMMYFUNCTION("""COMPUTED_VALUE"""),"")</f>
        <v/>
      </c>
      <c r="AN355" s="2" t="str">
        <f ca="1">IFERROR(__xludf.DUMMYFUNCTION("""COMPUTED_VALUE"""),"")</f>
        <v/>
      </c>
      <c r="AO355" s="2" t="str">
        <f ca="1">IFERROR(__xludf.DUMMYFUNCTION("""COMPUTED_VALUE"""),"")</f>
        <v/>
      </c>
      <c r="AP355" s="2" t="str">
        <f ca="1">IFERROR(__xludf.DUMMYFUNCTION("""COMPUTED_VALUE"""),"")</f>
        <v/>
      </c>
      <c r="AQ355" s="2" t="str">
        <f ca="1">IFERROR(__xludf.DUMMYFUNCTION("""COMPUTED_VALUE"""),"")</f>
        <v/>
      </c>
      <c r="AR355" s="2" t="str">
        <f ca="1">IFERROR(__xludf.DUMMYFUNCTION("""COMPUTED_VALUE"""),"")</f>
        <v/>
      </c>
      <c r="AS355" s="2" t="str">
        <f ca="1">IFERROR(__xludf.DUMMYFUNCTION("""COMPUTED_VALUE"""),"")</f>
        <v/>
      </c>
      <c r="AT355" s="2" t="str">
        <f ca="1">IFERROR(__xludf.DUMMYFUNCTION("""COMPUTED_VALUE"""),"")</f>
        <v/>
      </c>
      <c r="AU355" s="2" t="str">
        <f ca="1">IFERROR(__xludf.DUMMYFUNCTION("""COMPUTED_VALUE"""),"")</f>
        <v/>
      </c>
      <c r="AV355" s="2" t="str">
        <f ca="1">IFERROR(__xludf.DUMMYFUNCTION("""COMPUTED_VALUE"""),"")</f>
        <v/>
      </c>
      <c r="AW355" s="2" t="str">
        <f ca="1">IFERROR(__xludf.DUMMYFUNCTION("""COMPUTED_VALUE"""),"")</f>
        <v/>
      </c>
      <c r="AX355" s="2" t="str">
        <f ca="1">IFERROR(__xludf.DUMMYFUNCTION("""COMPUTED_VALUE"""),"")</f>
        <v/>
      </c>
      <c r="AY355" s="2" t="str">
        <f ca="1">IFERROR(__xludf.DUMMYFUNCTION("""COMPUTED_VALUE"""),"")</f>
        <v/>
      </c>
      <c r="AZ355" s="2" t="str">
        <f ca="1">IFERROR(__xludf.DUMMYFUNCTION("""COMPUTED_VALUE"""),"")</f>
        <v/>
      </c>
      <c r="BA355" s="2" t="str">
        <f ca="1">IFERROR(__xludf.DUMMYFUNCTION("""COMPUTED_VALUE"""),"")</f>
        <v/>
      </c>
      <c r="BB355" s="2" t="str">
        <f ca="1">IFERROR(__xludf.DUMMYFUNCTION("""COMPUTED_VALUE"""),"")</f>
        <v/>
      </c>
      <c r="BC355" s="2" t="str">
        <f ca="1">IFERROR(__xludf.DUMMYFUNCTION("""COMPUTED_VALUE"""),"")</f>
        <v/>
      </c>
      <c r="BD355" s="2" t="str">
        <f ca="1">IFERROR(__xludf.DUMMYFUNCTION("""COMPUTED_VALUE"""),"")</f>
        <v/>
      </c>
      <c r="BE355" s="2" t="str">
        <f ca="1">IFERROR(__xludf.DUMMYFUNCTION("""COMPUTED_VALUE"""),"")</f>
        <v/>
      </c>
      <c r="BF355" t="str">
        <f ca="1">IFERROR(__xludf.DUMMYFUNCTION("""COMPUTED_VALUE"""),"")</f>
        <v/>
      </c>
      <c r="BG355" t="str">
        <f ca="1">IFERROR(__xludf.DUMMYFUNCTION("""COMPUTED_VALUE"""),"")</f>
        <v/>
      </c>
      <c r="BH355" s="2">
        <f ca="1">IFERROR(__xludf.DUMMYFUNCTION("""COMPUTED_VALUE"""),-36.4572296)</f>
        <v>-36.457229599999998</v>
      </c>
      <c r="BI355" s="12">
        <f ca="1">IFERROR(__xludf.DUMMYFUNCTION("""COMPUTED_VALUE"""),174.1763458)</f>
        <v>174.17634580000001</v>
      </c>
      <c r="BJ355" s="3">
        <f ca="1">IFERROR(__xludf.DUMMYFUNCTION("""COMPUTED_VALUE"""),43454)</f>
        <v>43454</v>
      </c>
      <c r="BK355" s="4">
        <f ca="1">IFERROR(__xludf.DUMMYFUNCTION("""COMPUTED_VALUE"""),0.457777777777664)</f>
        <v>0.45777777777766399</v>
      </c>
    </row>
    <row r="356" spans="1:63" ht="12.5" x14ac:dyDescent="0.25">
      <c r="A356" s="8"/>
      <c r="B356" s="8"/>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H356" s="2"/>
      <c r="BI356" s="13"/>
      <c r="BJ356" s="2"/>
      <c r="BK356" s="2"/>
    </row>
    <row r="357" spans="1:63" ht="12.5" x14ac:dyDescent="0.25">
      <c r="A357" s="8"/>
      <c r="B357" s="8"/>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H357" s="2"/>
      <c r="BI357" s="12"/>
      <c r="BJ357" s="2"/>
      <c r="BK357" s="2"/>
    </row>
    <row r="358" spans="1:63" ht="12.5" x14ac:dyDescent="0.25">
      <c r="A358" s="8"/>
      <c r="B358" s="8"/>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H358" s="2"/>
      <c r="BI358" s="13"/>
      <c r="BJ358" s="2"/>
      <c r="BK358" s="2"/>
    </row>
    <row r="359" spans="1:63" ht="12.5" x14ac:dyDescent="0.25">
      <c r="A359" s="8"/>
      <c r="B359" s="8"/>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H359" s="2"/>
      <c r="BI359" s="12"/>
      <c r="BJ359" s="2"/>
      <c r="BK359" s="2"/>
    </row>
    <row r="360" spans="1:63" ht="12.5" x14ac:dyDescent="0.25">
      <c r="A360" s="8"/>
      <c r="B360" s="8"/>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H360" s="2"/>
      <c r="BI360" s="13"/>
      <c r="BJ360" s="2"/>
      <c r="BK360" s="2"/>
    </row>
    <row r="361" spans="1:63" ht="12.5" x14ac:dyDescent="0.25">
      <c r="A361" s="8"/>
      <c r="B361" s="8"/>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H361" s="2"/>
      <c r="BI361" s="12"/>
      <c r="BJ361" s="2"/>
      <c r="BK361" s="2"/>
    </row>
    <row r="362" spans="1:63" ht="12.5" x14ac:dyDescent="0.25">
      <c r="A362" s="8"/>
      <c r="B362" s="8"/>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H362" s="2"/>
      <c r="BI362" s="13"/>
      <c r="BJ362" s="2"/>
      <c r="BK362" s="2"/>
    </row>
    <row r="363" spans="1:63" ht="12.5" x14ac:dyDescent="0.25">
      <c r="A363" s="8"/>
      <c r="B363" s="8"/>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H363" s="2"/>
      <c r="BI363" s="12"/>
      <c r="BJ363" s="2"/>
      <c r="BK363" s="2"/>
    </row>
    <row r="364" spans="1:63" ht="12.5" x14ac:dyDescent="0.25">
      <c r="A364" s="8"/>
      <c r="B364" s="8"/>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H364" s="2"/>
      <c r="BI364" s="13"/>
      <c r="BJ364" s="2"/>
      <c r="BK364" s="2"/>
    </row>
    <row r="365" spans="1:63" ht="12.5" x14ac:dyDescent="0.25">
      <c r="A365" s="8"/>
      <c r="B365" s="8"/>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H365" s="2"/>
      <c r="BI365" s="12"/>
      <c r="BJ365" s="2"/>
      <c r="BK365" s="2"/>
    </row>
    <row r="366" spans="1:63" ht="12.5" x14ac:dyDescent="0.25">
      <c r="A366" s="8"/>
      <c r="B366" s="8"/>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H366" s="2"/>
      <c r="BI366" s="13"/>
      <c r="BJ366" s="2"/>
      <c r="BK366" s="2"/>
    </row>
    <row r="367" spans="1:63" ht="12.5" x14ac:dyDescent="0.25">
      <c r="A367" s="8"/>
      <c r="B367" s="8"/>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H367" s="2"/>
      <c r="BI367" s="12"/>
      <c r="BJ367" s="2"/>
      <c r="BK367" s="2"/>
    </row>
    <row r="368" spans="1:63" ht="12.5" x14ac:dyDescent="0.25">
      <c r="A368" s="8"/>
      <c r="B368" s="8"/>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H368" s="2"/>
      <c r="BI368" s="13"/>
      <c r="BJ368" s="2"/>
      <c r="BK368" s="2"/>
    </row>
    <row r="369" spans="1:63" ht="12.5" x14ac:dyDescent="0.25">
      <c r="A369" s="8"/>
      <c r="B369" s="8"/>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H369" s="2"/>
      <c r="BI369" s="12"/>
      <c r="BJ369" s="2"/>
      <c r="BK369" s="2"/>
    </row>
    <row r="370" spans="1:63" ht="12.5" x14ac:dyDescent="0.25">
      <c r="A370" s="8"/>
      <c r="B370" s="8"/>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H370" s="2"/>
      <c r="BI370" s="13"/>
      <c r="BJ370" s="2"/>
      <c r="BK370" s="2"/>
    </row>
    <row r="371" spans="1:63" ht="12.5" x14ac:dyDescent="0.25">
      <c r="A371" s="8"/>
      <c r="B371" s="8"/>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H371" s="2"/>
      <c r="BI371" s="12"/>
      <c r="BJ371" s="2"/>
      <c r="BK371" s="2"/>
    </row>
    <row r="372" spans="1:63" ht="12.5" x14ac:dyDescent="0.25">
      <c r="A372" s="8"/>
      <c r="B372" s="8"/>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H372" s="2"/>
      <c r="BI372" s="13"/>
      <c r="BJ372" s="2"/>
      <c r="BK372" s="2"/>
    </row>
    <row r="373" spans="1:63" ht="12.5" x14ac:dyDescent="0.25">
      <c r="A373" s="8"/>
      <c r="B373" s="8"/>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H373" s="2"/>
      <c r="BI373" s="12"/>
      <c r="BJ373" s="2"/>
      <c r="BK373" s="2"/>
    </row>
    <row r="374" spans="1:63" ht="12.5" x14ac:dyDescent="0.25">
      <c r="A374" s="8"/>
      <c r="B374" s="8"/>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H374" s="2"/>
      <c r="BI374" s="13"/>
      <c r="BJ374" s="2"/>
      <c r="BK374" s="2"/>
    </row>
    <row r="375" spans="1:63" ht="12.5" x14ac:dyDescent="0.25">
      <c r="A375" s="8"/>
      <c r="B375" s="8"/>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H375" s="2"/>
      <c r="BI375" s="12"/>
      <c r="BJ375" s="2"/>
      <c r="BK375" s="2"/>
    </row>
    <row r="376" spans="1:63" ht="12.5" x14ac:dyDescent="0.25">
      <c r="A376" s="8"/>
      <c r="B376" s="8"/>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H376" s="2"/>
      <c r="BI376" s="13"/>
      <c r="BJ376" s="2"/>
      <c r="BK376" s="2"/>
    </row>
    <row r="377" spans="1:63" ht="12.5" x14ac:dyDescent="0.25">
      <c r="A377" s="8"/>
      <c r="B377" s="8"/>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H377" s="2"/>
      <c r="BI377" s="12"/>
      <c r="BJ377" s="2"/>
      <c r="BK377" s="2"/>
    </row>
    <row r="378" spans="1:63" ht="12.5" x14ac:dyDescent="0.25">
      <c r="A378" s="8"/>
      <c r="B378" s="8"/>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H378" s="2"/>
      <c r="BI378" s="13"/>
      <c r="BJ378" s="2"/>
      <c r="BK378" s="2"/>
    </row>
    <row r="379" spans="1:63" ht="12.5" x14ac:dyDescent="0.25">
      <c r="A379" s="8"/>
      <c r="B379" s="8"/>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H379" s="2"/>
      <c r="BI379" s="12"/>
      <c r="BJ379" s="2"/>
      <c r="BK379" s="2"/>
    </row>
    <row r="380" spans="1:63" ht="12.5" x14ac:dyDescent="0.25">
      <c r="A380" s="8"/>
      <c r="B380" s="8"/>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H380" s="2"/>
      <c r="BI380" s="13"/>
      <c r="BJ380" s="2"/>
      <c r="BK380" s="2"/>
    </row>
    <row r="381" spans="1:63" ht="12.5" x14ac:dyDescent="0.25">
      <c r="A381" s="8"/>
      <c r="B381" s="8"/>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H381" s="2"/>
      <c r="BI381" s="12"/>
      <c r="BJ381" s="2"/>
      <c r="BK381" s="2"/>
    </row>
    <row r="382" spans="1:63" ht="12.5" x14ac:dyDescent="0.25">
      <c r="A382" s="8"/>
      <c r="B382" s="8"/>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H382" s="2"/>
      <c r="BI382" s="13"/>
      <c r="BJ382" s="2"/>
      <c r="BK382" s="2"/>
    </row>
    <row r="383" spans="1:63" ht="12.5" x14ac:dyDescent="0.25">
      <c r="A383" s="8"/>
      <c r="B383" s="8"/>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H383" s="2"/>
      <c r="BI383" s="12"/>
      <c r="BJ383" s="2"/>
      <c r="BK383" s="2"/>
    </row>
    <row r="384" spans="1:63" ht="12.5" x14ac:dyDescent="0.25">
      <c r="A384" s="8"/>
      <c r="B384" s="8"/>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H384" s="2"/>
      <c r="BI384" s="13"/>
      <c r="BJ384" s="2"/>
      <c r="BK384" s="2"/>
    </row>
    <row r="385" spans="1:63" ht="12.5" x14ac:dyDescent="0.25">
      <c r="A385" s="8"/>
      <c r="B385" s="8"/>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H385" s="2"/>
      <c r="BI385" s="12"/>
      <c r="BJ385" s="2"/>
      <c r="BK385" s="2"/>
    </row>
    <row r="386" spans="1:63" ht="12.5" x14ac:dyDescent="0.25">
      <c r="A386" s="8"/>
      <c r="B386" s="8"/>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H386" s="2"/>
      <c r="BI386" s="13"/>
      <c r="BJ386" s="2"/>
      <c r="BK386" s="2"/>
    </row>
    <row r="387" spans="1:63" ht="12.5" x14ac:dyDescent="0.25">
      <c r="A387" s="8"/>
      <c r="B387" s="8"/>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H387" s="2"/>
      <c r="BI387" s="12"/>
      <c r="BJ387" s="2"/>
      <c r="BK387" s="2"/>
    </row>
    <row r="388" spans="1:63" ht="12.5" x14ac:dyDescent="0.25">
      <c r="A388" s="8"/>
      <c r="B388" s="8"/>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H388" s="2"/>
      <c r="BI388" s="13"/>
      <c r="BJ388" s="2"/>
      <c r="BK388" s="2"/>
    </row>
    <row r="389" spans="1:63" ht="12.5" x14ac:dyDescent="0.25">
      <c r="A389" s="8"/>
      <c r="B389" s="8"/>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H389" s="2"/>
      <c r="BI389" s="12"/>
      <c r="BJ389" s="2"/>
      <c r="BK389" s="2"/>
    </row>
    <row r="390" spans="1:63" ht="12.5" x14ac:dyDescent="0.25">
      <c r="A390" s="8"/>
      <c r="B390" s="8"/>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H390" s="2"/>
      <c r="BI390" s="13"/>
      <c r="BJ390" s="2"/>
      <c r="BK390" s="2"/>
    </row>
    <row r="391" spans="1:63" ht="12.5" x14ac:dyDescent="0.25">
      <c r="A391" s="8"/>
      <c r="B391" s="8"/>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H391" s="2"/>
      <c r="BI391" s="12"/>
      <c r="BJ391" s="2"/>
      <c r="BK391" s="2"/>
    </row>
    <row r="392" spans="1:63" ht="12.5" x14ac:dyDescent="0.25">
      <c r="A392" s="8"/>
      <c r="B392" s="8"/>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H392" s="2"/>
      <c r="BI392" s="13"/>
      <c r="BJ392" s="2"/>
      <c r="BK392" s="2"/>
    </row>
    <row r="393" spans="1:63" ht="12.5" x14ac:dyDescent="0.25">
      <c r="A393" s="8"/>
      <c r="B393" s="8"/>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H393" s="2"/>
      <c r="BI393" s="12"/>
      <c r="BJ393" s="2"/>
      <c r="BK393" s="2"/>
    </row>
    <row r="394" spans="1:63" ht="12.5" x14ac:dyDescent="0.25">
      <c r="A394" s="8"/>
      <c r="B394" s="8"/>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H394" s="2"/>
      <c r="BI394" s="13"/>
      <c r="BJ394" s="2"/>
      <c r="BK394" s="2"/>
    </row>
    <row r="395" spans="1:63" ht="12.5" x14ac:dyDescent="0.25">
      <c r="A395" s="8"/>
      <c r="B395" s="8"/>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H395" s="2"/>
      <c r="BI395" s="12"/>
      <c r="BJ395" s="2"/>
      <c r="BK395" s="2"/>
    </row>
    <row r="396" spans="1:63" ht="12.5" x14ac:dyDescent="0.25">
      <c r="A396" s="8"/>
      <c r="B396" s="8"/>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H396" s="2"/>
      <c r="BI396" s="13"/>
      <c r="BJ396" s="2"/>
      <c r="BK396" s="2"/>
    </row>
    <row r="397" spans="1:63" ht="12.5" x14ac:dyDescent="0.25">
      <c r="A397" s="8"/>
      <c r="B397" s="8"/>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H397" s="2"/>
      <c r="BI397" s="12"/>
      <c r="BJ397" s="2"/>
      <c r="BK397" s="2"/>
    </row>
    <row r="398" spans="1:63" ht="12.5" x14ac:dyDescent="0.25">
      <c r="A398" s="8"/>
      <c r="B398" s="8"/>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H398" s="2"/>
      <c r="BI398" s="13"/>
      <c r="BJ398" s="2"/>
      <c r="BK398" s="2"/>
    </row>
    <row r="399" spans="1:63" ht="12.5" x14ac:dyDescent="0.25">
      <c r="A399" s="8"/>
      <c r="B399" s="8"/>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H399" s="2"/>
      <c r="BI399" s="12"/>
      <c r="BJ399" s="2"/>
      <c r="BK399" s="2"/>
    </row>
    <row r="400" spans="1:63" ht="12.5" x14ac:dyDescent="0.25">
      <c r="A400" s="8"/>
      <c r="B400" s="8"/>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H400" s="2"/>
      <c r="BI400" s="13"/>
      <c r="BJ400" s="2"/>
      <c r="BK400" s="2"/>
    </row>
    <row r="401" spans="1:63" ht="12.5" x14ac:dyDescent="0.25">
      <c r="A401" s="8"/>
      <c r="B401" s="8"/>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H401" s="2"/>
      <c r="BI401" s="12"/>
      <c r="BJ401" s="2"/>
      <c r="BK401" s="2"/>
    </row>
    <row r="402" spans="1:63" ht="12.5" x14ac:dyDescent="0.25">
      <c r="A402" s="8"/>
      <c r="B402" s="8"/>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H402" s="2"/>
      <c r="BI402" s="13"/>
      <c r="BJ402" s="2"/>
      <c r="BK402" s="2"/>
    </row>
    <row r="403" spans="1:63" ht="12.5" x14ac:dyDescent="0.25">
      <c r="A403" s="8"/>
      <c r="B403" s="8"/>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H403" s="2"/>
      <c r="BI403" s="12"/>
      <c r="BJ403" s="2"/>
      <c r="BK403" s="2"/>
    </row>
    <row r="404" spans="1:63" ht="12.5" x14ac:dyDescent="0.25">
      <c r="A404" s="8"/>
      <c r="B404" s="8"/>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H404" s="2"/>
      <c r="BI404" s="13"/>
      <c r="BJ404" s="2"/>
      <c r="BK404" s="2"/>
    </row>
    <row r="405" spans="1:63" ht="12.5" x14ac:dyDescent="0.25">
      <c r="A405" s="8"/>
      <c r="B405" s="8"/>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H405" s="2"/>
      <c r="BI405" s="12"/>
      <c r="BJ405" s="2"/>
      <c r="BK405" s="2"/>
    </row>
    <row r="406" spans="1:63" ht="12.5" x14ac:dyDescent="0.25">
      <c r="A406" s="8"/>
      <c r="B406" s="8"/>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H406" s="2"/>
      <c r="BI406" s="13"/>
      <c r="BJ406" s="2"/>
      <c r="BK406" s="2"/>
    </row>
    <row r="407" spans="1:63" ht="12.5" x14ac:dyDescent="0.25">
      <c r="A407" s="8"/>
      <c r="B407" s="8"/>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H407" s="2"/>
      <c r="BI407" s="12"/>
      <c r="BJ407" s="2"/>
      <c r="BK407" s="2"/>
    </row>
    <row r="408" spans="1:63" ht="12.5" x14ac:dyDescent="0.25">
      <c r="A408" s="8"/>
      <c r="B408" s="8"/>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H408" s="2"/>
      <c r="BI408" s="13"/>
      <c r="BJ408" s="2"/>
      <c r="BK408" s="2"/>
    </row>
    <row r="409" spans="1:63" ht="12.5" x14ac:dyDescent="0.25">
      <c r="A409" s="8"/>
      <c r="B409" s="8"/>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H409" s="2"/>
      <c r="BI409" s="12"/>
      <c r="BJ409" s="2"/>
      <c r="BK409" s="2"/>
    </row>
    <row r="410" spans="1:63" ht="12.5" x14ac:dyDescent="0.25">
      <c r="A410" s="8"/>
      <c r="B410" s="8"/>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H410" s="2"/>
      <c r="BI410" s="13"/>
      <c r="BJ410" s="2"/>
      <c r="BK410" s="2"/>
    </row>
    <row r="411" spans="1:63" ht="12.5" x14ac:dyDescent="0.25">
      <c r="A411" s="8"/>
      <c r="B411" s="8"/>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H411" s="2"/>
      <c r="BI411" s="12"/>
      <c r="BJ411" s="2"/>
      <c r="BK411" s="2"/>
    </row>
    <row r="412" spans="1:63" ht="12.5" x14ac:dyDescent="0.25">
      <c r="A412" s="8"/>
      <c r="B412" s="8"/>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H412" s="2"/>
      <c r="BI412" s="13"/>
      <c r="BJ412" s="2"/>
      <c r="BK412" s="2"/>
    </row>
    <row r="413" spans="1:63" ht="12.5" x14ac:dyDescent="0.25">
      <c r="A413" s="8"/>
      <c r="B413" s="8"/>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H413" s="2"/>
      <c r="BI413" s="12"/>
      <c r="BJ413" s="2"/>
      <c r="BK413" s="2"/>
    </row>
    <row r="414" spans="1:63" ht="12.5" x14ac:dyDescent="0.25">
      <c r="A414" s="8"/>
      <c r="B414" s="8"/>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H414" s="2"/>
      <c r="BI414" s="13"/>
      <c r="BJ414" s="2"/>
      <c r="BK414" s="2"/>
    </row>
    <row r="415" spans="1:63" ht="12.5" x14ac:dyDescent="0.25">
      <c r="A415" s="8"/>
      <c r="B415" s="8"/>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H415" s="2"/>
      <c r="BI415" s="12"/>
      <c r="BJ415" s="2"/>
      <c r="BK415" s="2"/>
    </row>
    <row r="416" spans="1:63" ht="12.5" x14ac:dyDescent="0.25">
      <c r="A416" s="8"/>
      <c r="B416" s="8"/>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H416" s="2"/>
      <c r="BI416" s="13"/>
      <c r="BJ416" s="2"/>
      <c r="BK416" s="2"/>
    </row>
    <row r="417" spans="1:63" ht="12.5" x14ac:dyDescent="0.25">
      <c r="A417" s="8"/>
      <c r="B417" s="8"/>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H417" s="2"/>
      <c r="BI417" s="12"/>
      <c r="BJ417" s="2"/>
      <c r="BK417" s="2"/>
    </row>
    <row r="418" spans="1:63" ht="12.5" x14ac:dyDescent="0.25">
      <c r="A418" s="8"/>
      <c r="B418" s="8"/>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H418" s="2"/>
      <c r="BI418" s="13"/>
      <c r="BJ418" s="2"/>
      <c r="BK418" s="2"/>
    </row>
    <row r="419" spans="1:63" ht="12.5" x14ac:dyDescent="0.25">
      <c r="A419" s="8"/>
      <c r="B419" s="8"/>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H419" s="2"/>
      <c r="BI419" s="12"/>
      <c r="BJ419" s="2"/>
      <c r="BK419" s="2"/>
    </row>
    <row r="420" spans="1:63" ht="12.5" x14ac:dyDescent="0.25">
      <c r="A420" s="8"/>
      <c r="B420" s="8"/>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H420" s="2"/>
      <c r="BI420" s="13"/>
      <c r="BJ420" s="2"/>
      <c r="BK420" s="2"/>
    </row>
    <row r="421" spans="1:63" ht="12.5" x14ac:dyDescent="0.25">
      <c r="A421" s="8"/>
      <c r="B421" s="8"/>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H421" s="2"/>
      <c r="BI421" s="12"/>
      <c r="BJ421" s="2"/>
      <c r="BK421" s="2"/>
    </row>
    <row r="422" spans="1:63" ht="12.5" x14ac:dyDescent="0.25">
      <c r="A422" s="8"/>
      <c r="B422" s="8"/>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H422" s="2"/>
      <c r="BI422" s="13"/>
      <c r="BJ422" s="2"/>
      <c r="BK422" s="2"/>
    </row>
    <row r="423" spans="1:63" ht="12.5" x14ac:dyDescent="0.25">
      <c r="A423" s="8"/>
      <c r="B423" s="8"/>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H423" s="2"/>
      <c r="BI423" s="12"/>
      <c r="BJ423" s="2"/>
      <c r="BK423" s="2"/>
    </row>
    <row r="424" spans="1:63" ht="12.5" x14ac:dyDescent="0.25">
      <c r="A424" s="8"/>
      <c r="B424" s="8"/>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H424" s="2"/>
      <c r="BI424" s="13"/>
      <c r="BJ424" s="2"/>
      <c r="BK424" s="2"/>
    </row>
    <row r="425" spans="1:63" ht="12.5" x14ac:dyDescent="0.25">
      <c r="A425" s="8"/>
      <c r="B425" s="8"/>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H425" s="2"/>
      <c r="BI425" s="12"/>
      <c r="BJ425" s="2"/>
      <c r="BK425" s="2"/>
    </row>
    <row r="426" spans="1:63" ht="12.5" x14ac:dyDescent="0.25">
      <c r="A426" s="8"/>
      <c r="B426" s="8"/>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H426" s="2"/>
      <c r="BI426" s="13"/>
      <c r="BJ426" s="2"/>
      <c r="BK426" s="2"/>
    </row>
    <row r="427" spans="1:63" ht="12.5" x14ac:dyDescent="0.25">
      <c r="A427" s="8"/>
      <c r="B427" s="8"/>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H427" s="2"/>
      <c r="BI427" s="12"/>
      <c r="BJ427" s="2"/>
      <c r="BK427" s="2"/>
    </row>
    <row r="428" spans="1:63" ht="12.5" x14ac:dyDescent="0.25">
      <c r="A428" s="8"/>
      <c r="B428" s="8"/>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H428" s="2"/>
      <c r="BI428" s="13"/>
      <c r="BJ428" s="2"/>
      <c r="BK428" s="2"/>
    </row>
    <row r="429" spans="1:63" ht="12.5" x14ac:dyDescent="0.25">
      <c r="A429" s="8"/>
      <c r="B429" s="8"/>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H429" s="2"/>
      <c r="BI429" s="12"/>
      <c r="BJ429" s="2"/>
      <c r="BK429" s="2"/>
    </row>
    <row r="430" spans="1:63" ht="12.5" x14ac:dyDescent="0.25">
      <c r="A430" s="8"/>
      <c r="B430" s="8"/>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H430" s="2"/>
      <c r="BI430" s="13"/>
      <c r="BJ430" s="2"/>
      <c r="BK430" s="2"/>
    </row>
    <row r="431" spans="1:63" ht="12.5" x14ac:dyDescent="0.25">
      <c r="A431" s="8"/>
      <c r="B431" s="8"/>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H431" s="2"/>
      <c r="BI431" s="12"/>
      <c r="BJ431" s="2"/>
      <c r="BK431" s="2"/>
    </row>
    <row r="432" spans="1:63" ht="12.5" x14ac:dyDescent="0.25">
      <c r="A432" s="8"/>
      <c r="B432" s="8"/>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H432" s="2"/>
      <c r="BI432" s="13"/>
      <c r="BJ432" s="2"/>
      <c r="BK432" s="2"/>
    </row>
    <row r="433" spans="1:63" ht="12.5" x14ac:dyDescent="0.25">
      <c r="A433" s="8"/>
      <c r="B433" s="8"/>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H433" s="2"/>
      <c r="BI433" s="12"/>
      <c r="BJ433" s="2"/>
      <c r="BK433" s="2"/>
    </row>
    <row r="434" spans="1:63" ht="12.5" x14ac:dyDescent="0.25">
      <c r="A434" s="8"/>
      <c r="B434" s="8"/>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H434" s="2"/>
      <c r="BI434" s="13"/>
      <c r="BJ434" s="2"/>
      <c r="BK434" s="2"/>
    </row>
    <row r="435" spans="1:63" ht="12.5" x14ac:dyDescent="0.25">
      <c r="A435" s="8"/>
      <c r="B435" s="8"/>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H435" s="2"/>
      <c r="BI435" s="12"/>
      <c r="BJ435" s="2"/>
      <c r="BK435" s="2"/>
    </row>
    <row r="436" spans="1:63" ht="12.5" x14ac:dyDescent="0.25">
      <c r="A436" s="8"/>
      <c r="B436" s="8"/>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H436" s="2"/>
      <c r="BI436" s="13"/>
      <c r="BJ436" s="2"/>
      <c r="BK436" s="2"/>
    </row>
    <row r="437" spans="1:63" ht="12.5" x14ac:dyDescent="0.25">
      <c r="A437" s="8"/>
      <c r="B437" s="8"/>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H437" s="2"/>
      <c r="BI437" s="12"/>
      <c r="BJ437" s="2"/>
      <c r="BK437" s="2"/>
    </row>
    <row r="438" spans="1:63" ht="12.5" x14ac:dyDescent="0.25">
      <c r="A438" s="8"/>
      <c r="B438" s="8"/>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H438" s="2"/>
      <c r="BI438" s="13"/>
      <c r="BJ438" s="2"/>
      <c r="BK438" s="2"/>
    </row>
    <row r="439" spans="1:63" ht="12.5" x14ac:dyDescent="0.25">
      <c r="A439" s="8"/>
      <c r="B439" s="8"/>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H439" s="2"/>
      <c r="BI439" s="12"/>
      <c r="BJ439" s="2"/>
      <c r="BK439" s="2"/>
    </row>
    <row r="440" spans="1:63" ht="12.5" x14ac:dyDescent="0.25">
      <c r="A440" s="8"/>
      <c r="B440" s="8"/>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H440" s="2"/>
      <c r="BI440" s="13"/>
      <c r="BJ440" s="2"/>
      <c r="BK440" s="2"/>
    </row>
    <row r="441" spans="1:63" ht="12.5" x14ac:dyDescent="0.25">
      <c r="A441" s="8"/>
      <c r="B441" s="8"/>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H441" s="2"/>
      <c r="BI441" s="12"/>
      <c r="BJ441" s="2"/>
      <c r="BK441" s="2"/>
    </row>
    <row r="442" spans="1:63" ht="12.5" x14ac:dyDescent="0.25">
      <c r="A442" s="8"/>
      <c r="B442" s="8"/>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H442" s="2"/>
      <c r="BI442" s="13"/>
      <c r="BJ442" s="2"/>
      <c r="BK442" s="2"/>
    </row>
    <row r="443" spans="1:63" ht="12.5" x14ac:dyDescent="0.25">
      <c r="A443" s="8"/>
      <c r="B443" s="8"/>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H443" s="2"/>
      <c r="BI443" s="12"/>
      <c r="BJ443" s="2"/>
      <c r="BK443" s="2"/>
    </row>
    <row r="444" spans="1:63" ht="12.5" x14ac:dyDescent="0.25">
      <c r="A444" s="8"/>
      <c r="B444" s="8"/>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H444" s="2"/>
      <c r="BI444" s="13"/>
      <c r="BJ444" s="2"/>
      <c r="BK444" s="2"/>
    </row>
    <row r="445" spans="1:63" ht="12.5" x14ac:dyDescent="0.25">
      <c r="A445" s="8"/>
      <c r="B445" s="8"/>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H445" s="2"/>
      <c r="BI445" s="12"/>
      <c r="BJ445" s="2"/>
      <c r="BK445" s="2"/>
    </row>
    <row r="446" spans="1:63" ht="12.5" x14ac:dyDescent="0.25">
      <c r="A446" s="8"/>
      <c r="B446" s="8"/>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H446" s="2"/>
      <c r="BI446" s="13"/>
      <c r="BJ446" s="2"/>
      <c r="BK446" s="2"/>
    </row>
    <row r="447" spans="1:63" ht="12.5" x14ac:dyDescent="0.25">
      <c r="A447" s="8"/>
      <c r="B447" s="8"/>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H447" s="2"/>
      <c r="BI447" s="12"/>
      <c r="BJ447" s="2"/>
      <c r="BK447" s="2"/>
    </row>
    <row r="448" spans="1:63" ht="12.5" x14ac:dyDescent="0.25">
      <c r="A448" s="8"/>
      <c r="B448" s="8"/>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H448" s="2"/>
      <c r="BI448" s="13"/>
      <c r="BJ448" s="2"/>
      <c r="BK448" s="2"/>
    </row>
    <row r="449" spans="1:63" ht="12.5" x14ac:dyDescent="0.25">
      <c r="A449" s="8"/>
      <c r="B449" s="8"/>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H449" s="2"/>
      <c r="BI449" s="12"/>
      <c r="BJ449" s="2"/>
      <c r="BK449" s="2"/>
    </row>
    <row r="450" spans="1:63" ht="12.5" x14ac:dyDescent="0.25">
      <c r="A450" s="8"/>
      <c r="B450" s="8"/>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H450" s="2"/>
      <c r="BI450" s="13"/>
      <c r="BJ450" s="2"/>
      <c r="BK450" s="2"/>
    </row>
    <row r="451" spans="1:63" ht="12.5" x14ac:dyDescent="0.25">
      <c r="A451" s="8"/>
      <c r="B451" s="8"/>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H451" s="2"/>
      <c r="BI451" s="12"/>
      <c r="BJ451" s="2"/>
      <c r="BK451" s="2"/>
    </row>
    <row r="452" spans="1:63" ht="12.5" x14ac:dyDescent="0.25">
      <c r="A452" s="8"/>
      <c r="B452" s="8"/>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H452" s="2"/>
      <c r="BI452" s="13"/>
      <c r="BJ452" s="2"/>
      <c r="BK452" s="2"/>
    </row>
    <row r="453" spans="1:63" ht="12.5" x14ac:dyDescent="0.25">
      <c r="A453" s="8"/>
      <c r="B453" s="8"/>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H453" s="2"/>
      <c r="BI453" s="12"/>
      <c r="BJ453" s="2"/>
      <c r="BK453" s="2"/>
    </row>
    <row r="454" spans="1:63" ht="12.5" x14ac:dyDescent="0.25">
      <c r="A454" s="8"/>
      <c r="B454" s="8"/>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H454" s="2"/>
      <c r="BI454" s="13"/>
      <c r="BJ454" s="2"/>
      <c r="BK454" s="2"/>
    </row>
    <row r="455" spans="1:63" ht="12.5" x14ac:dyDescent="0.25">
      <c r="A455" s="8"/>
      <c r="B455" s="8"/>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H455" s="2"/>
      <c r="BI455" s="12"/>
      <c r="BJ455" s="2"/>
      <c r="BK455" s="2"/>
    </row>
    <row r="456" spans="1:63" ht="12.5" x14ac:dyDescent="0.25">
      <c r="A456" s="8"/>
      <c r="B456" s="8"/>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H456" s="2"/>
      <c r="BI456" s="13"/>
      <c r="BJ456" s="2"/>
      <c r="BK456" s="2"/>
    </row>
    <row r="457" spans="1:63" ht="12.5" x14ac:dyDescent="0.25">
      <c r="A457" s="8"/>
      <c r="B457" s="8"/>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H457" s="2"/>
      <c r="BI457" s="12"/>
      <c r="BJ457" s="2"/>
      <c r="BK457" s="2"/>
    </row>
    <row r="458" spans="1:63" ht="12.5" x14ac:dyDescent="0.25">
      <c r="A458" s="8"/>
      <c r="B458" s="8"/>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H458" s="2"/>
      <c r="BI458" s="13"/>
      <c r="BJ458" s="2"/>
      <c r="BK458" s="2"/>
    </row>
    <row r="459" spans="1:63" ht="12.5" x14ac:dyDescent="0.25">
      <c r="A459" s="8"/>
      <c r="B459" s="8"/>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H459" s="2"/>
      <c r="BI459" s="12"/>
      <c r="BJ459" s="2"/>
      <c r="BK459" s="2"/>
    </row>
    <row r="460" spans="1:63" ht="12.5" x14ac:dyDescent="0.25">
      <c r="A460" s="8"/>
      <c r="B460" s="8"/>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H460" s="2"/>
      <c r="BI460" s="13"/>
      <c r="BJ460" s="2"/>
      <c r="BK460" s="2"/>
    </row>
    <row r="461" spans="1:63" ht="12.5" x14ac:dyDescent="0.25">
      <c r="A461" s="8"/>
      <c r="B461" s="8"/>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H461" s="2"/>
      <c r="BI461" s="12"/>
      <c r="BJ461" s="2"/>
      <c r="BK461" s="2"/>
    </row>
    <row r="462" spans="1:63" ht="12.5" x14ac:dyDescent="0.25">
      <c r="A462" s="8"/>
      <c r="B462" s="8"/>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H462" s="2"/>
      <c r="BI462" s="13"/>
      <c r="BJ462" s="2"/>
      <c r="BK462" s="2"/>
    </row>
    <row r="463" spans="1:63" ht="12.5" x14ac:dyDescent="0.25">
      <c r="A463" s="8"/>
      <c r="B463" s="8"/>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H463" s="2"/>
      <c r="BI463" s="12"/>
      <c r="BJ463" s="2"/>
      <c r="BK463" s="2"/>
    </row>
    <row r="464" spans="1:63" ht="12.5" x14ac:dyDescent="0.25">
      <c r="A464" s="8"/>
      <c r="B464" s="8"/>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H464" s="2"/>
      <c r="BI464" s="13"/>
      <c r="BJ464" s="2"/>
      <c r="BK464" s="2"/>
    </row>
    <row r="465" spans="1:63" ht="12.5" x14ac:dyDescent="0.25">
      <c r="A465" s="8"/>
      <c r="B465" s="8"/>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H465" s="2"/>
      <c r="BI465" s="12"/>
      <c r="BJ465" s="2"/>
      <c r="BK465" s="2"/>
    </row>
    <row r="466" spans="1:63" ht="12.5" x14ac:dyDescent="0.25">
      <c r="A466" s="8"/>
      <c r="B466" s="8"/>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H466" s="2"/>
      <c r="BI466" s="13"/>
      <c r="BJ466" s="2"/>
      <c r="BK466" s="2"/>
    </row>
    <row r="467" spans="1:63" ht="12.5" x14ac:dyDescent="0.25">
      <c r="A467" s="8"/>
      <c r="B467" s="8"/>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H467" s="2"/>
      <c r="BI467" s="12"/>
      <c r="BJ467" s="2"/>
      <c r="BK467" s="2"/>
    </row>
    <row r="468" spans="1:63" ht="12.5" x14ac:dyDescent="0.25">
      <c r="A468" s="8"/>
      <c r="B468" s="8"/>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H468" s="2"/>
      <c r="BI468" s="13"/>
      <c r="BJ468" s="2"/>
      <c r="BK468" s="2"/>
    </row>
    <row r="469" spans="1:63" ht="12.5" x14ac:dyDescent="0.25">
      <c r="A469" s="8"/>
      <c r="B469" s="8"/>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H469" s="2"/>
      <c r="BI469" s="12"/>
      <c r="BJ469" s="2"/>
      <c r="BK469" s="2"/>
    </row>
    <row r="470" spans="1:63" ht="12.5" x14ac:dyDescent="0.25">
      <c r="A470" s="8"/>
      <c r="B470" s="8"/>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H470" s="2"/>
      <c r="BI470" s="13"/>
      <c r="BJ470" s="2"/>
      <c r="BK470" s="2"/>
    </row>
    <row r="471" spans="1:63" ht="12.5" x14ac:dyDescent="0.25">
      <c r="A471" s="8"/>
      <c r="B471" s="8"/>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H471" s="2"/>
      <c r="BI471" s="12"/>
      <c r="BJ471" s="2"/>
      <c r="BK471" s="2"/>
    </row>
    <row r="472" spans="1:63" ht="12.5" x14ac:dyDescent="0.25">
      <c r="A472" s="8"/>
      <c r="B472" s="8"/>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H472" s="2"/>
      <c r="BI472" s="13"/>
      <c r="BJ472" s="2"/>
      <c r="BK472" s="2"/>
    </row>
    <row r="473" spans="1:63" ht="12.5" x14ac:dyDescent="0.25">
      <c r="A473" s="8"/>
      <c r="B473" s="8"/>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H473" s="2"/>
      <c r="BI473" s="12"/>
      <c r="BJ473" s="2"/>
      <c r="BK473" s="2"/>
    </row>
    <row r="474" spans="1:63" ht="12.5" x14ac:dyDescent="0.25">
      <c r="A474" s="8"/>
      <c r="B474" s="8"/>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H474" s="2"/>
      <c r="BI474" s="13"/>
      <c r="BJ474" s="2"/>
      <c r="BK474" s="2"/>
    </row>
    <row r="475" spans="1:63" ht="12.5" x14ac:dyDescent="0.25">
      <c r="A475" s="8"/>
      <c r="B475" s="8"/>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H475" s="2"/>
      <c r="BI475" s="12"/>
      <c r="BJ475" s="2"/>
      <c r="BK475" s="2"/>
    </row>
    <row r="476" spans="1:63" ht="12.5" x14ac:dyDescent="0.25">
      <c r="A476" s="8"/>
      <c r="B476" s="8"/>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H476" s="2"/>
      <c r="BI476" s="13"/>
      <c r="BJ476" s="2"/>
      <c r="BK476" s="2"/>
    </row>
    <row r="477" spans="1:63" ht="12.5" x14ac:dyDescent="0.25">
      <c r="A477" s="8"/>
      <c r="B477" s="8"/>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H477" s="2"/>
      <c r="BI477" s="12"/>
      <c r="BJ477" s="2"/>
      <c r="BK477" s="2"/>
    </row>
    <row r="478" spans="1:63" ht="12.5" x14ac:dyDescent="0.25">
      <c r="A478" s="8"/>
      <c r="B478" s="8"/>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H478" s="2"/>
      <c r="BI478" s="13"/>
      <c r="BJ478" s="2"/>
      <c r="BK478" s="2"/>
    </row>
    <row r="479" spans="1:63" ht="12.5" x14ac:dyDescent="0.25">
      <c r="A479" s="8"/>
      <c r="B479" s="8"/>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H479" s="2"/>
      <c r="BI479" s="12"/>
      <c r="BJ479" s="2"/>
      <c r="BK479" s="2"/>
    </row>
    <row r="480" spans="1:63" ht="12.5" x14ac:dyDescent="0.25">
      <c r="A480" s="8"/>
      <c r="B480" s="8"/>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H480" s="2"/>
      <c r="BI480" s="13"/>
      <c r="BJ480" s="2"/>
      <c r="BK480" s="2"/>
    </row>
    <row r="481" spans="1:63" ht="12.5" x14ac:dyDescent="0.25">
      <c r="A481" s="8"/>
      <c r="B481" s="8"/>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H481" s="2"/>
      <c r="BI481" s="12"/>
      <c r="BJ481" s="2"/>
      <c r="BK481" s="2"/>
    </row>
    <row r="482" spans="1:63" ht="12.5" x14ac:dyDescent="0.25">
      <c r="A482" s="8"/>
      <c r="B482" s="8"/>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H482" s="2"/>
      <c r="BI482" s="13"/>
      <c r="BJ482" s="2"/>
      <c r="BK482" s="2"/>
    </row>
    <row r="483" spans="1:63" ht="12.5" x14ac:dyDescent="0.25">
      <c r="A483" s="8"/>
      <c r="B483" s="8"/>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H483" s="2"/>
      <c r="BI483" s="12"/>
      <c r="BJ483" s="2"/>
      <c r="BK483" s="2"/>
    </row>
    <row r="484" spans="1:63" ht="12.5" x14ac:dyDescent="0.25">
      <c r="A484" s="8"/>
      <c r="B484" s="8"/>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H484" s="2"/>
      <c r="BI484" s="13"/>
      <c r="BJ484" s="2"/>
      <c r="BK484" s="2"/>
    </row>
    <row r="485" spans="1:63" ht="12.5" x14ac:dyDescent="0.25">
      <c r="A485" s="8"/>
      <c r="B485" s="8"/>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H485" s="2"/>
      <c r="BI485" s="12"/>
      <c r="BJ485" s="2"/>
      <c r="BK485" s="2"/>
    </row>
    <row r="486" spans="1:63" ht="12.5" x14ac:dyDescent="0.25">
      <c r="A486" s="8"/>
      <c r="B486" s="8"/>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H486" s="2"/>
      <c r="BI486" s="13"/>
      <c r="BJ486" s="2"/>
      <c r="BK486" s="2"/>
    </row>
    <row r="487" spans="1:63" ht="12.5" x14ac:dyDescent="0.25">
      <c r="A487" s="8"/>
      <c r="B487" s="8"/>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H487" s="2"/>
      <c r="BI487" s="12"/>
      <c r="BJ487" s="2"/>
      <c r="BK487" s="2"/>
    </row>
    <row r="488" spans="1:63" ht="12.5" x14ac:dyDescent="0.25">
      <c r="A488" s="8"/>
      <c r="B488" s="8"/>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H488" s="2"/>
      <c r="BI488" s="13"/>
      <c r="BJ488" s="2"/>
      <c r="BK488" s="2"/>
    </row>
    <row r="489" spans="1:63" ht="12.5" x14ac:dyDescent="0.25">
      <c r="A489" s="8"/>
      <c r="B489" s="8"/>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H489" s="2"/>
      <c r="BI489" s="12"/>
      <c r="BJ489" s="2"/>
      <c r="BK489" s="2"/>
    </row>
    <row r="490" spans="1:63" ht="12.5" x14ac:dyDescent="0.25">
      <c r="A490" s="8"/>
      <c r="B490" s="8"/>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H490" s="2"/>
      <c r="BI490" s="13"/>
      <c r="BJ490" s="2"/>
      <c r="BK490" s="2"/>
    </row>
    <row r="491" spans="1:63" ht="12.5" x14ac:dyDescent="0.25">
      <c r="A491" s="8"/>
      <c r="B491" s="8"/>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H491" s="2"/>
      <c r="BI491" s="12"/>
      <c r="BJ491" s="2"/>
      <c r="BK491" s="2"/>
    </row>
    <row r="492" spans="1:63" ht="12.5" x14ac:dyDescent="0.25">
      <c r="A492" s="8"/>
      <c r="B492" s="8"/>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H492" s="2"/>
      <c r="BI492" s="13"/>
      <c r="BJ492" s="2"/>
      <c r="BK492" s="2"/>
    </row>
    <row r="493" spans="1:63" ht="12.5" x14ac:dyDescent="0.25">
      <c r="A493" s="8"/>
      <c r="B493" s="8"/>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H493" s="2"/>
      <c r="BI493" s="12"/>
      <c r="BJ493" s="2"/>
      <c r="BK493" s="2"/>
    </row>
    <row r="494" spans="1:63" ht="12.5" x14ac:dyDescent="0.25">
      <c r="A494" s="8"/>
      <c r="B494" s="8"/>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H494" s="2"/>
      <c r="BI494" s="13"/>
      <c r="BJ494" s="2"/>
      <c r="BK494" s="2"/>
    </row>
    <row r="495" spans="1:63" ht="12.5" x14ac:dyDescent="0.25">
      <c r="A495" s="8"/>
      <c r="B495" s="8"/>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H495" s="2"/>
      <c r="BI495" s="12"/>
      <c r="BJ495" s="2"/>
      <c r="BK495" s="2"/>
    </row>
    <row r="496" spans="1:63" ht="12.5" x14ac:dyDescent="0.25">
      <c r="A496" s="8"/>
      <c r="B496" s="8"/>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H496" s="2"/>
      <c r="BI496" s="13"/>
      <c r="BJ496" s="2"/>
      <c r="BK496" s="2"/>
    </row>
    <row r="497" spans="1:63" ht="12.5" x14ac:dyDescent="0.25">
      <c r="A497" s="8"/>
      <c r="B497" s="8"/>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H497" s="2"/>
      <c r="BI497" s="12"/>
      <c r="BJ497" s="2"/>
      <c r="BK497" s="2"/>
    </row>
    <row r="498" spans="1:63" ht="12.5" x14ac:dyDescent="0.25">
      <c r="A498" s="8"/>
      <c r="B498" s="8"/>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H498" s="2"/>
      <c r="BI498" s="13"/>
      <c r="BJ498" s="2"/>
      <c r="BK498" s="2"/>
    </row>
    <row r="499" spans="1:63" ht="12.5" x14ac:dyDescent="0.25">
      <c r="A499" s="8"/>
      <c r="B499" s="8"/>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H499" s="2"/>
      <c r="BI499" s="12"/>
      <c r="BJ499" s="2"/>
      <c r="BK499" s="2"/>
    </row>
    <row r="500" spans="1:63" ht="12.5" x14ac:dyDescent="0.25">
      <c r="A500" s="8"/>
      <c r="B500" s="8"/>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H500" s="2"/>
      <c r="BI500" s="13"/>
      <c r="BJ500" s="2"/>
      <c r="BK500" s="2"/>
    </row>
    <row r="501" spans="1:63" ht="12.5" x14ac:dyDescent="0.25">
      <c r="A501" s="8"/>
      <c r="B501" s="8"/>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H501" s="2"/>
      <c r="BI501" s="12"/>
      <c r="BJ501" s="2"/>
      <c r="BK501" s="2"/>
    </row>
    <row r="502" spans="1:63" ht="12.5" x14ac:dyDescent="0.25">
      <c r="A502" s="8"/>
      <c r="B502" s="8"/>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H502" s="2"/>
      <c r="BI502" s="13"/>
      <c r="BJ502" s="2"/>
      <c r="BK502" s="2"/>
    </row>
    <row r="503" spans="1:63" ht="12.5" x14ac:dyDescent="0.25">
      <c r="A503" s="8"/>
      <c r="B503" s="8"/>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H503" s="2"/>
      <c r="BI503" s="12"/>
      <c r="BJ503" s="2"/>
      <c r="BK503" s="2"/>
    </row>
    <row r="504" spans="1:63" ht="12.5" x14ac:dyDescent="0.25">
      <c r="A504" s="8"/>
      <c r="B504" s="8"/>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H504" s="2"/>
      <c r="BI504" s="13"/>
      <c r="BJ504" s="2"/>
      <c r="BK504" s="2"/>
    </row>
    <row r="505" spans="1:63" ht="12.5" x14ac:dyDescent="0.25">
      <c r="A505" s="8"/>
      <c r="B505" s="8"/>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H505" s="2"/>
      <c r="BI505" s="12"/>
      <c r="BJ505" s="2"/>
      <c r="BK505" s="2"/>
    </row>
    <row r="506" spans="1:63" ht="12.5" x14ac:dyDescent="0.25">
      <c r="A506" s="8"/>
      <c r="B506" s="8"/>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H506" s="2"/>
      <c r="BI506" s="13"/>
      <c r="BJ506" s="2"/>
      <c r="BK506" s="2"/>
    </row>
    <row r="507" spans="1:63" ht="12.5" x14ac:dyDescent="0.25">
      <c r="A507" s="8"/>
      <c r="B507" s="8"/>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H507" s="2"/>
      <c r="BI507" s="12"/>
      <c r="BJ507" s="2"/>
      <c r="BK507" s="2"/>
    </row>
    <row r="508" spans="1:63" ht="12.5" x14ac:dyDescent="0.25">
      <c r="A508" s="8"/>
      <c r="B508" s="8"/>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H508" s="2"/>
      <c r="BI508" s="13"/>
      <c r="BJ508" s="2"/>
      <c r="BK508" s="2"/>
    </row>
    <row r="509" spans="1:63" ht="12.5" x14ac:dyDescent="0.25">
      <c r="A509" s="8"/>
      <c r="B509" s="8"/>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H509" s="2"/>
      <c r="BI509" s="12"/>
      <c r="BJ509" s="2"/>
      <c r="BK509" s="2"/>
    </row>
    <row r="510" spans="1:63" ht="12.5" x14ac:dyDescent="0.25">
      <c r="A510" s="8"/>
      <c r="B510" s="8"/>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H510" s="2"/>
      <c r="BI510" s="13"/>
      <c r="BJ510" s="2"/>
      <c r="BK510" s="2"/>
    </row>
    <row r="511" spans="1:63" ht="12.5" x14ac:dyDescent="0.25">
      <c r="A511" s="8"/>
      <c r="B511" s="8"/>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H511" s="2"/>
      <c r="BI511" s="12"/>
      <c r="BJ511" s="2"/>
      <c r="BK511" s="2"/>
    </row>
    <row r="512" spans="1:63" ht="12.5" x14ac:dyDescent="0.25">
      <c r="A512" s="8"/>
      <c r="B512" s="8"/>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H512" s="2"/>
      <c r="BI512" s="13"/>
      <c r="BJ512" s="2"/>
      <c r="BK512" s="2"/>
    </row>
    <row r="513" spans="1:63" ht="12.5" x14ac:dyDescent="0.25">
      <c r="A513" s="8"/>
      <c r="B513" s="8"/>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H513" s="2"/>
      <c r="BI513" s="12"/>
      <c r="BJ513" s="2"/>
      <c r="BK513" s="2"/>
    </row>
    <row r="514" spans="1:63" ht="12.5" x14ac:dyDescent="0.25">
      <c r="A514" s="8"/>
      <c r="B514" s="8"/>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H514" s="2"/>
      <c r="BI514" s="13"/>
      <c r="BJ514" s="2"/>
      <c r="BK514" s="2"/>
    </row>
    <row r="515" spans="1:63" ht="12.5" x14ac:dyDescent="0.25">
      <c r="A515" s="8"/>
      <c r="B515" s="8"/>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H515" s="2"/>
      <c r="BI515" s="12"/>
      <c r="BJ515" s="2"/>
      <c r="BK515" s="2"/>
    </row>
    <row r="516" spans="1:63" ht="12.5" x14ac:dyDescent="0.25">
      <c r="A516" s="8"/>
      <c r="B516" s="8"/>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H516" s="2"/>
      <c r="BI516" s="13"/>
      <c r="BJ516" s="2"/>
      <c r="BK516" s="2"/>
    </row>
    <row r="517" spans="1:63" ht="12.5" x14ac:dyDescent="0.25">
      <c r="A517" s="8"/>
      <c r="B517" s="8"/>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H517" s="2"/>
      <c r="BI517" s="12"/>
      <c r="BJ517" s="2"/>
      <c r="BK517" s="2"/>
    </row>
    <row r="518" spans="1:63" ht="12.5" x14ac:dyDescent="0.25">
      <c r="A518" s="8"/>
      <c r="B518" s="8"/>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H518" s="2"/>
      <c r="BI518" s="13"/>
      <c r="BJ518" s="2"/>
      <c r="BK518" s="2"/>
    </row>
    <row r="519" spans="1:63" ht="12.5" x14ac:dyDescent="0.25">
      <c r="A519" s="8"/>
      <c r="B519" s="8"/>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H519" s="2"/>
      <c r="BI519" s="12"/>
      <c r="BJ519" s="2"/>
      <c r="BK519" s="2"/>
    </row>
    <row r="520" spans="1:63" ht="12.5" x14ac:dyDescent="0.25">
      <c r="A520" s="8"/>
      <c r="B520" s="8"/>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H520" s="2"/>
      <c r="BI520" s="13"/>
      <c r="BJ520" s="2"/>
      <c r="BK520" s="2"/>
    </row>
    <row r="521" spans="1:63" ht="12.5" x14ac:dyDescent="0.25">
      <c r="A521" s="8"/>
      <c r="B521" s="8"/>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H521" s="2"/>
      <c r="BI521" s="12"/>
      <c r="BJ521" s="2"/>
      <c r="BK521" s="2"/>
    </row>
    <row r="522" spans="1:63" ht="12.5" x14ac:dyDescent="0.25">
      <c r="A522" s="8"/>
      <c r="B522" s="8"/>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H522" s="2"/>
      <c r="BI522" s="13"/>
      <c r="BJ522" s="2"/>
      <c r="BK522" s="2"/>
    </row>
    <row r="523" spans="1:63" ht="12.5" x14ac:dyDescent="0.25">
      <c r="A523" s="8"/>
      <c r="B523" s="8"/>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H523" s="2"/>
      <c r="BI523" s="12"/>
      <c r="BJ523" s="2"/>
      <c r="BK523" s="2"/>
    </row>
    <row r="524" spans="1:63" ht="12.5" x14ac:dyDescent="0.25">
      <c r="A524" s="8"/>
      <c r="B524" s="8"/>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H524" s="2"/>
      <c r="BI524" s="13"/>
      <c r="BJ524" s="2"/>
      <c r="BK524" s="2"/>
    </row>
    <row r="525" spans="1:63" ht="12.5" x14ac:dyDescent="0.25">
      <c r="A525" s="8"/>
      <c r="B525" s="8"/>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H525" s="2"/>
      <c r="BI525" s="12"/>
      <c r="BJ525" s="2"/>
      <c r="BK525" s="2"/>
    </row>
    <row r="526" spans="1:63" ht="12.5" x14ac:dyDescent="0.25">
      <c r="A526" s="8"/>
      <c r="B526" s="8"/>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H526" s="2"/>
      <c r="BI526" s="13"/>
      <c r="BJ526" s="2"/>
      <c r="BK526" s="2"/>
    </row>
    <row r="527" spans="1:63" ht="12.5" x14ac:dyDescent="0.25">
      <c r="A527" s="8"/>
      <c r="B527" s="8"/>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H527" s="2"/>
      <c r="BI527" s="12"/>
      <c r="BJ527" s="2"/>
      <c r="BK527" s="2"/>
    </row>
    <row r="528" spans="1:63" ht="12.5" x14ac:dyDescent="0.25">
      <c r="A528" s="8"/>
      <c r="B528" s="8"/>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H528" s="2"/>
      <c r="BI528" s="13"/>
      <c r="BJ528" s="2"/>
      <c r="BK528" s="2"/>
    </row>
    <row r="529" spans="1:63" ht="12.5" x14ac:dyDescent="0.25">
      <c r="A529" s="8"/>
      <c r="B529" s="8"/>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H529" s="2"/>
      <c r="BI529" s="12"/>
      <c r="BJ529" s="2"/>
      <c r="BK529" s="2"/>
    </row>
    <row r="530" spans="1:63" ht="12.5" x14ac:dyDescent="0.25">
      <c r="A530" s="8"/>
      <c r="B530" s="8"/>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H530" s="2"/>
      <c r="BI530" s="13"/>
      <c r="BJ530" s="2"/>
      <c r="BK530" s="2"/>
    </row>
    <row r="531" spans="1:63" ht="12.5" x14ac:dyDescent="0.25">
      <c r="A531" s="8"/>
      <c r="B531" s="8"/>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H531" s="2"/>
      <c r="BI531" s="12"/>
      <c r="BJ531" s="2"/>
      <c r="BK531" s="2"/>
    </row>
    <row r="532" spans="1:63" ht="12.5" x14ac:dyDescent="0.25">
      <c r="A532" s="8"/>
      <c r="B532" s="8"/>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H532" s="2"/>
      <c r="BI532" s="13"/>
      <c r="BJ532" s="2"/>
      <c r="BK532" s="2"/>
    </row>
    <row r="533" spans="1:63" ht="12.5" x14ac:dyDescent="0.25">
      <c r="A533" s="8"/>
      <c r="B533" s="8"/>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H533" s="2"/>
      <c r="BI533" s="12"/>
      <c r="BJ533" s="2"/>
      <c r="BK533" s="2"/>
    </row>
    <row r="534" spans="1:63" ht="12.5" x14ac:dyDescent="0.25">
      <c r="A534" s="8"/>
      <c r="B534" s="8"/>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H534" s="2"/>
      <c r="BI534" s="13"/>
      <c r="BJ534" s="2"/>
      <c r="BK534" s="2"/>
    </row>
    <row r="535" spans="1:63" ht="12.5" x14ac:dyDescent="0.25">
      <c r="A535" s="8"/>
      <c r="B535" s="8"/>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H535" s="2"/>
      <c r="BI535" s="12"/>
      <c r="BJ535" s="2"/>
      <c r="BK535" s="2"/>
    </row>
    <row r="536" spans="1:63" ht="12.5" x14ac:dyDescent="0.25">
      <c r="A536" s="8"/>
      <c r="B536" s="8"/>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H536" s="2"/>
      <c r="BI536" s="13"/>
      <c r="BJ536" s="2"/>
      <c r="BK536" s="2"/>
    </row>
    <row r="537" spans="1:63" ht="12.5" x14ac:dyDescent="0.25">
      <c r="A537" s="8"/>
      <c r="B537" s="8"/>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H537" s="2"/>
      <c r="BI537" s="12"/>
      <c r="BJ537" s="2"/>
      <c r="BK537" s="2"/>
    </row>
    <row r="538" spans="1:63" ht="12.5" x14ac:dyDescent="0.25">
      <c r="A538" s="8"/>
      <c r="B538" s="8"/>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H538" s="2"/>
      <c r="BI538" s="13"/>
      <c r="BJ538" s="2"/>
      <c r="BK538" s="2"/>
    </row>
    <row r="539" spans="1:63" ht="12.5" x14ac:dyDescent="0.25">
      <c r="A539" s="8"/>
      <c r="B539" s="8"/>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H539" s="2"/>
      <c r="BI539" s="12"/>
      <c r="BJ539" s="2"/>
      <c r="BK539" s="2"/>
    </row>
    <row r="540" spans="1:63" ht="12.5" x14ac:dyDescent="0.25">
      <c r="A540" s="8"/>
      <c r="B540" s="8"/>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H540" s="2"/>
      <c r="BI540" s="13"/>
      <c r="BJ540" s="2"/>
      <c r="BK540" s="2"/>
    </row>
    <row r="541" spans="1:63" ht="12.5" x14ac:dyDescent="0.25">
      <c r="A541" s="8"/>
      <c r="B541" s="8"/>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H541" s="2"/>
      <c r="BI541" s="12"/>
      <c r="BJ541" s="2"/>
      <c r="BK541" s="2"/>
    </row>
    <row r="542" spans="1:63" ht="12.5" x14ac:dyDescent="0.25">
      <c r="A542" s="8"/>
      <c r="B542" s="8"/>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H542" s="2"/>
      <c r="BI542" s="13"/>
      <c r="BJ542" s="2"/>
      <c r="BK542" s="2"/>
    </row>
    <row r="543" spans="1:63" ht="12.5" x14ac:dyDescent="0.25">
      <c r="A543" s="8"/>
      <c r="B543" s="8"/>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H543" s="2"/>
      <c r="BI543" s="12"/>
      <c r="BJ543" s="2"/>
      <c r="BK543" s="2"/>
    </row>
    <row r="544" spans="1:63" ht="12.5" x14ac:dyDescent="0.25">
      <c r="A544" s="8"/>
      <c r="B544" s="8"/>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H544" s="2"/>
      <c r="BI544" s="13"/>
      <c r="BJ544" s="2"/>
      <c r="BK544" s="2"/>
    </row>
    <row r="545" spans="1:63" ht="12.5" x14ac:dyDescent="0.25">
      <c r="A545" s="8"/>
      <c r="B545" s="8"/>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H545" s="2"/>
      <c r="BI545" s="12"/>
      <c r="BJ545" s="2"/>
      <c r="BK545" s="2"/>
    </row>
    <row r="546" spans="1:63" ht="12.5" x14ac:dyDescent="0.25">
      <c r="A546" s="8"/>
      <c r="B546" s="8"/>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H546" s="2"/>
      <c r="BI546" s="13"/>
      <c r="BJ546" s="2"/>
      <c r="BK546" s="2"/>
    </row>
    <row r="547" spans="1:63" ht="12.5" x14ac:dyDescent="0.25">
      <c r="A547" s="8"/>
      <c r="B547" s="8"/>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H547" s="2"/>
      <c r="BI547" s="12"/>
      <c r="BJ547" s="2"/>
      <c r="BK547" s="2"/>
    </row>
    <row r="548" spans="1:63" ht="12.5" x14ac:dyDescent="0.25">
      <c r="A548" s="8"/>
      <c r="B548" s="8"/>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H548" s="2"/>
      <c r="BI548" s="13"/>
      <c r="BJ548" s="2"/>
      <c r="BK548" s="2"/>
    </row>
    <row r="549" spans="1:63" ht="12.5" x14ac:dyDescent="0.25">
      <c r="A549" s="8"/>
      <c r="B549" s="8"/>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H549" s="2"/>
      <c r="BI549" s="12"/>
      <c r="BJ549" s="2"/>
      <c r="BK549" s="2"/>
    </row>
    <row r="550" spans="1:63" ht="12.5" x14ac:dyDescent="0.25">
      <c r="A550" s="8"/>
      <c r="B550" s="8"/>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H550" s="2"/>
      <c r="BI550" s="13"/>
      <c r="BJ550" s="2"/>
      <c r="BK550" s="2"/>
    </row>
    <row r="551" spans="1:63" ht="12.5" x14ac:dyDescent="0.25">
      <c r="A551" s="8"/>
      <c r="B551" s="8"/>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H551" s="2"/>
      <c r="BI551" s="12"/>
      <c r="BJ551" s="2"/>
      <c r="BK551" s="2"/>
    </row>
    <row r="552" spans="1:63" ht="12.5" x14ac:dyDescent="0.25">
      <c r="A552" s="8"/>
      <c r="B552" s="8"/>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H552" s="2"/>
      <c r="BI552" s="13"/>
      <c r="BJ552" s="2"/>
      <c r="BK552" s="2"/>
    </row>
    <row r="553" spans="1:63" ht="12.5" x14ac:dyDescent="0.25">
      <c r="A553" s="8"/>
      <c r="B553" s="8"/>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H553" s="2"/>
      <c r="BI553" s="12"/>
      <c r="BJ553" s="2"/>
      <c r="BK553" s="2"/>
    </row>
    <row r="554" spans="1:63" ht="12.5" x14ac:dyDescent="0.25">
      <c r="A554" s="8"/>
      <c r="B554" s="8"/>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H554" s="2"/>
      <c r="BI554" s="13"/>
      <c r="BJ554" s="2"/>
      <c r="BK554" s="2"/>
    </row>
    <row r="555" spans="1:63" ht="12.5" x14ac:dyDescent="0.25">
      <c r="A555" s="8"/>
      <c r="B555" s="8"/>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H555" s="2"/>
      <c r="BI555" s="12"/>
      <c r="BJ555" s="2"/>
      <c r="BK555" s="2"/>
    </row>
    <row r="556" spans="1:63" ht="12.5" x14ac:dyDescent="0.25">
      <c r="A556" s="8"/>
      <c r="B556" s="8"/>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H556" s="2"/>
      <c r="BI556" s="13"/>
      <c r="BJ556" s="2"/>
      <c r="BK556" s="2"/>
    </row>
    <row r="557" spans="1:63" ht="12.5" x14ac:dyDescent="0.25">
      <c r="A557" s="8"/>
      <c r="B557" s="8"/>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H557" s="2"/>
      <c r="BI557" s="12"/>
      <c r="BJ557" s="2"/>
      <c r="BK557" s="2"/>
    </row>
    <row r="558" spans="1:63" ht="12.5" x14ac:dyDescent="0.25">
      <c r="A558" s="8"/>
      <c r="B558" s="8"/>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H558" s="2"/>
      <c r="BI558" s="13"/>
      <c r="BJ558" s="2"/>
      <c r="BK558" s="2"/>
    </row>
    <row r="559" spans="1:63" ht="12.5" x14ac:dyDescent="0.25">
      <c r="A559" s="8"/>
      <c r="B559" s="8"/>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H559" s="2"/>
      <c r="BI559" s="12"/>
      <c r="BJ559" s="2"/>
      <c r="BK559" s="2"/>
    </row>
    <row r="560" spans="1:63" ht="12.5" x14ac:dyDescent="0.25">
      <c r="A560" s="8"/>
      <c r="B560" s="8"/>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H560" s="2"/>
      <c r="BI560" s="13"/>
      <c r="BJ560" s="2"/>
      <c r="BK560" s="2"/>
    </row>
    <row r="561" spans="1:63" ht="12.5" x14ac:dyDescent="0.25">
      <c r="A561" s="8"/>
      <c r="B561" s="8"/>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H561" s="2"/>
      <c r="BI561" s="12"/>
      <c r="BJ561" s="2"/>
      <c r="BK561" s="2"/>
    </row>
    <row r="562" spans="1:63" ht="12.5" x14ac:dyDescent="0.25">
      <c r="A562" s="8"/>
      <c r="B562" s="8"/>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H562" s="2"/>
      <c r="BI562" s="13"/>
      <c r="BJ562" s="2"/>
      <c r="BK562" s="2"/>
    </row>
    <row r="563" spans="1:63" ht="12.5" x14ac:dyDescent="0.25">
      <c r="A563" s="8"/>
      <c r="B563" s="8"/>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H563" s="2"/>
      <c r="BI563" s="12"/>
      <c r="BJ563" s="2"/>
      <c r="BK563" s="2"/>
    </row>
    <row r="564" spans="1:63" ht="12.5" x14ac:dyDescent="0.25">
      <c r="A564" s="8"/>
      <c r="B564" s="8"/>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H564" s="2"/>
      <c r="BI564" s="13"/>
      <c r="BJ564" s="2"/>
      <c r="BK564" s="2"/>
    </row>
    <row r="565" spans="1:63" ht="12.5" x14ac:dyDescent="0.25">
      <c r="A565" s="8"/>
      <c r="B565" s="8"/>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H565" s="2"/>
      <c r="BI565" s="12"/>
      <c r="BJ565" s="2"/>
      <c r="BK565" s="2"/>
    </row>
    <row r="566" spans="1:63" ht="12.5" x14ac:dyDescent="0.25">
      <c r="A566" s="8"/>
      <c r="B566" s="8"/>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H566" s="2"/>
      <c r="BI566" s="13"/>
      <c r="BJ566" s="2"/>
      <c r="BK566" s="2"/>
    </row>
    <row r="567" spans="1:63" ht="12.5" x14ac:dyDescent="0.25">
      <c r="A567" s="8"/>
      <c r="B567" s="8"/>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H567" s="2"/>
      <c r="BI567" s="12"/>
      <c r="BJ567" s="2"/>
      <c r="BK567" s="2"/>
    </row>
    <row r="568" spans="1:63" ht="12.5" x14ac:dyDescent="0.25">
      <c r="A568" s="8"/>
      <c r="B568" s="8"/>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H568" s="2"/>
      <c r="BI568" s="13"/>
      <c r="BJ568" s="2"/>
      <c r="BK568" s="2"/>
    </row>
    <row r="569" spans="1:63" ht="12.5" x14ac:dyDescent="0.25">
      <c r="A569" s="8"/>
      <c r="B569" s="8"/>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H569" s="2"/>
      <c r="BI569" s="12"/>
      <c r="BJ569" s="2"/>
      <c r="BK569" s="2"/>
    </row>
    <row r="570" spans="1:63" ht="12.5" x14ac:dyDescent="0.25">
      <c r="A570" s="8"/>
      <c r="B570" s="8"/>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H570" s="2"/>
      <c r="BI570" s="13"/>
      <c r="BJ570" s="2"/>
      <c r="BK570" s="2"/>
    </row>
    <row r="571" spans="1:63" ht="12.5" x14ac:dyDescent="0.25">
      <c r="A571" s="8"/>
      <c r="B571" s="8"/>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H571" s="2"/>
      <c r="BI571" s="12"/>
      <c r="BJ571" s="2"/>
      <c r="BK571" s="2"/>
    </row>
    <row r="572" spans="1:63" ht="12.5" x14ac:dyDescent="0.25">
      <c r="A572" s="8"/>
      <c r="B572" s="8"/>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H572" s="2"/>
      <c r="BI572" s="13"/>
      <c r="BJ572" s="2"/>
      <c r="BK572" s="2"/>
    </row>
    <row r="573" spans="1:63" ht="12.5" x14ac:dyDescent="0.25">
      <c r="A573" s="8"/>
      <c r="B573" s="8"/>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H573" s="2"/>
      <c r="BI573" s="12"/>
      <c r="BJ573" s="2"/>
      <c r="BK573" s="2"/>
    </row>
    <row r="574" spans="1:63" ht="12.5" x14ac:dyDescent="0.25">
      <c r="A574" s="8"/>
      <c r="B574" s="8"/>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H574" s="2"/>
      <c r="BI574" s="13"/>
      <c r="BJ574" s="2"/>
      <c r="BK574" s="2"/>
    </row>
    <row r="575" spans="1:63" ht="12.5" x14ac:dyDescent="0.25">
      <c r="A575" s="8"/>
      <c r="B575" s="8"/>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H575" s="2"/>
      <c r="BI575" s="12"/>
      <c r="BJ575" s="2"/>
      <c r="BK575" s="2"/>
    </row>
    <row r="576" spans="1:63" ht="12.5" x14ac:dyDescent="0.25">
      <c r="A576" s="8"/>
      <c r="B576" s="8"/>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H576" s="2"/>
      <c r="BI576" s="13"/>
      <c r="BJ576" s="2"/>
      <c r="BK576" s="2"/>
    </row>
    <row r="577" spans="1:63" ht="12.5" x14ac:dyDescent="0.25">
      <c r="A577" s="8"/>
      <c r="B577" s="8"/>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H577" s="2"/>
      <c r="BI577" s="12"/>
      <c r="BJ577" s="2"/>
      <c r="BK577" s="2"/>
    </row>
    <row r="578" spans="1:63" ht="12.5" x14ac:dyDescent="0.25">
      <c r="A578" s="8"/>
      <c r="B578" s="8"/>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H578" s="2"/>
      <c r="BI578" s="13"/>
      <c r="BJ578" s="2"/>
      <c r="BK578" s="2"/>
    </row>
    <row r="579" spans="1:63" ht="12.5" x14ac:dyDescent="0.25">
      <c r="A579" s="8"/>
      <c r="B579" s="8"/>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H579" s="2"/>
      <c r="BI579" s="12"/>
      <c r="BJ579" s="2"/>
      <c r="BK579" s="2"/>
    </row>
    <row r="580" spans="1:63" ht="12.5" x14ac:dyDescent="0.25">
      <c r="A580" s="8"/>
      <c r="B580" s="8"/>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H580" s="2"/>
      <c r="BI580" s="13"/>
      <c r="BJ580" s="2"/>
      <c r="BK580" s="2"/>
    </row>
    <row r="581" spans="1:63" ht="12.5" x14ac:dyDescent="0.25">
      <c r="A581" s="8"/>
      <c r="B581" s="8"/>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H581" s="2"/>
      <c r="BI581" s="12"/>
      <c r="BJ581" s="2"/>
      <c r="BK581" s="2"/>
    </row>
    <row r="582" spans="1:63" ht="12.5" x14ac:dyDescent="0.25">
      <c r="A582" s="8"/>
      <c r="B582" s="8"/>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H582" s="2"/>
      <c r="BI582" s="13"/>
      <c r="BJ582" s="2"/>
      <c r="BK582" s="2"/>
    </row>
    <row r="583" spans="1:63" ht="12.5" x14ac:dyDescent="0.25">
      <c r="A583" s="8"/>
      <c r="B583" s="8"/>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H583" s="2"/>
      <c r="BI583" s="12"/>
      <c r="BJ583" s="2"/>
      <c r="BK583" s="2"/>
    </row>
    <row r="584" spans="1:63" ht="12.5" x14ac:dyDescent="0.25">
      <c r="A584" s="8"/>
      <c r="B584" s="8"/>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H584" s="2"/>
      <c r="BI584" s="13"/>
      <c r="BJ584" s="2"/>
      <c r="BK584" s="2"/>
    </row>
    <row r="585" spans="1:63" ht="12.5" x14ac:dyDescent="0.25">
      <c r="A585" s="8"/>
      <c r="B585" s="8"/>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H585" s="2"/>
      <c r="BI585" s="12"/>
      <c r="BJ585" s="2"/>
      <c r="BK585" s="2"/>
    </row>
    <row r="586" spans="1:63" ht="12.5" x14ac:dyDescent="0.25">
      <c r="A586" s="8"/>
      <c r="B586" s="8"/>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H586" s="2"/>
      <c r="BI586" s="13"/>
      <c r="BJ586" s="2"/>
      <c r="BK586" s="2"/>
    </row>
    <row r="587" spans="1:63" ht="12.5" x14ac:dyDescent="0.25">
      <c r="A587" s="8"/>
      <c r="B587" s="8"/>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H587" s="2"/>
      <c r="BI587" s="12"/>
      <c r="BJ587" s="2"/>
      <c r="BK587" s="2"/>
    </row>
    <row r="588" spans="1:63" ht="12.5" x14ac:dyDescent="0.25">
      <c r="A588" s="8"/>
      <c r="B588" s="8"/>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H588" s="2"/>
      <c r="BI588" s="13"/>
      <c r="BJ588" s="2"/>
      <c r="BK588" s="2"/>
    </row>
    <row r="589" spans="1:63" ht="12.5" x14ac:dyDescent="0.25">
      <c r="A589" s="8"/>
      <c r="B589" s="8"/>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H589" s="2"/>
      <c r="BI589" s="12"/>
      <c r="BJ589" s="2"/>
      <c r="BK589" s="2"/>
    </row>
    <row r="590" spans="1:63" ht="12.5" x14ac:dyDescent="0.25">
      <c r="A590" s="8"/>
      <c r="B590" s="8"/>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H590" s="2"/>
      <c r="BI590" s="13"/>
      <c r="BJ590" s="2"/>
      <c r="BK590" s="2"/>
    </row>
    <row r="591" spans="1:63" ht="12.5" x14ac:dyDescent="0.25">
      <c r="A591" s="8"/>
      <c r="B591" s="8"/>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H591" s="2"/>
      <c r="BI591" s="12"/>
      <c r="BJ591" s="2"/>
      <c r="BK591" s="2"/>
    </row>
    <row r="592" spans="1:63" ht="12.5" x14ac:dyDescent="0.25">
      <c r="A592" s="8"/>
      <c r="B592" s="8"/>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H592" s="2"/>
      <c r="BI592" s="13"/>
      <c r="BJ592" s="2"/>
      <c r="BK592" s="2"/>
    </row>
    <row r="593" spans="1:63" ht="12.5" x14ac:dyDescent="0.25">
      <c r="A593" s="8"/>
      <c r="B593" s="8"/>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H593" s="2"/>
      <c r="BI593" s="12"/>
      <c r="BJ593" s="2"/>
      <c r="BK593" s="2"/>
    </row>
    <row r="594" spans="1:63" ht="12.5" x14ac:dyDescent="0.25">
      <c r="A594" s="8"/>
      <c r="B594" s="8"/>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H594" s="2"/>
      <c r="BI594" s="13"/>
      <c r="BJ594" s="2"/>
      <c r="BK594" s="2"/>
    </row>
    <row r="595" spans="1:63" ht="12.5" x14ac:dyDescent="0.25">
      <c r="A595" s="8"/>
      <c r="B595" s="8"/>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H595" s="2"/>
      <c r="BI595" s="12"/>
      <c r="BJ595" s="2"/>
      <c r="BK595" s="2"/>
    </row>
    <row r="596" spans="1:63" ht="12.5" x14ac:dyDescent="0.25">
      <c r="A596" s="8"/>
      <c r="B596" s="8"/>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H596" s="2"/>
      <c r="BI596" s="13"/>
      <c r="BJ596" s="2"/>
      <c r="BK596" s="2"/>
    </row>
    <row r="597" spans="1:63" ht="12.5" x14ac:dyDescent="0.25">
      <c r="A597" s="8"/>
      <c r="B597" s="8"/>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H597" s="2"/>
      <c r="BI597" s="12"/>
      <c r="BJ597" s="2"/>
      <c r="BK597" s="2"/>
    </row>
    <row r="598" spans="1:63" ht="12.5" x14ac:dyDescent="0.25">
      <c r="A598" s="8"/>
      <c r="B598" s="8"/>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H598" s="2"/>
      <c r="BI598" s="13"/>
      <c r="BJ598" s="2"/>
      <c r="BK598" s="2"/>
    </row>
    <row r="599" spans="1:63" ht="12.5" x14ac:dyDescent="0.25">
      <c r="A599" s="8"/>
      <c r="B599" s="8"/>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H599" s="2"/>
      <c r="BI599" s="12"/>
      <c r="BJ599" s="2"/>
      <c r="BK599" s="2"/>
    </row>
    <row r="600" spans="1:63" ht="12.5" x14ac:dyDescent="0.25">
      <c r="A600" s="8"/>
      <c r="B600" s="8"/>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H600" s="2"/>
      <c r="BI600" s="13"/>
      <c r="BJ600" s="2"/>
      <c r="BK600" s="2"/>
    </row>
    <row r="601" spans="1:63" ht="12.5" x14ac:dyDescent="0.25">
      <c r="A601" s="8"/>
      <c r="B601" s="8"/>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H601" s="2"/>
      <c r="BI601" s="12"/>
      <c r="BJ601" s="2"/>
      <c r="BK601" s="2"/>
    </row>
    <row r="602" spans="1:63" ht="12.5" x14ac:dyDescent="0.25">
      <c r="A602" s="8"/>
      <c r="B602" s="8"/>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H602" s="2"/>
      <c r="BI602" s="13"/>
      <c r="BJ602" s="2"/>
      <c r="BK602" s="2"/>
    </row>
    <row r="603" spans="1:63" ht="12.5" x14ac:dyDescent="0.25">
      <c r="A603" s="8"/>
      <c r="B603" s="8"/>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H603" s="2"/>
      <c r="BI603" s="12"/>
      <c r="BJ603" s="2"/>
      <c r="BK603" s="2"/>
    </row>
    <row r="604" spans="1:63" ht="12.5" x14ac:dyDescent="0.25">
      <c r="A604" s="8"/>
      <c r="B604" s="8"/>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H604" s="2"/>
      <c r="BI604" s="13"/>
      <c r="BJ604" s="2"/>
      <c r="BK604" s="2"/>
    </row>
    <row r="605" spans="1:63" ht="12.5" x14ac:dyDescent="0.25">
      <c r="A605" s="8"/>
      <c r="B605" s="8"/>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H605" s="2"/>
      <c r="BI605" s="12"/>
      <c r="BJ605" s="2"/>
      <c r="BK605" s="2"/>
    </row>
    <row r="606" spans="1:63" ht="12.5" x14ac:dyDescent="0.25">
      <c r="A606" s="8"/>
      <c r="B606" s="8"/>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H606" s="2"/>
      <c r="BI606" s="13"/>
      <c r="BJ606" s="2"/>
      <c r="BK606" s="2"/>
    </row>
    <row r="607" spans="1:63" ht="12.5" x14ac:dyDescent="0.25">
      <c r="A607" s="8"/>
      <c r="B607" s="8"/>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H607" s="2"/>
      <c r="BI607" s="12"/>
      <c r="BJ607" s="2"/>
      <c r="BK607" s="2"/>
    </row>
    <row r="608" spans="1:63" ht="12.5" x14ac:dyDescent="0.25">
      <c r="A608" s="8"/>
      <c r="B608" s="8"/>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H608" s="2"/>
      <c r="BI608" s="13"/>
      <c r="BJ608" s="2"/>
      <c r="BK608" s="2"/>
    </row>
    <row r="609" spans="1:63" ht="12.5" x14ac:dyDescent="0.25">
      <c r="A609" s="8"/>
      <c r="B609" s="8"/>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H609" s="2"/>
      <c r="BI609" s="12"/>
      <c r="BJ609" s="2"/>
      <c r="BK609" s="2"/>
    </row>
    <row r="610" spans="1:63" ht="12.5" x14ac:dyDescent="0.25">
      <c r="A610" s="8"/>
      <c r="B610" s="8"/>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H610" s="2"/>
      <c r="BI610" s="13"/>
      <c r="BJ610" s="2"/>
      <c r="BK610" s="2"/>
    </row>
    <row r="611" spans="1:63" ht="12.5" x14ac:dyDescent="0.25">
      <c r="A611" s="8"/>
      <c r="B611" s="8"/>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H611" s="2"/>
      <c r="BI611" s="12"/>
      <c r="BJ611" s="2"/>
      <c r="BK611" s="2"/>
    </row>
    <row r="612" spans="1:63" ht="12.5" x14ac:dyDescent="0.25">
      <c r="A612" s="8"/>
      <c r="B612" s="8"/>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H612" s="2"/>
      <c r="BI612" s="13"/>
      <c r="BJ612" s="2"/>
      <c r="BK612" s="2"/>
    </row>
    <row r="613" spans="1:63" ht="12.5" x14ac:dyDescent="0.25">
      <c r="A613" s="8"/>
      <c r="B613" s="8"/>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H613" s="2"/>
      <c r="BI613" s="12"/>
      <c r="BJ613" s="2"/>
      <c r="BK613" s="2"/>
    </row>
    <row r="614" spans="1:63" ht="12.5" x14ac:dyDescent="0.25">
      <c r="A614" s="8"/>
      <c r="B614" s="8"/>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H614" s="2"/>
      <c r="BI614" s="13"/>
      <c r="BJ614" s="2"/>
      <c r="BK614" s="2"/>
    </row>
    <row r="615" spans="1:63" ht="12.5" x14ac:dyDescent="0.25">
      <c r="A615" s="8"/>
      <c r="B615" s="8"/>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H615" s="2"/>
      <c r="BI615" s="12"/>
      <c r="BJ615" s="2"/>
      <c r="BK615" s="2"/>
    </row>
    <row r="616" spans="1:63" ht="12.5" x14ac:dyDescent="0.25">
      <c r="A616" s="8"/>
      <c r="B616" s="8"/>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H616" s="2"/>
      <c r="BI616" s="13"/>
      <c r="BJ616" s="2"/>
      <c r="BK616" s="2"/>
    </row>
    <row r="617" spans="1:63" ht="12.5" x14ac:dyDescent="0.25">
      <c r="A617" s="8"/>
      <c r="B617" s="8"/>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H617" s="2"/>
      <c r="BI617" s="12"/>
      <c r="BJ617" s="2"/>
      <c r="BK617" s="2"/>
    </row>
    <row r="618" spans="1:63" ht="12.5" x14ac:dyDescent="0.25">
      <c r="A618" s="8"/>
      <c r="B618" s="8"/>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H618" s="2"/>
      <c r="BI618" s="13"/>
      <c r="BJ618" s="2"/>
      <c r="BK618" s="2"/>
    </row>
    <row r="619" spans="1:63" ht="12.5" x14ac:dyDescent="0.25">
      <c r="A619" s="8"/>
      <c r="B619" s="8"/>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H619" s="2"/>
      <c r="BI619" s="12"/>
      <c r="BJ619" s="2"/>
      <c r="BK619" s="2"/>
    </row>
    <row r="620" spans="1:63" ht="12.5" x14ac:dyDescent="0.25">
      <c r="A620" s="8"/>
      <c r="B620" s="8"/>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H620" s="2"/>
      <c r="BI620" s="13"/>
      <c r="BJ620" s="2"/>
      <c r="BK620" s="2"/>
    </row>
    <row r="621" spans="1:63" ht="12.5" x14ac:dyDescent="0.25">
      <c r="A621" s="8"/>
      <c r="B621" s="8"/>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H621" s="2"/>
      <c r="BI621" s="12"/>
      <c r="BJ621" s="2"/>
      <c r="BK621" s="2"/>
    </row>
    <row r="622" spans="1:63" ht="12.5" x14ac:dyDescent="0.25">
      <c r="A622" s="8"/>
      <c r="B622" s="8"/>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H622" s="2"/>
      <c r="BI622" s="13"/>
      <c r="BJ622" s="2"/>
      <c r="BK622" s="2"/>
    </row>
    <row r="623" spans="1:63" ht="12.5" x14ac:dyDescent="0.25">
      <c r="A623" s="8"/>
      <c r="B623" s="8"/>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H623" s="2"/>
      <c r="BI623" s="12"/>
      <c r="BJ623" s="2"/>
      <c r="BK623" s="2"/>
    </row>
    <row r="624" spans="1:63" ht="12.5" x14ac:dyDescent="0.25">
      <c r="A624" s="8"/>
      <c r="B624" s="8"/>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H624" s="2"/>
      <c r="BI624" s="13"/>
      <c r="BJ624" s="2"/>
      <c r="BK624" s="2"/>
    </row>
    <row r="625" spans="1:63" ht="12.5" x14ac:dyDescent="0.25">
      <c r="A625" s="8"/>
      <c r="B625" s="8"/>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H625" s="2"/>
      <c r="BI625" s="12"/>
      <c r="BJ625" s="2"/>
      <c r="BK625" s="2"/>
    </row>
    <row r="626" spans="1:63" ht="12.5" x14ac:dyDescent="0.25">
      <c r="A626" s="8"/>
      <c r="B626" s="8"/>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H626" s="2"/>
      <c r="BI626" s="13"/>
      <c r="BJ626" s="2"/>
      <c r="BK626" s="2"/>
    </row>
    <row r="627" spans="1:63" ht="12.5" x14ac:dyDescent="0.25">
      <c r="A627" s="8"/>
      <c r="B627" s="8"/>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H627" s="2"/>
      <c r="BI627" s="12"/>
      <c r="BJ627" s="2"/>
      <c r="BK627" s="2"/>
    </row>
    <row r="628" spans="1:63" ht="12.5" x14ac:dyDescent="0.25">
      <c r="A628" s="8"/>
      <c r="B628" s="8"/>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H628" s="2"/>
      <c r="BI628" s="13"/>
      <c r="BJ628" s="2"/>
      <c r="BK628" s="2"/>
    </row>
    <row r="629" spans="1:63" ht="12.5" x14ac:dyDescent="0.25">
      <c r="A629" s="8"/>
      <c r="B629" s="8"/>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H629" s="2"/>
      <c r="BI629" s="12"/>
      <c r="BJ629" s="2"/>
      <c r="BK629" s="2"/>
    </row>
    <row r="630" spans="1:63" ht="12.5" x14ac:dyDescent="0.25">
      <c r="A630" s="8"/>
      <c r="B630" s="8"/>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H630" s="2"/>
      <c r="BI630" s="13"/>
      <c r="BJ630" s="2"/>
      <c r="BK630" s="2"/>
    </row>
    <row r="631" spans="1:63" ht="12.5" x14ac:dyDescent="0.25">
      <c r="A631" s="8"/>
      <c r="B631" s="8"/>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H631" s="2"/>
      <c r="BI631" s="12"/>
      <c r="BJ631" s="2"/>
      <c r="BK631" s="2"/>
    </row>
    <row r="632" spans="1:63" ht="12.5" x14ac:dyDescent="0.25">
      <c r="A632" s="8"/>
      <c r="B632" s="8"/>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H632" s="2"/>
      <c r="BI632" s="13"/>
      <c r="BJ632" s="2"/>
      <c r="BK632" s="2"/>
    </row>
    <row r="633" spans="1:63" ht="12.5" x14ac:dyDescent="0.25">
      <c r="A633" s="8"/>
      <c r="B633" s="8"/>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H633" s="2"/>
      <c r="BI633" s="12"/>
      <c r="BJ633" s="2"/>
      <c r="BK633" s="2"/>
    </row>
    <row r="634" spans="1:63" ht="12.5" x14ac:dyDescent="0.25">
      <c r="A634" s="8"/>
      <c r="B634" s="8"/>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H634" s="2"/>
      <c r="BI634" s="13"/>
      <c r="BJ634" s="2"/>
      <c r="BK634" s="2"/>
    </row>
    <row r="635" spans="1:63" ht="12.5" x14ac:dyDescent="0.25">
      <c r="A635" s="8"/>
      <c r="B635" s="8"/>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H635" s="2"/>
      <c r="BI635" s="12"/>
      <c r="BJ635" s="2"/>
      <c r="BK635" s="2"/>
    </row>
    <row r="636" spans="1:63" ht="12.5" x14ac:dyDescent="0.25">
      <c r="A636" s="8"/>
      <c r="B636" s="8"/>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H636" s="2"/>
      <c r="BI636" s="13"/>
      <c r="BJ636" s="2"/>
      <c r="BK636" s="2"/>
    </row>
    <row r="637" spans="1:63" ht="12.5" x14ac:dyDescent="0.25">
      <c r="A637" s="8"/>
      <c r="B637" s="8"/>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H637" s="2"/>
      <c r="BI637" s="12"/>
      <c r="BJ637" s="2"/>
      <c r="BK637" s="2"/>
    </row>
    <row r="638" spans="1:63" ht="12.5" x14ac:dyDescent="0.25">
      <c r="A638" s="8"/>
      <c r="B638" s="8"/>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H638" s="2"/>
      <c r="BI638" s="13"/>
      <c r="BJ638" s="2"/>
      <c r="BK638" s="2"/>
    </row>
    <row r="639" spans="1:63" ht="12.5" x14ac:dyDescent="0.25">
      <c r="A639" s="8"/>
      <c r="B639" s="8"/>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H639" s="2"/>
      <c r="BI639" s="12"/>
      <c r="BJ639" s="2"/>
      <c r="BK639" s="2"/>
    </row>
    <row r="640" spans="1:63" ht="12.5" x14ac:dyDescent="0.25">
      <c r="A640" s="8"/>
      <c r="B640" s="8"/>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H640" s="2"/>
      <c r="BI640" s="13"/>
      <c r="BJ640" s="2"/>
      <c r="BK640" s="2"/>
    </row>
    <row r="641" spans="1:63" ht="12.5" x14ac:dyDescent="0.25">
      <c r="A641" s="8"/>
      <c r="B641" s="8"/>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H641" s="2"/>
      <c r="BI641" s="12"/>
      <c r="BJ641" s="2"/>
      <c r="BK641" s="2"/>
    </row>
    <row r="642" spans="1:63" ht="12.5" x14ac:dyDescent="0.25">
      <c r="A642" s="8"/>
      <c r="B642" s="8"/>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H642" s="2"/>
      <c r="BI642" s="13"/>
      <c r="BJ642" s="2"/>
      <c r="BK642" s="2"/>
    </row>
    <row r="643" spans="1:63" ht="12.5" x14ac:dyDescent="0.25">
      <c r="A643" s="8"/>
      <c r="B643" s="8"/>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H643" s="2"/>
      <c r="BI643" s="12"/>
      <c r="BJ643" s="2"/>
      <c r="BK643" s="2"/>
    </row>
    <row r="644" spans="1:63" ht="12.5" x14ac:dyDescent="0.25">
      <c r="A644" s="8"/>
      <c r="B644" s="8"/>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H644" s="2"/>
      <c r="BI644" s="13"/>
      <c r="BJ644" s="2"/>
      <c r="BK644" s="2"/>
    </row>
    <row r="645" spans="1:63" ht="12.5" x14ac:dyDescent="0.25">
      <c r="A645" s="8"/>
      <c r="B645" s="8"/>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H645" s="2"/>
      <c r="BI645" s="12"/>
      <c r="BJ645" s="2"/>
      <c r="BK645" s="2"/>
    </row>
    <row r="646" spans="1:63" ht="12.5" x14ac:dyDescent="0.25">
      <c r="A646" s="8"/>
      <c r="B646" s="8"/>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H646" s="2"/>
      <c r="BI646" s="13"/>
      <c r="BJ646" s="2"/>
      <c r="BK646" s="2"/>
    </row>
    <row r="647" spans="1:63" ht="12.5" x14ac:dyDescent="0.25">
      <c r="A647" s="8"/>
      <c r="B647" s="8"/>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H647" s="2"/>
      <c r="BI647" s="12"/>
      <c r="BJ647" s="2"/>
      <c r="BK647" s="2"/>
    </row>
    <row r="648" spans="1:63" ht="12.5" x14ac:dyDescent="0.25">
      <c r="A648" s="8"/>
      <c r="B648" s="8"/>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H648" s="2"/>
      <c r="BI648" s="13"/>
      <c r="BJ648" s="2"/>
      <c r="BK648" s="2"/>
    </row>
    <row r="649" spans="1:63" ht="12.5" x14ac:dyDescent="0.25">
      <c r="A649" s="8"/>
      <c r="B649" s="8"/>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H649" s="2"/>
      <c r="BI649" s="12"/>
      <c r="BJ649" s="2"/>
      <c r="BK649" s="2"/>
    </row>
    <row r="650" spans="1:63" ht="12.5" x14ac:dyDescent="0.25">
      <c r="A650" s="8"/>
      <c r="B650" s="8"/>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H650" s="2"/>
      <c r="BI650" s="13"/>
      <c r="BJ650" s="2"/>
      <c r="BK650" s="2"/>
    </row>
    <row r="651" spans="1:63" ht="12.5" x14ac:dyDescent="0.25">
      <c r="A651" s="8"/>
      <c r="B651" s="8"/>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H651" s="2"/>
      <c r="BI651" s="12"/>
      <c r="BJ651" s="2"/>
      <c r="BK651" s="2"/>
    </row>
    <row r="652" spans="1:63" ht="12.5" x14ac:dyDescent="0.25">
      <c r="A652" s="8"/>
      <c r="B652" s="8"/>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H652" s="2"/>
      <c r="BI652" s="13"/>
      <c r="BJ652" s="2"/>
      <c r="BK652" s="2"/>
    </row>
    <row r="653" spans="1:63" ht="12.5" x14ac:dyDescent="0.25">
      <c r="A653" s="8"/>
      <c r="B653" s="8"/>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H653" s="2"/>
      <c r="BI653" s="12"/>
      <c r="BJ653" s="2"/>
      <c r="BK653" s="2"/>
    </row>
    <row r="654" spans="1:63" ht="12.5" x14ac:dyDescent="0.25">
      <c r="A654" s="8"/>
      <c r="B654" s="8"/>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H654" s="2"/>
      <c r="BI654" s="13"/>
      <c r="BJ654" s="2"/>
      <c r="BK654" s="2"/>
    </row>
    <row r="655" spans="1:63" ht="12.5" x14ac:dyDescent="0.25">
      <c r="A655" s="8"/>
      <c r="B655" s="8"/>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H655" s="2"/>
      <c r="BI655" s="12"/>
      <c r="BJ655" s="2"/>
      <c r="BK655" s="2"/>
    </row>
    <row r="656" spans="1:63" ht="12.5" x14ac:dyDescent="0.25">
      <c r="A656" s="8"/>
      <c r="B656" s="8"/>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H656" s="2"/>
      <c r="BI656" s="13"/>
      <c r="BJ656" s="2"/>
      <c r="BK656" s="2"/>
    </row>
    <row r="657" spans="1:63" ht="12.5" x14ac:dyDescent="0.25">
      <c r="A657" s="8"/>
      <c r="B657" s="8"/>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H657" s="2"/>
      <c r="BI657" s="12"/>
      <c r="BJ657" s="2"/>
      <c r="BK657" s="2"/>
    </row>
    <row r="658" spans="1:63" ht="12.5" x14ac:dyDescent="0.25">
      <c r="A658" s="8"/>
      <c r="B658" s="8"/>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H658" s="2"/>
      <c r="BI658" s="13"/>
      <c r="BJ658" s="2"/>
      <c r="BK658" s="2"/>
    </row>
    <row r="659" spans="1:63" ht="12.5" x14ac:dyDescent="0.25">
      <c r="A659" s="8"/>
      <c r="B659" s="8"/>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H659" s="2"/>
      <c r="BI659" s="12"/>
      <c r="BJ659" s="2"/>
      <c r="BK659" s="2"/>
    </row>
    <row r="660" spans="1:63" ht="12.5" x14ac:dyDescent="0.25">
      <c r="A660" s="8"/>
      <c r="B660" s="8"/>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H660" s="2"/>
      <c r="BI660" s="13"/>
      <c r="BJ660" s="2"/>
      <c r="BK660" s="2"/>
    </row>
    <row r="661" spans="1:63" ht="12.5" x14ac:dyDescent="0.25">
      <c r="A661" s="8"/>
      <c r="B661" s="8"/>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H661" s="2"/>
      <c r="BI661" s="12"/>
      <c r="BJ661" s="2"/>
      <c r="BK661" s="2"/>
    </row>
    <row r="662" spans="1:63" ht="12.5" x14ac:dyDescent="0.25">
      <c r="A662" s="8"/>
      <c r="B662" s="8"/>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H662" s="2"/>
      <c r="BI662" s="13"/>
      <c r="BJ662" s="2"/>
      <c r="BK662" s="2"/>
    </row>
    <row r="663" spans="1:63" ht="12.5" x14ac:dyDescent="0.25">
      <c r="A663" s="8"/>
      <c r="B663" s="8"/>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H663" s="2"/>
      <c r="BI663" s="12"/>
      <c r="BJ663" s="2"/>
      <c r="BK663" s="2"/>
    </row>
    <row r="664" spans="1:63" ht="12.5" x14ac:dyDescent="0.25">
      <c r="A664" s="8"/>
      <c r="B664" s="8"/>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H664" s="2"/>
      <c r="BI664" s="13"/>
      <c r="BJ664" s="2"/>
      <c r="BK664" s="2"/>
    </row>
    <row r="665" spans="1:63" ht="12.5" x14ac:dyDescent="0.25">
      <c r="A665" s="8"/>
      <c r="B665" s="8"/>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H665" s="2"/>
      <c r="BI665" s="12"/>
      <c r="BJ665" s="2"/>
      <c r="BK665" s="2"/>
    </row>
    <row r="666" spans="1:63" ht="12.5" x14ac:dyDescent="0.25">
      <c r="A666" s="8"/>
      <c r="B666" s="8"/>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H666" s="2"/>
      <c r="BI666" s="13"/>
      <c r="BJ666" s="2"/>
      <c r="BK666" s="2"/>
    </row>
    <row r="667" spans="1:63" ht="12.5" x14ac:dyDescent="0.25">
      <c r="A667" s="8"/>
      <c r="B667" s="8"/>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H667" s="2"/>
      <c r="BI667" s="12"/>
      <c r="BJ667" s="2"/>
      <c r="BK667" s="2"/>
    </row>
    <row r="668" spans="1:63" ht="12.5" x14ac:dyDescent="0.25">
      <c r="A668" s="8"/>
      <c r="B668" s="8"/>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H668" s="2"/>
      <c r="BI668" s="13"/>
      <c r="BJ668" s="2"/>
      <c r="BK668" s="2"/>
    </row>
    <row r="669" spans="1:63" ht="12.5" x14ac:dyDescent="0.25">
      <c r="A669" s="8"/>
      <c r="B669" s="8"/>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H669" s="2"/>
      <c r="BI669" s="12"/>
      <c r="BJ669" s="2"/>
      <c r="BK669" s="2"/>
    </row>
    <row r="670" spans="1:63" ht="12.5" x14ac:dyDescent="0.25">
      <c r="A670" s="8"/>
      <c r="B670" s="8"/>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H670" s="2"/>
      <c r="BI670" s="13"/>
      <c r="BJ670" s="2"/>
      <c r="BK670" s="2"/>
    </row>
    <row r="671" spans="1:63" ht="12.5" x14ac:dyDescent="0.25">
      <c r="A671" s="8"/>
      <c r="B671" s="8"/>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H671" s="2"/>
      <c r="BI671" s="12"/>
      <c r="BJ671" s="2"/>
      <c r="BK671" s="2"/>
    </row>
    <row r="672" spans="1:63" ht="12.5" x14ac:dyDescent="0.25">
      <c r="A672" s="8"/>
      <c r="B672" s="8"/>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H672" s="2"/>
      <c r="BI672" s="13"/>
      <c r="BJ672" s="2"/>
      <c r="BK672" s="2"/>
    </row>
    <row r="673" spans="1:63" ht="12.5" x14ac:dyDescent="0.25">
      <c r="A673" s="8"/>
      <c r="B673" s="8"/>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H673" s="2"/>
      <c r="BI673" s="12"/>
      <c r="BJ673" s="2"/>
      <c r="BK673" s="2"/>
    </row>
    <row r="674" spans="1:63" ht="12.5" x14ac:dyDescent="0.25">
      <c r="A674" s="8"/>
      <c r="B674" s="8"/>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H674" s="2"/>
      <c r="BI674" s="13"/>
      <c r="BJ674" s="2"/>
      <c r="BK674" s="2"/>
    </row>
    <row r="675" spans="1:63" ht="12.5" x14ac:dyDescent="0.25">
      <c r="A675" s="8"/>
      <c r="B675" s="8"/>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H675" s="2"/>
      <c r="BI675" s="12"/>
      <c r="BJ675" s="2"/>
      <c r="BK675" s="2"/>
    </row>
    <row r="676" spans="1:63" ht="12.5" x14ac:dyDescent="0.25">
      <c r="A676" s="8"/>
      <c r="B676" s="8"/>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H676" s="2"/>
      <c r="BI676" s="13"/>
      <c r="BJ676" s="2"/>
      <c r="BK676" s="2"/>
    </row>
    <row r="677" spans="1:63" ht="12.5" x14ac:dyDescent="0.25">
      <c r="A677" s="8"/>
      <c r="B677" s="8"/>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H677" s="2"/>
      <c r="BI677" s="12"/>
      <c r="BJ677" s="2"/>
      <c r="BK677" s="2"/>
    </row>
    <row r="678" spans="1:63" ht="12.5" x14ac:dyDescent="0.25">
      <c r="A678" s="8"/>
      <c r="B678" s="8"/>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H678" s="2"/>
      <c r="BI678" s="13"/>
      <c r="BJ678" s="2"/>
      <c r="BK678" s="2"/>
    </row>
    <row r="679" spans="1:63" ht="12.5" x14ac:dyDescent="0.25">
      <c r="A679" s="8"/>
      <c r="B679" s="8"/>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H679" s="2"/>
      <c r="BI679" s="12"/>
      <c r="BJ679" s="2"/>
      <c r="BK679" s="2"/>
    </row>
    <row r="680" spans="1:63" ht="12.5" x14ac:dyDescent="0.25">
      <c r="A680" s="8"/>
      <c r="B680" s="8"/>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H680" s="2"/>
      <c r="BI680" s="13"/>
      <c r="BJ680" s="2"/>
      <c r="BK680" s="2"/>
    </row>
    <row r="681" spans="1:63" ht="12.5" x14ac:dyDescent="0.25">
      <c r="A681" s="8"/>
      <c r="B681" s="8"/>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H681" s="2"/>
      <c r="BI681" s="12"/>
      <c r="BJ681" s="2"/>
      <c r="BK681" s="2"/>
    </row>
    <row r="682" spans="1:63" ht="12.5" x14ac:dyDescent="0.25">
      <c r="A682" s="8"/>
      <c r="B682" s="8"/>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H682" s="2"/>
      <c r="BI682" s="13"/>
      <c r="BJ682" s="2"/>
      <c r="BK682" s="2"/>
    </row>
    <row r="683" spans="1:63" ht="12.5" x14ac:dyDescent="0.25">
      <c r="A683" s="8"/>
      <c r="B683" s="8"/>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H683" s="2"/>
      <c r="BI683" s="12"/>
      <c r="BJ683" s="2"/>
      <c r="BK683" s="2"/>
    </row>
    <row r="684" spans="1:63" ht="12.5" x14ac:dyDescent="0.25">
      <c r="A684" s="8"/>
      <c r="B684" s="8"/>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H684" s="2"/>
      <c r="BI684" s="13"/>
      <c r="BJ684" s="2"/>
      <c r="BK684" s="2"/>
    </row>
    <row r="685" spans="1:63" ht="12.5" x14ac:dyDescent="0.25">
      <c r="A685" s="8"/>
      <c r="B685" s="8"/>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H685" s="2"/>
      <c r="BI685" s="12"/>
      <c r="BJ685" s="2"/>
      <c r="BK685" s="2"/>
    </row>
    <row r="686" spans="1:63" ht="12.5" x14ac:dyDescent="0.25">
      <c r="A686" s="8"/>
      <c r="B686" s="8"/>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H686" s="2"/>
      <c r="BI686" s="13"/>
      <c r="BJ686" s="2"/>
      <c r="BK686" s="2"/>
    </row>
    <row r="687" spans="1:63" ht="12.5" x14ac:dyDescent="0.25">
      <c r="A687" s="8"/>
      <c r="B687" s="8"/>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H687" s="2"/>
      <c r="BI687" s="12"/>
      <c r="BJ687" s="2"/>
      <c r="BK687" s="2"/>
    </row>
    <row r="688" spans="1:63" ht="12.5" x14ac:dyDescent="0.25">
      <c r="A688" s="8"/>
      <c r="B688" s="8"/>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H688" s="2"/>
      <c r="BI688" s="13"/>
      <c r="BJ688" s="2"/>
      <c r="BK688" s="2"/>
    </row>
    <row r="689" spans="1:63" ht="12.5" x14ac:dyDescent="0.25">
      <c r="A689" s="8"/>
      <c r="B689" s="8"/>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H689" s="2"/>
      <c r="BI689" s="12"/>
      <c r="BJ689" s="2"/>
      <c r="BK689" s="2"/>
    </row>
    <row r="690" spans="1:63" ht="12.5" x14ac:dyDescent="0.25">
      <c r="A690" s="8"/>
      <c r="B690" s="8"/>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H690" s="2"/>
      <c r="BI690" s="13"/>
      <c r="BJ690" s="2"/>
      <c r="BK690" s="2"/>
    </row>
    <row r="691" spans="1:63" ht="12.5" x14ac:dyDescent="0.25">
      <c r="A691" s="8"/>
      <c r="B691" s="8"/>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H691" s="2"/>
      <c r="BI691" s="12"/>
      <c r="BJ691" s="2"/>
      <c r="BK691" s="2"/>
    </row>
    <row r="692" spans="1:63" ht="12.5" x14ac:dyDescent="0.25">
      <c r="A692" s="8"/>
      <c r="B692" s="8"/>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H692" s="2"/>
      <c r="BI692" s="13"/>
      <c r="BJ692" s="2"/>
      <c r="BK692" s="2"/>
    </row>
    <row r="693" spans="1:63" ht="12.5" x14ac:dyDescent="0.25">
      <c r="A693" s="8"/>
      <c r="B693" s="8"/>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H693" s="2"/>
      <c r="BI693" s="12"/>
      <c r="BJ693" s="2"/>
      <c r="BK693" s="2"/>
    </row>
    <row r="694" spans="1:63" ht="12.5" x14ac:dyDescent="0.25">
      <c r="A694" s="8"/>
      <c r="B694" s="8"/>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H694" s="2"/>
      <c r="BI694" s="13"/>
      <c r="BJ694" s="2"/>
      <c r="BK694" s="2"/>
    </row>
    <row r="695" spans="1:63" ht="12.5" x14ac:dyDescent="0.25">
      <c r="A695" s="8"/>
      <c r="B695" s="8"/>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H695" s="2"/>
      <c r="BI695" s="12"/>
      <c r="BJ695" s="2"/>
      <c r="BK695" s="2"/>
    </row>
    <row r="696" spans="1:63" ht="12.5" x14ac:dyDescent="0.25">
      <c r="A696" s="8"/>
      <c r="B696" s="8"/>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H696" s="2"/>
      <c r="BI696" s="13"/>
      <c r="BJ696" s="2"/>
      <c r="BK696" s="2"/>
    </row>
    <row r="697" spans="1:63" ht="12.5" x14ac:dyDescent="0.25">
      <c r="A697" s="8"/>
      <c r="B697" s="8"/>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H697" s="2"/>
      <c r="BI697" s="12"/>
      <c r="BJ697" s="2"/>
      <c r="BK697" s="2"/>
    </row>
    <row r="698" spans="1:63" ht="12.5" x14ac:dyDescent="0.25">
      <c r="A698" s="8"/>
      <c r="B698" s="8"/>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H698" s="2"/>
      <c r="BI698" s="13"/>
      <c r="BJ698" s="2"/>
      <c r="BK698" s="2"/>
    </row>
    <row r="699" spans="1:63" ht="12.5" x14ac:dyDescent="0.25">
      <c r="A699" s="8"/>
      <c r="B699" s="8"/>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H699" s="2"/>
      <c r="BI699" s="12"/>
      <c r="BJ699" s="2"/>
      <c r="BK699" s="2"/>
    </row>
    <row r="700" spans="1:63" ht="12.5" x14ac:dyDescent="0.25">
      <c r="A700" s="8"/>
      <c r="B700" s="8"/>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H700" s="2"/>
      <c r="BI700" s="13"/>
      <c r="BJ700" s="2"/>
      <c r="BK700" s="2"/>
    </row>
    <row r="701" spans="1:63" ht="12.5" x14ac:dyDescent="0.25">
      <c r="A701" s="8"/>
      <c r="B701" s="8"/>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H701" s="2"/>
      <c r="BI701" s="12"/>
      <c r="BJ701" s="2"/>
      <c r="BK701" s="2"/>
    </row>
    <row r="702" spans="1:63" ht="12.5" x14ac:dyDescent="0.25">
      <c r="A702" s="8"/>
      <c r="B702" s="8"/>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H702" s="2"/>
      <c r="BI702" s="13"/>
      <c r="BJ702" s="2"/>
      <c r="BK702" s="2"/>
    </row>
    <row r="703" spans="1:63" ht="12.5" x14ac:dyDescent="0.25">
      <c r="A703" s="8"/>
      <c r="B703" s="8"/>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H703" s="2"/>
      <c r="BI703" s="12"/>
      <c r="BJ703" s="2"/>
      <c r="BK703" s="2"/>
    </row>
    <row r="704" spans="1:63" ht="12.5" x14ac:dyDescent="0.25">
      <c r="A704" s="8"/>
      <c r="B704" s="8"/>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H704" s="2"/>
      <c r="BI704" s="13"/>
      <c r="BJ704" s="2"/>
      <c r="BK704" s="2"/>
    </row>
    <row r="705" spans="1:63" ht="12.5" x14ac:dyDescent="0.25">
      <c r="A705" s="8"/>
      <c r="B705" s="8"/>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H705" s="2"/>
      <c r="BI705" s="12"/>
      <c r="BJ705" s="2"/>
      <c r="BK705" s="2"/>
    </row>
    <row r="706" spans="1:63" ht="12.5" x14ac:dyDescent="0.25">
      <c r="A706" s="8"/>
      <c r="B706" s="8"/>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H706" s="2"/>
      <c r="BI706" s="13"/>
      <c r="BJ706" s="2"/>
      <c r="BK706" s="2"/>
    </row>
    <row r="707" spans="1:63" ht="12.5" x14ac:dyDescent="0.25">
      <c r="A707" s="8"/>
      <c r="B707" s="8"/>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H707" s="2"/>
      <c r="BI707" s="12"/>
      <c r="BJ707" s="2"/>
      <c r="BK707" s="2"/>
    </row>
    <row r="708" spans="1:63" ht="12.5" x14ac:dyDescent="0.25">
      <c r="A708" s="8"/>
      <c r="B708" s="8"/>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H708" s="2"/>
      <c r="BI708" s="13"/>
      <c r="BJ708" s="2"/>
      <c r="BK708" s="2"/>
    </row>
    <row r="709" spans="1:63" ht="12.5" x14ac:dyDescent="0.25">
      <c r="A709" s="8"/>
      <c r="B709" s="8"/>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H709" s="2"/>
      <c r="BI709" s="12"/>
      <c r="BJ709" s="2"/>
      <c r="BK709" s="2"/>
    </row>
    <row r="710" spans="1:63" ht="12.5" x14ac:dyDescent="0.25">
      <c r="A710" s="8"/>
      <c r="B710" s="8"/>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H710" s="2"/>
      <c r="BI710" s="13"/>
      <c r="BJ710" s="2"/>
      <c r="BK710" s="2"/>
    </row>
    <row r="711" spans="1:63" ht="12.5" x14ac:dyDescent="0.25">
      <c r="A711" s="8"/>
      <c r="B711" s="8"/>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H711" s="2"/>
      <c r="BI711" s="12"/>
      <c r="BJ711" s="2"/>
      <c r="BK711" s="2"/>
    </row>
    <row r="712" spans="1:63" ht="12.5" x14ac:dyDescent="0.25">
      <c r="A712" s="8"/>
      <c r="B712" s="8"/>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H712" s="2"/>
      <c r="BI712" s="13"/>
      <c r="BJ712" s="2"/>
      <c r="BK712" s="2"/>
    </row>
    <row r="713" spans="1:63" ht="12.5" x14ac:dyDescent="0.25">
      <c r="A713" s="8"/>
      <c r="B713" s="8"/>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H713" s="2"/>
      <c r="BI713" s="12"/>
      <c r="BJ713" s="2"/>
      <c r="BK713" s="2"/>
    </row>
    <row r="714" spans="1:63" ht="12.5" x14ac:dyDescent="0.25">
      <c r="A714" s="8"/>
      <c r="B714" s="8"/>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H714" s="2"/>
      <c r="BI714" s="13"/>
      <c r="BJ714" s="2"/>
      <c r="BK714" s="2"/>
    </row>
    <row r="715" spans="1:63" ht="12.5" x14ac:dyDescent="0.25">
      <c r="A715" s="8"/>
      <c r="B715" s="8"/>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H715" s="2"/>
      <c r="BI715" s="12"/>
      <c r="BJ715" s="2"/>
      <c r="BK715" s="2"/>
    </row>
    <row r="716" spans="1:63" ht="12.5" x14ac:dyDescent="0.25">
      <c r="A716" s="8"/>
      <c r="B716" s="8"/>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H716" s="2"/>
      <c r="BI716" s="13"/>
      <c r="BJ716" s="2"/>
      <c r="BK716" s="2"/>
    </row>
    <row r="717" spans="1:63" ht="12.5" x14ac:dyDescent="0.25">
      <c r="A717" s="8"/>
      <c r="B717" s="8"/>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H717" s="2"/>
      <c r="BI717" s="12"/>
      <c r="BJ717" s="2"/>
      <c r="BK717" s="2"/>
    </row>
    <row r="718" spans="1:63" ht="12.5" x14ac:dyDescent="0.25">
      <c r="A718" s="8"/>
      <c r="B718" s="8"/>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H718" s="2"/>
      <c r="BI718" s="13"/>
      <c r="BJ718" s="2"/>
      <c r="BK718" s="2"/>
    </row>
    <row r="719" spans="1:63" ht="12.5" x14ac:dyDescent="0.25">
      <c r="A719" s="8"/>
      <c r="B719" s="8"/>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H719" s="2"/>
      <c r="BI719" s="12"/>
      <c r="BJ719" s="2"/>
      <c r="BK719" s="2"/>
    </row>
    <row r="720" spans="1:63" ht="12.5" x14ac:dyDescent="0.25">
      <c r="A720" s="8"/>
      <c r="B720" s="8"/>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H720" s="2"/>
      <c r="BI720" s="13"/>
      <c r="BJ720" s="2"/>
      <c r="BK720" s="2"/>
    </row>
    <row r="721" spans="1:63" ht="12.5" x14ac:dyDescent="0.25">
      <c r="A721" s="8"/>
      <c r="B721" s="8"/>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H721" s="2"/>
      <c r="BI721" s="12"/>
      <c r="BJ721" s="2"/>
      <c r="BK721" s="2"/>
    </row>
    <row r="722" spans="1:63" ht="12.5" x14ac:dyDescent="0.25">
      <c r="A722" s="8"/>
      <c r="B722" s="8"/>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H722" s="2"/>
      <c r="BI722" s="13"/>
      <c r="BJ722" s="2"/>
      <c r="BK722" s="2"/>
    </row>
    <row r="723" spans="1:63" ht="12.5" x14ac:dyDescent="0.25">
      <c r="A723" s="8"/>
      <c r="B723" s="8"/>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H723" s="2"/>
      <c r="BI723" s="12"/>
      <c r="BJ723" s="2"/>
      <c r="BK723" s="2"/>
    </row>
    <row r="724" spans="1:63" ht="12.5" x14ac:dyDescent="0.25">
      <c r="A724" s="8"/>
      <c r="B724" s="8"/>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H724" s="2"/>
      <c r="BI724" s="13"/>
      <c r="BJ724" s="2"/>
      <c r="BK724" s="2"/>
    </row>
    <row r="725" spans="1:63" ht="12.5" x14ac:dyDescent="0.25">
      <c r="A725" s="8"/>
      <c r="B725" s="8"/>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H725" s="2"/>
      <c r="BI725" s="12"/>
      <c r="BJ725" s="2"/>
      <c r="BK725" s="2"/>
    </row>
    <row r="726" spans="1:63" ht="12.5" x14ac:dyDescent="0.25">
      <c r="A726" s="8"/>
      <c r="B726" s="8"/>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H726" s="2"/>
      <c r="BI726" s="13"/>
      <c r="BJ726" s="2"/>
      <c r="BK726" s="2"/>
    </row>
    <row r="727" spans="1:63" ht="12.5" x14ac:dyDescent="0.25">
      <c r="A727" s="8"/>
      <c r="B727" s="8"/>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H727" s="2"/>
      <c r="BI727" s="12"/>
      <c r="BJ727" s="2"/>
      <c r="BK727" s="2"/>
    </row>
    <row r="728" spans="1:63" ht="12.5" x14ac:dyDescent="0.25">
      <c r="A728" s="8"/>
      <c r="B728" s="8"/>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H728" s="2"/>
      <c r="BI728" s="13"/>
      <c r="BJ728" s="2"/>
      <c r="BK728" s="2"/>
    </row>
    <row r="729" spans="1:63" ht="12.5" x14ac:dyDescent="0.25">
      <c r="A729" s="8"/>
      <c r="B729" s="8"/>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H729" s="2"/>
      <c r="BI729" s="12"/>
      <c r="BJ729" s="2"/>
      <c r="BK729" s="2"/>
    </row>
    <row r="730" spans="1:63" ht="12.5" x14ac:dyDescent="0.25">
      <c r="A730" s="8"/>
      <c r="B730" s="8"/>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H730" s="2"/>
      <c r="BI730" s="13"/>
      <c r="BJ730" s="2"/>
      <c r="BK730" s="2"/>
    </row>
    <row r="731" spans="1:63" ht="12.5" x14ac:dyDescent="0.25">
      <c r="A731" s="8"/>
      <c r="B731" s="8"/>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H731" s="2"/>
      <c r="BI731" s="12"/>
      <c r="BJ731" s="2"/>
      <c r="BK731" s="2"/>
    </row>
    <row r="732" spans="1:63" ht="12.5" x14ac:dyDescent="0.25">
      <c r="A732" s="8"/>
      <c r="B732" s="8"/>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H732" s="2"/>
      <c r="BI732" s="13"/>
      <c r="BJ732" s="2"/>
      <c r="BK732" s="2"/>
    </row>
    <row r="733" spans="1:63" ht="12.5" x14ac:dyDescent="0.25">
      <c r="A733" s="8"/>
      <c r="B733" s="8"/>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H733" s="2"/>
      <c r="BI733" s="12"/>
      <c r="BJ733" s="2"/>
      <c r="BK733" s="2"/>
    </row>
    <row r="734" spans="1:63" ht="12.5" x14ac:dyDescent="0.25">
      <c r="A734" s="8"/>
      <c r="B734" s="8"/>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H734" s="2"/>
      <c r="BI734" s="13"/>
      <c r="BJ734" s="2"/>
      <c r="BK734" s="2"/>
    </row>
    <row r="735" spans="1:63" ht="12.5" x14ac:dyDescent="0.25">
      <c r="A735" s="8"/>
      <c r="B735" s="8"/>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H735" s="2"/>
      <c r="BI735" s="12"/>
      <c r="BJ735" s="2"/>
      <c r="BK735" s="2"/>
    </row>
    <row r="736" spans="1:63" ht="12.5" x14ac:dyDescent="0.25">
      <c r="A736" s="8"/>
      <c r="B736" s="8"/>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H736" s="2"/>
      <c r="BI736" s="13"/>
      <c r="BJ736" s="2"/>
      <c r="BK736" s="2"/>
    </row>
    <row r="737" spans="1:63" ht="12.5" x14ac:dyDescent="0.25">
      <c r="A737" s="8"/>
      <c r="B737" s="8"/>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H737" s="2"/>
      <c r="BI737" s="12"/>
      <c r="BJ737" s="2"/>
      <c r="BK737" s="2"/>
    </row>
    <row r="738" spans="1:63" ht="12.5" x14ac:dyDescent="0.25">
      <c r="A738" s="8"/>
      <c r="B738" s="8"/>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H738" s="2"/>
      <c r="BI738" s="13"/>
      <c r="BJ738" s="2"/>
      <c r="BK738" s="2"/>
    </row>
    <row r="739" spans="1:63" ht="12.5" x14ac:dyDescent="0.25">
      <c r="A739" s="8"/>
      <c r="B739" s="8"/>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H739" s="2"/>
      <c r="BI739" s="12"/>
      <c r="BJ739" s="2"/>
      <c r="BK739" s="2"/>
    </row>
    <row r="740" spans="1:63" ht="12.5" x14ac:dyDescent="0.25">
      <c r="A740" s="8"/>
      <c r="B740" s="8"/>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H740" s="2"/>
      <c r="BI740" s="13"/>
      <c r="BJ740" s="2"/>
      <c r="BK740" s="2"/>
    </row>
    <row r="741" spans="1:63" ht="12.5" x14ac:dyDescent="0.25">
      <c r="A741" s="8"/>
      <c r="B741" s="8"/>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H741" s="2"/>
      <c r="BI741" s="12"/>
      <c r="BJ741" s="2"/>
      <c r="BK741" s="2"/>
    </row>
    <row r="742" spans="1:63" ht="12.5" x14ac:dyDescent="0.25">
      <c r="A742" s="8"/>
      <c r="B742" s="8"/>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H742" s="2"/>
      <c r="BI742" s="13"/>
      <c r="BJ742" s="2"/>
      <c r="BK742" s="2"/>
    </row>
    <row r="743" spans="1:63" ht="12.5" x14ac:dyDescent="0.25">
      <c r="A743" s="8"/>
      <c r="B743" s="8"/>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H743" s="2"/>
      <c r="BI743" s="12"/>
      <c r="BJ743" s="2"/>
      <c r="BK743" s="2"/>
    </row>
    <row r="744" spans="1:63" ht="12.5" x14ac:dyDescent="0.25">
      <c r="A744" s="8"/>
      <c r="B744" s="8"/>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H744" s="2"/>
      <c r="BI744" s="13"/>
      <c r="BJ744" s="2"/>
      <c r="BK744" s="2"/>
    </row>
    <row r="745" spans="1:63" ht="12.5" x14ac:dyDescent="0.25">
      <c r="A745" s="8"/>
      <c r="B745" s="8"/>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H745" s="2"/>
      <c r="BI745" s="12"/>
      <c r="BJ745" s="2"/>
      <c r="BK745" s="2"/>
    </row>
    <row r="746" spans="1:63" ht="12.5" x14ac:dyDescent="0.25">
      <c r="A746" s="8"/>
      <c r="B746" s="8"/>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H746" s="2"/>
      <c r="BI746" s="13"/>
      <c r="BJ746" s="2"/>
      <c r="BK746" s="2"/>
    </row>
    <row r="747" spans="1:63" ht="12.5" x14ac:dyDescent="0.25">
      <c r="A747" s="8"/>
      <c r="B747" s="8"/>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H747" s="2"/>
      <c r="BI747" s="12"/>
      <c r="BJ747" s="2"/>
      <c r="BK747" s="2"/>
    </row>
    <row r="748" spans="1:63" ht="12.5" x14ac:dyDescent="0.25">
      <c r="A748" s="8"/>
      <c r="B748" s="8"/>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H748" s="2"/>
      <c r="BI748" s="13"/>
      <c r="BJ748" s="2"/>
      <c r="BK748" s="2"/>
    </row>
    <row r="749" spans="1:63" ht="12.5" x14ac:dyDescent="0.25">
      <c r="A749" s="8"/>
      <c r="B749" s="8"/>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H749" s="2"/>
      <c r="BI749" s="12"/>
      <c r="BJ749" s="2"/>
      <c r="BK749" s="2"/>
    </row>
    <row r="750" spans="1:63" ht="12.5" x14ac:dyDescent="0.25">
      <c r="A750" s="8"/>
      <c r="B750" s="8"/>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H750" s="2"/>
      <c r="BI750" s="13"/>
      <c r="BJ750" s="2"/>
      <c r="BK750" s="2"/>
    </row>
    <row r="751" spans="1:63" ht="12.5" x14ac:dyDescent="0.25">
      <c r="A751" s="8"/>
      <c r="B751" s="8"/>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H751" s="2"/>
      <c r="BI751" s="12"/>
      <c r="BJ751" s="2"/>
      <c r="BK751" s="2"/>
    </row>
    <row r="752" spans="1:63" ht="12.5" x14ac:dyDescent="0.25">
      <c r="A752" s="8"/>
      <c r="B752" s="8"/>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H752" s="2"/>
      <c r="BI752" s="13"/>
      <c r="BJ752" s="2"/>
      <c r="BK752" s="2"/>
    </row>
    <row r="753" spans="1:63" ht="12.5" x14ac:dyDescent="0.25">
      <c r="A753" s="8"/>
      <c r="B753" s="8"/>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H753" s="2"/>
      <c r="BI753" s="12"/>
      <c r="BJ753" s="2"/>
      <c r="BK753" s="2"/>
    </row>
    <row r="754" spans="1:63" ht="12.5" x14ac:dyDescent="0.25">
      <c r="A754" s="8"/>
      <c r="B754" s="8"/>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H754" s="2"/>
      <c r="BI754" s="13"/>
      <c r="BJ754" s="2"/>
      <c r="BK754" s="2"/>
    </row>
    <row r="755" spans="1:63" ht="12.5" x14ac:dyDescent="0.25">
      <c r="A755" s="8"/>
      <c r="B755" s="8"/>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H755" s="2"/>
      <c r="BI755" s="12"/>
      <c r="BJ755" s="2"/>
      <c r="BK755" s="2"/>
    </row>
    <row r="756" spans="1:63" ht="12.5" x14ac:dyDescent="0.25">
      <c r="A756" s="8"/>
      <c r="B756" s="8"/>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H756" s="2"/>
      <c r="BI756" s="13"/>
      <c r="BJ756" s="2"/>
      <c r="BK756" s="2"/>
    </row>
    <row r="757" spans="1:63" ht="12.5" x14ac:dyDescent="0.25">
      <c r="A757" s="8"/>
      <c r="B757" s="8"/>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H757" s="2"/>
      <c r="BI757" s="12"/>
      <c r="BJ757" s="2"/>
      <c r="BK757" s="2"/>
    </row>
    <row r="758" spans="1:63" ht="12.5" x14ac:dyDescent="0.25">
      <c r="A758" s="8"/>
      <c r="B758" s="8"/>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H758" s="2"/>
      <c r="BI758" s="13"/>
      <c r="BJ758" s="2"/>
      <c r="BK758" s="2"/>
    </row>
    <row r="759" spans="1:63" ht="12.5" x14ac:dyDescent="0.25">
      <c r="A759" s="8"/>
      <c r="B759" s="8"/>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H759" s="2"/>
      <c r="BI759" s="12"/>
      <c r="BJ759" s="2"/>
      <c r="BK759" s="2"/>
    </row>
    <row r="760" spans="1:63" ht="12.5" x14ac:dyDescent="0.25">
      <c r="A760" s="8"/>
      <c r="B760" s="8"/>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H760" s="2"/>
      <c r="BI760" s="13"/>
      <c r="BJ760" s="2"/>
      <c r="BK760" s="2"/>
    </row>
    <row r="761" spans="1:63" ht="12.5" x14ac:dyDescent="0.25">
      <c r="A761" s="8"/>
      <c r="B761" s="8"/>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H761" s="2"/>
      <c r="BI761" s="12"/>
      <c r="BJ761" s="2"/>
      <c r="BK761" s="2"/>
    </row>
    <row r="762" spans="1:63" ht="12.5" x14ac:dyDescent="0.25">
      <c r="A762" s="8"/>
      <c r="B762" s="8"/>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H762" s="2"/>
      <c r="BI762" s="13"/>
      <c r="BJ762" s="2"/>
      <c r="BK762" s="2"/>
    </row>
    <row r="763" spans="1:63" ht="12.5" x14ac:dyDescent="0.25">
      <c r="A763" s="8"/>
      <c r="B763" s="8"/>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H763" s="2"/>
      <c r="BI763" s="12"/>
      <c r="BJ763" s="2"/>
      <c r="BK763" s="2"/>
    </row>
    <row r="764" spans="1:63" ht="12.5" x14ac:dyDescent="0.25">
      <c r="A764" s="8"/>
      <c r="B764" s="8"/>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H764" s="2"/>
      <c r="BI764" s="13"/>
      <c r="BJ764" s="2"/>
      <c r="BK764" s="2"/>
    </row>
    <row r="765" spans="1:63" ht="12.5" x14ac:dyDescent="0.25">
      <c r="A765" s="8"/>
      <c r="B765" s="8"/>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H765" s="2"/>
      <c r="BI765" s="12"/>
      <c r="BJ765" s="2"/>
      <c r="BK765" s="2"/>
    </row>
    <row r="766" spans="1:63" ht="12.5" x14ac:dyDescent="0.25">
      <c r="A766" s="8"/>
      <c r="B766" s="8"/>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H766" s="2"/>
      <c r="BI766" s="13"/>
      <c r="BJ766" s="2"/>
      <c r="BK766" s="2"/>
    </row>
    <row r="767" spans="1:63" ht="12.5" x14ac:dyDescent="0.25">
      <c r="A767" s="8"/>
      <c r="B767" s="8"/>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H767" s="2"/>
      <c r="BI767" s="12"/>
      <c r="BJ767" s="2"/>
      <c r="BK767" s="2"/>
    </row>
    <row r="768" spans="1:63" ht="12.5" x14ac:dyDescent="0.25">
      <c r="A768" s="8"/>
      <c r="B768" s="8"/>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H768" s="2"/>
      <c r="BI768" s="13"/>
      <c r="BJ768" s="2"/>
      <c r="BK768" s="2"/>
    </row>
    <row r="769" spans="1:63" ht="12.5" x14ac:dyDescent="0.25">
      <c r="A769" s="8"/>
      <c r="B769" s="8"/>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H769" s="2"/>
      <c r="BI769" s="12"/>
      <c r="BJ769" s="2"/>
      <c r="BK769" s="2"/>
    </row>
    <row r="770" spans="1:63" ht="12.5" x14ac:dyDescent="0.25">
      <c r="A770" s="8"/>
      <c r="B770" s="8"/>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H770" s="2"/>
      <c r="BI770" s="13"/>
      <c r="BJ770" s="2"/>
      <c r="BK770" s="2"/>
    </row>
    <row r="771" spans="1:63" ht="12.5" x14ac:dyDescent="0.25">
      <c r="A771" s="8"/>
      <c r="B771" s="8"/>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H771" s="2"/>
      <c r="BI771" s="12"/>
      <c r="BJ771" s="2"/>
      <c r="BK771" s="2"/>
    </row>
    <row r="772" spans="1:63" ht="12.5" x14ac:dyDescent="0.25">
      <c r="A772" s="8"/>
      <c r="B772" s="8"/>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H772" s="2"/>
      <c r="BI772" s="13"/>
      <c r="BJ772" s="2"/>
      <c r="BK772" s="2"/>
    </row>
    <row r="773" spans="1:63" ht="12.5" x14ac:dyDescent="0.25">
      <c r="A773" s="8"/>
      <c r="B773" s="8"/>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H773" s="2"/>
      <c r="BI773" s="12"/>
      <c r="BJ773" s="2"/>
      <c r="BK773" s="2"/>
    </row>
    <row r="774" spans="1:63" ht="12.5" x14ac:dyDescent="0.25">
      <c r="A774" s="8"/>
      <c r="B774" s="8"/>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H774" s="2"/>
      <c r="BI774" s="13"/>
      <c r="BJ774" s="2"/>
      <c r="BK774" s="2"/>
    </row>
    <row r="775" spans="1:63" ht="12.5" x14ac:dyDescent="0.25">
      <c r="A775" s="8"/>
      <c r="B775" s="8"/>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H775" s="2"/>
      <c r="BI775" s="12"/>
      <c r="BJ775" s="2"/>
      <c r="BK775" s="2"/>
    </row>
    <row r="776" spans="1:63" ht="12.5" x14ac:dyDescent="0.25">
      <c r="A776" s="8"/>
      <c r="B776" s="8"/>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H776" s="2"/>
      <c r="BI776" s="13"/>
      <c r="BJ776" s="2"/>
      <c r="BK776" s="2"/>
    </row>
    <row r="777" spans="1:63" ht="12.5" x14ac:dyDescent="0.25">
      <c r="A777" s="8"/>
      <c r="B777" s="8"/>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H777" s="2"/>
      <c r="BI777" s="12"/>
      <c r="BJ777" s="2"/>
      <c r="BK777" s="2"/>
    </row>
    <row r="778" spans="1:63" ht="12.5" x14ac:dyDescent="0.25">
      <c r="A778" s="8"/>
      <c r="B778" s="8"/>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H778" s="2"/>
      <c r="BI778" s="13"/>
      <c r="BJ778" s="2"/>
      <c r="BK778" s="2"/>
    </row>
    <row r="779" spans="1:63" ht="12.5" x14ac:dyDescent="0.25">
      <c r="A779" s="8"/>
      <c r="B779" s="8"/>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H779" s="2"/>
      <c r="BI779" s="12"/>
      <c r="BJ779" s="2"/>
      <c r="BK779" s="2"/>
    </row>
    <row r="780" spans="1:63" ht="12.5" x14ac:dyDescent="0.25">
      <c r="A780" s="8"/>
      <c r="B780" s="8"/>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H780" s="2"/>
      <c r="BI780" s="13"/>
      <c r="BJ780" s="2"/>
      <c r="BK780" s="2"/>
    </row>
    <row r="781" spans="1:63" ht="12.5" x14ac:dyDescent="0.25">
      <c r="A781" s="8"/>
      <c r="B781" s="8"/>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H781" s="2"/>
      <c r="BI781" s="12"/>
      <c r="BJ781" s="2"/>
      <c r="BK781" s="2"/>
    </row>
    <row r="782" spans="1:63" ht="12.5" x14ac:dyDescent="0.25">
      <c r="A782" s="8"/>
      <c r="B782" s="8"/>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H782" s="2"/>
      <c r="BI782" s="13"/>
      <c r="BJ782" s="2"/>
      <c r="BK782" s="2"/>
    </row>
    <row r="783" spans="1:63" ht="12.5" x14ac:dyDescent="0.25">
      <c r="A783" s="8"/>
      <c r="B783" s="8"/>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H783" s="2"/>
      <c r="BI783" s="12"/>
      <c r="BJ783" s="2"/>
      <c r="BK783" s="2"/>
    </row>
    <row r="784" spans="1:63" ht="12.5" x14ac:dyDescent="0.25">
      <c r="A784" s="8"/>
      <c r="B784" s="8"/>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H784" s="2"/>
      <c r="BI784" s="13"/>
      <c r="BJ784" s="2"/>
      <c r="BK784" s="2"/>
    </row>
    <row r="785" spans="1:63" ht="12.5" x14ac:dyDescent="0.25">
      <c r="A785" s="8"/>
      <c r="B785" s="8"/>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H785" s="2"/>
      <c r="BI785" s="12"/>
      <c r="BJ785" s="2"/>
      <c r="BK785" s="2"/>
    </row>
    <row r="786" spans="1:63" ht="12.5" x14ac:dyDescent="0.25">
      <c r="A786" s="8"/>
      <c r="B786" s="8"/>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H786" s="2"/>
      <c r="BI786" s="13"/>
      <c r="BJ786" s="2"/>
      <c r="BK786" s="2"/>
    </row>
    <row r="787" spans="1:63" ht="12.5" x14ac:dyDescent="0.25">
      <c r="A787" s="8"/>
      <c r="B787" s="8"/>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H787" s="2"/>
      <c r="BI787" s="12"/>
      <c r="BJ787" s="2"/>
      <c r="BK787" s="2"/>
    </row>
    <row r="788" spans="1:63" ht="12.5" x14ac:dyDescent="0.25">
      <c r="A788" s="8"/>
      <c r="B788" s="8"/>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H788" s="2"/>
      <c r="BI788" s="13"/>
      <c r="BJ788" s="2"/>
      <c r="BK788" s="2"/>
    </row>
    <row r="789" spans="1:63" ht="12.5" x14ac:dyDescent="0.25">
      <c r="A789" s="8"/>
      <c r="B789" s="8"/>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H789" s="2"/>
      <c r="BI789" s="12"/>
      <c r="BJ789" s="2"/>
      <c r="BK789" s="2"/>
    </row>
    <row r="790" spans="1:63" ht="12.5" x14ac:dyDescent="0.25">
      <c r="A790" s="8"/>
      <c r="B790" s="8"/>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H790" s="2"/>
      <c r="BI790" s="13"/>
      <c r="BJ790" s="2"/>
      <c r="BK790" s="2"/>
    </row>
    <row r="791" spans="1:63" ht="12.5" x14ac:dyDescent="0.25">
      <c r="A791" s="8"/>
      <c r="B791" s="8"/>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H791" s="2"/>
      <c r="BI791" s="12"/>
      <c r="BJ791" s="2"/>
      <c r="BK791" s="2"/>
    </row>
    <row r="792" spans="1:63" ht="12.5" x14ac:dyDescent="0.25">
      <c r="A792" s="8"/>
      <c r="B792" s="8"/>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H792" s="2"/>
      <c r="BI792" s="13"/>
      <c r="BJ792" s="2"/>
      <c r="BK792" s="2"/>
    </row>
    <row r="793" spans="1:63" ht="12.5" x14ac:dyDescent="0.25">
      <c r="A793" s="8"/>
      <c r="B793" s="8"/>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H793" s="2"/>
      <c r="BI793" s="12"/>
      <c r="BJ793" s="2"/>
      <c r="BK793" s="2"/>
    </row>
    <row r="794" spans="1:63" ht="12.5" x14ac:dyDescent="0.25">
      <c r="A794" s="8"/>
      <c r="B794" s="8"/>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H794" s="2"/>
      <c r="BI794" s="13"/>
      <c r="BJ794" s="2"/>
      <c r="BK794" s="2"/>
    </row>
    <row r="795" spans="1:63" ht="12.5" x14ac:dyDescent="0.25">
      <c r="A795" s="8"/>
      <c r="B795" s="8"/>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H795" s="2"/>
      <c r="BI795" s="12"/>
      <c r="BJ795" s="2"/>
      <c r="BK795" s="2"/>
    </row>
    <row r="796" spans="1:63" ht="12.5" x14ac:dyDescent="0.25">
      <c r="A796" s="8"/>
      <c r="B796" s="8"/>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H796" s="2"/>
      <c r="BI796" s="13"/>
      <c r="BJ796" s="2"/>
      <c r="BK796" s="2"/>
    </row>
    <row r="797" spans="1:63" ht="12.5" x14ac:dyDescent="0.25">
      <c r="A797" s="8"/>
      <c r="B797" s="8"/>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H797" s="2"/>
      <c r="BI797" s="12"/>
      <c r="BJ797" s="2"/>
      <c r="BK797" s="2"/>
    </row>
    <row r="798" spans="1:63" ht="12.5" x14ac:dyDescent="0.25">
      <c r="A798" s="8"/>
      <c r="B798" s="8"/>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H798" s="2"/>
      <c r="BI798" s="13"/>
      <c r="BJ798" s="2"/>
      <c r="BK798" s="2"/>
    </row>
    <row r="799" spans="1:63" ht="12.5" x14ac:dyDescent="0.25">
      <c r="A799" s="8"/>
      <c r="B799" s="8"/>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H799" s="2"/>
      <c r="BI799" s="12"/>
      <c r="BJ799" s="2"/>
      <c r="BK799" s="2"/>
    </row>
    <row r="800" spans="1:63" ht="12.5" x14ac:dyDescent="0.25">
      <c r="A800" s="8"/>
      <c r="B800" s="8"/>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H800" s="2"/>
      <c r="BI800" s="13"/>
      <c r="BJ800" s="2"/>
      <c r="BK800" s="2"/>
    </row>
    <row r="801" spans="1:63" ht="12.5" x14ac:dyDescent="0.25">
      <c r="A801" s="8"/>
      <c r="B801" s="8"/>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H801" s="2"/>
      <c r="BI801" s="12"/>
      <c r="BJ801" s="2"/>
      <c r="BK801" s="2"/>
    </row>
    <row r="802" spans="1:63" ht="12.5" x14ac:dyDescent="0.25">
      <c r="A802" s="8"/>
      <c r="B802" s="8"/>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H802" s="2"/>
      <c r="BI802" s="13"/>
      <c r="BJ802" s="2"/>
      <c r="BK802" s="2"/>
    </row>
    <row r="803" spans="1:63" ht="12.5" x14ac:dyDescent="0.25">
      <c r="A803" s="8"/>
      <c r="B803" s="8"/>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H803" s="2"/>
      <c r="BI803" s="12"/>
      <c r="BJ803" s="2"/>
      <c r="BK803" s="2"/>
    </row>
    <row r="804" spans="1:63" ht="12.5" x14ac:dyDescent="0.25">
      <c r="A804" s="8"/>
      <c r="B804" s="8"/>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H804" s="2"/>
      <c r="BI804" s="13"/>
      <c r="BJ804" s="2"/>
      <c r="BK804" s="2"/>
    </row>
    <row r="805" spans="1:63" ht="12.5" x14ac:dyDescent="0.25">
      <c r="A805" s="8"/>
      <c r="B805" s="8"/>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H805" s="2"/>
      <c r="BI805" s="12"/>
      <c r="BJ805" s="2"/>
      <c r="BK805" s="2"/>
    </row>
    <row r="806" spans="1:63" ht="12.5" x14ac:dyDescent="0.25">
      <c r="A806" s="8"/>
      <c r="B806" s="8"/>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H806" s="2"/>
      <c r="BI806" s="13"/>
      <c r="BJ806" s="2"/>
      <c r="BK806" s="2"/>
    </row>
    <row r="807" spans="1:63" ht="12.5" x14ac:dyDescent="0.25">
      <c r="A807" s="8"/>
      <c r="B807" s="8"/>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H807" s="2"/>
      <c r="BI807" s="12"/>
      <c r="BJ807" s="2"/>
      <c r="BK807" s="2"/>
    </row>
    <row r="808" spans="1:63" ht="12.5" x14ac:dyDescent="0.25">
      <c r="A808" s="8"/>
      <c r="B808" s="8"/>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H808" s="2"/>
      <c r="BI808" s="13"/>
      <c r="BJ808" s="2"/>
      <c r="BK808" s="2"/>
    </row>
    <row r="809" spans="1:63" ht="12.5" x14ac:dyDescent="0.25">
      <c r="A809" s="8"/>
      <c r="B809" s="8"/>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H809" s="2"/>
      <c r="BI809" s="12"/>
      <c r="BJ809" s="2"/>
      <c r="BK809" s="2"/>
    </row>
    <row r="810" spans="1:63" ht="12.5" x14ac:dyDescent="0.25">
      <c r="A810" s="8"/>
      <c r="B810" s="8"/>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H810" s="2"/>
      <c r="BI810" s="13"/>
      <c r="BJ810" s="2"/>
      <c r="BK810" s="2"/>
    </row>
    <row r="811" spans="1:63" ht="12.5" x14ac:dyDescent="0.25">
      <c r="A811" s="8"/>
      <c r="B811" s="8"/>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H811" s="2"/>
      <c r="BI811" s="12"/>
      <c r="BJ811" s="2"/>
      <c r="BK811" s="2"/>
    </row>
    <row r="812" spans="1:63" ht="12.5" x14ac:dyDescent="0.25">
      <c r="A812" s="8"/>
      <c r="B812" s="8"/>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H812" s="2"/>
      <c r="BI812" s="13"/>
      <c r="BJ812" s="2"/>
      <c r="BK812" s="2"/>
    </row>
    <row r="813" spans="1:63" ht="12.5" x14ac:dyDescent="0.25">
      <c r="A813" s="8"/>
      <c r="B813" s="8"/>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H813" s="2"/>
      <c r="BI813" s="12"/>
      <c r="BJ813" s="2"/>
      <c r="BK813" s="2"/>
    </row>
    <row r="814" spans="1:63" ht="12.5" x14ac:dyDescent="0.25">
      <c r="A814" s="8"/>
      <c r="B814" s="8"/>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H814" s="2"/>
      <c r="BI814" s="13"/>
      <c r="BJ814" s="2"/>
      <c r="BK814" s="2"/>
    </row>
    <row r="815" spans="1:63" ht="12.5" x14ac:dyDescent="0.25">
      <c r="A815" s="8"/>
      <c r="B815" s="8"/>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H815" s="2"/>
      <c r="BI815" s="12"/>
      <c r="BJ815" s="2"/>
      <c r="BK815" s="2"/>
    </row>
    <row r="816" spans="1:63" ht="12.5" x14ac:dyDescent="0.25">
      <c r="A816" s="8"/>
      <c r="B816" s="8"/>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H816" s="2"/>
      <c r="BI816" s="13"/>
      <c r="BJ816" s="2"/>
      <c r="BK816" s="2"/>
    </row>
    <row r="817" spans="1:63" ht="12.5" x14ac:dyDescent="0.25">
      <c r="A817" s="8"/>
      <c r="B817" s="8"/>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H817" s="2"/>
      <c r="BI817" s="12"/>
      <c r="BJ817" s="2"/>
      <c r="BK817" s="2"/>
    </row>
    <row r="818" spans="1:63" ht="12.5" x14ac:dyDescent="0.25">
      <c r="A818" s="8"/>
      <c r="B818" s="8"/>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H818" s="2"/>
      <c r="BI818" s="13"/>
      <c r="BJ818" s="2"/>
      <c r="BK818" s="2"/>
    </row>
    <row r="819" spans="1:63" ht="12.5" x14ac:dyDescent="0.25">
      <c r="A819" s="8"/>
      <c r="B819" s="8"/>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H819" s="2"/>
      <c r="BI819" s="12"/>
      <c r="BJ819" s="2"/>
      <c r="BK819" s="2"/>
    </row>
    <row r="820" spans="1:63" ht="12.5" x14ac:dyDescent="0.25">
      <c r="A820" s="8"/>
      <c r="B820" s="8"/>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H820" s="2"/>
      <c r="BI820" s="13"/>
      <c r="BJ820" s="2"/>
      <c r="BK820" s="2"/>
    </row>
    <row r="821" spans="1:63" ht="12.5" x14ac:dyDescent="0.25">
      <c r="A821" s="8"/>
      <c r="B821" s="8"/>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H821" s="2"/>
      <c r="BI821" s="12"/>
      <c r="BJ821" s="2"/>
      <c r="BK821" s="2"/>
    </row>
    <row r="822" spans="1:63" ht="12.5" x14ac:dyDescent="0.25">
      <c r="A822" s="8"/>
      <c r="B822" s="8"/>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H822" s="2"/>
      <c r="BI822" s="13"/>
      <c r="BJ822" s="2"/>
      <c r="BK822" s="2"/>
    </row>
    <row r="823" spans="1:63" ht="12.5" x14ac:dyDescent="0.25">
      <c r="A823" s="8"/>
      <c r="B823" s="8"/>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H823" s="2"/>
      <c r="BI823" s="12"/>
      <c r="BJ823" s="2"/>
      <c r="BK823" s="2"/>
    </row>
    <row r="824" spans="1:63" ht="12.5" x14ac:dyDescent="0.25">
      <c r="A824" s="8"/>
      <c r="B824" s="8"/>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H824" s="2"/>
      <c r="BI824" s="13"/>
      <c r="BJ824" s="2"/>
      <c r="BK824" s="2"/>
    </row>
    <row r="825" spans="1:63" ht="12.5" x14ac:dyDescent="0.25">
      <c r="A825" s="8"/>
      <c r="B825" s="8"/>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H825" s="2"/>
      <c r="BI825" s="12"/>
      <c r="BJ825" s="2"/>
      <c r="BK825" s="2"/>
    </row>
    <row r="826" spans="1:63" ht="12.5" x14ac:dyDescent="0.25">
      <c r="A826" s="8"/>
      <c r="B826" s="8"/>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H826" s="2"/>
      <c r="BI826" s="13"/>
      <c r="BJ826" s="2"/>
      <c r="BK826" s="2"/>
    </row>
    <row r="827" spans="1:63" ht="12.5" x14ac:dyDescent="0.25">
      <c r="A827" s="8"/>
      <c r="B827" s="8"/>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H827" s="2"/>
      <c r="BI827" s="12"/>
      <c r="BJ827" s="2"/>
      <c r="BK827" s="2"/>
    </row>
    <row r="828" spans="1:63" ht="12.5" x14ac:dyDescent="0.25">
      <c r="A828" s="8"/>
      <c r="B828" s="8"/>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H828" s="2"/>
      <c r="BI828" s="13"/>
      <c r="BJ828" s="2"/>
      <c r="BK828" s="2"/>
    </row>
    <row r="829" spans="1:63" ht="12.5" x14ac:dyDescent="0.25">
      <c r="A829" s="8"/>
      <c r="B829" s="8"/>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H829" s="2"/>
      <c r="BI829" s="12"/>
      <c r="BJ829" s="2"/>
      <c r="BK829" s="2"/>
    </row>
    <row r="830" spans="1:63" ht="12.5" x14ac:dyDescent="0.25">
      <c r="A830" s="8"/>
      <c r="B830" s="8"/>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H830" s="2"/>
      <c r="BI830" s="13"/>
      <c r="BJ830" s="2"/>
      <c r="BK830" s="2"/>
    </row>
    <row r="831" spans="1:63" ht="12.5" x14ac:dyDescent="0.25">
      <c r="A831" s="8"/>
      <c r="B831" s="8"/>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H831" s="2"/>
      <c r="BI831" s="12"/>
      <c r="BJ831" s="2"/>
      <c r="BK831" s="2"/>
    </row>
    <row r="832" spans="1:63" ht="12.5" x14ac:dyDescent="0.25">
      <c r="A832" s="8"/>
      <c r="B832" s="8"/>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H832" s="2"/>
      <c r="BI832" s="13"/>
      <c r="BJ832" s="2"/>
      <c r="BK832" s="2"/>
    </row>
    <row r="833" spans="1:63" ht="12.5" x14ac:dyDescent="0.25">
      <c r="A833" s="8"/>
      <c r="B833" s="8"/>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H833" s="2"/>
      <c r="BI833" s="12"/>
      <c r="BJ833" s="2"/>
      <c r="BK833" s="2"/>
    </row>
    <row r="834" spans="1:63" ht="12.5" x14ac:dyDescent="0.25">
      <c r="A834" s="8"/>
      <c r="B834" s="8"/>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H834" s="2"/>
      <c r="BI834" s="13"/>
      <c r="BJ834" s="2"/>
      <c r="BK834" s="2"/>
    </row>
    <row r="835" spans="1:63" ht="12.5" x14ac:dyDescent="0.25">
      <c r="A835" s="8"/>
      <c r="B835" s="8"/>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H835" s="2"/>
      <c r="BI835" s="12"/>
      <c r="BJ835" s="2"/>
      <c r="BK835" s="2"/>
    </row>
    <row r="836" spans="1:63" ht="12.5" x14ac:dyDescent="0.25">
      <c r="A836" s="8"/>
      <c r="B836" s="8"/>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H836" s="2"/>
      <c r="BI836" s="13"/>
      <c r="BJ836" s="2"/>
      <c r="BK836" s="2"/>
    </row>
    <row r="837" spans="1:63" ht="12.5" x14ac:dyDescent="0.25">
      <c r="A837" s="8"/>
      <c r="B837" s="8"/>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H837" s="2"/>
      <c r="BI837" s="12"/>
      <c r="BJ837" s="2"/>
      <c r="BK837" s="2"/>
    </row>
    <row r="838" spans="1:63" ht="12.5" x14ac:dyDescent="0.25">
      <c r="A838" s="8"/>
      <c r="B838" s="8"/>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H838" s="2"/>
      <c r="BI838" s="13"/>
      <c r="BJ838" s="2"/>
      <c r="BK838" s="2"/>
    </row>
    <row r="839" spans="1:63" ht="12.5" x14ac:dyDescent="0.25">
      <c r="A839" s="8"/>
      <c r="B839" s="8"/>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H839" s="2"/>
      <c r="BI839" s="12"/>
      <c r="BJ839" s="2"/>
      <c r="BK839" s="2"/>
    </row>
    <row r="840" spans="1:63" ht="12.5" x14ac:dyDescent="0.25">
      <c r="A840" s="8"/>
      <c r="B840" s="8"/>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H840" s="2"/>
      <c r="BI840" s="13"/>
      <c r="BJ840" s="2"/>
      <c r="BK840" s="2"/>
    </row>
    <row r="841" spans="1:63" ht="12.5" x14ac:dyDescent="0.25">
      <c r="A841" s="8"/>
      <c r="B841" s="8"/>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H841" s="2"/>
      <c r="BI841" s="12"/>
      <c r="BJ841" s="2"/>
      <c r="BK841" s="2"/>
    </row>
    <row r="842" spans="1:63" ht="12.5" x14ac:dyDescent="0.25">
      <c r="A842" s="8"/>
      <c r="B842" s="8"/>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H842" s="2"/>
      <c r="BI842" s="13"/>
      <c r="BJ842" s="2"/>
      <c r="BK842" s="2"/>
    </row>
    <row r="843" spans="1:63" ht="12.5" x14ac:dyDescent="0.25">
      <c r="A843" s="8"/>
      <c r="B843" s="8"/>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H843" s="2"/>
      <c r="BI843" s="12"/>
      <c r="BJ843" s="2"/>
      <c r="BK843" s="2"/>
    </row>
    <row r="844" spans="1:63" ht="12.5" x14ac:dyDescent="0.25">
      <c r="A844" s="8"/>
      <c r="B844" s="8"/>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H844" s="2"/>
      <c r="BI844" s="13"/>
      <c r="BJ844" s="2"/>
      <c r="BK844" s="2"/>
    </row>
    <row r="845" spans="1:63" ht="12.5" x14ac:dyDescent="0.25">
      <c r="A845" s="8"/>
      <c r="B845" s="8"/>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H845" s="2"/>
      <c r="BI845" s="12"/>
      <c r="BJ845" s="2"/>
      <c r="BK845" s="2"/>
    </row>
    <row r="846" spans="1:63" ht="12.5" x14ac:dyDescent="0.25">
      <c r="A846" s="8"/>
      <c r="B846" s="8"/>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H846" s="2"/>
      <c r="BI846" s="13"/>
      <c r="BJ846" s="2"/>
      <c r="BK846" s="2"/>
    </row>
    <row r="847" spans="1:63" ht="12.5" x14ac:dyDescent="0.25">
      <c r="A847" s="8"/>
      <c r="B847" s="8"/>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H847" s="2"/>
      <c r="BI847" s="12"/>
      <c r="BJ847" s="2"/>
      <c r="BK847" s="2"/>
    </row>
    <row r="848" spans="1:63" ht="12.5" x14ac:dyDescent="0.25">
      <c r="A848" s="8"/>
      <c r="B848" s="8"/>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H848" s="2"/>
      <c r="BI848" s="13"/>
      <c r="BJ848" s="2"/>
      <c r="BK848" s="2"/>
    </row>
    <row r="849" spans="1:63" ht="12.5" x14ac:dyDescent="0.25">
      <c r="A849" s="8"/>
      <c r="B849" s="8"/>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H849" s="2"/>
      <c r="BI849" s="12"/>
      <c r="BJ849" s="2"/>
      <c r="BK849" s="2"/>
    </row>
    <row r="850" spans="1:63" ht="12.5" x14ac:dyDescent="0.25">
      <c r="A850" s="8"/>
      <c r="B850" s="8"/>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H850" s="2"/>
      <c r="BI850" s="13"/>
      <c r="BJ850" s="2"/>
      <c r="BK850" s="2"/>
    </row>
    <row r="851" spans="1:63" ht="12.5" x14ac:dyDescent="0.25">
      <c r="A851" s="8"/>
      <c r="B851" s="8"/>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H851" s="2"/>
      <c r="BI851" s="12"/>
      <c r="BJ851" s="2"/>
      <c r="BK851" s="2"/>
    </row>
    <row r="852" spans="1:63" ht="12.5" x14ac:dyDescent="0.25">
      <c r="A852" s="8"/>
      <c r="B852" s="8"/>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H852" s="2"/>
      <c r="BI852" s="13"/>
      <c r="BJ852" s="2"/>
      <c r="BK852" s="2"/>
    </row>
    <row r="853" spans="1:63" ht="12.5" x14ac:dyDescent="0.25">
      <c r="A853" s="8"/>
      <c r="B853" s="8"/>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H853" s="2"/>
      <c r="BI853" s="12"/>
      <c r="BJ853" s="2"/>
      <c r="BK853" s="2"/>
    </row>
    <row r="854" spans="1:63" ht="12.5" x14ac:dyDescent="0.25">
      <c r="A854" s="8"/>
      <c r="B854" s="8"/>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H854" s="2"/>
      <c r="BI854" s="13"/>
      <c r="BJ854" s="2"/>
      <c r="BK854" s="2"/>
    </row>
    <row r="855" spans="1:63" ht="12.5" x14ac:dyDescent="0.25">
      <c r="A855" s="8"/>
      <c r="B855" s="8"/>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H855" s="2"/>
      <c r="BI855" s="12"/>
      <c r="BJ855" s="2"/>
      <c r="BK855" s="2"/>
    </row>
    <row r="856" spans="1:63" ht="12.5" x14ac:dyDescent="0.25">
      <c r="A856" s="8"/>
      <c r="B856" s="8"/>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H856" s="2"/>
      <c r="BI856" s="13"/>
      <c r="BJ856" s="2"/>
      <c r="BK856" s="2"/>
    </row>
    <row r="857" spans="1:63" ht="12.5" x14ac:dyDescent="0.25">
      <c r="A857" s="8"/>
      <c r="B857" s="8"/>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H857" s="2"/>
      <c r="BI857" s="12"/>
      <c r="BJ857" s="2"/>
      <c r="BK857" s="2"/>
    </row>
    <row r="858" spans="1:63" ht="12.5" x14ac:dyDescent="0.25">
      <c r="A858" s="8"/>
      <c r="B858" s="8"/>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H858" s="2"/>
      <c r="BI858" s="13"/>
      <c r="BJ858" s="2"/>
      <c r="BK858" s="2"/>
    </row>
    <row r="859" spans="1:63" ht="12.5" x14ac:dyDescent="0.25">
      <c r="A859" s="8"/>
      <c r="B859" s="8"/>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H859" s="2"/>
      <c r="BI859" s="12"/>
      <c r="BJ859" s="2"/>
      <c r="BK859" s="2"/>
    </row>
    <row r="860" spans="1:63" ht="12.5" x14ac:dyDescent="0.25">
      <c r="A860" s="8"/>
      <c r="B860" s="8"/>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H860" s="2"/>
      <c r="BI860" s="13"/>
      <c r="BJ860" s="2"/>
      <c r="BK860" s="2"/>
    </row>
    <row r="861" spans="1:63" ht="12.5" x14ac:dyDescent="0.25">
      <c r="A861" s="8"/>
      <c r="B861" s="8"/>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H861" s="2"/>
      <c r="BI861" s="12"/>
      <c r="BJ861" s="2"/>
      <c r="BK861" s="2"/>
    </row>
    <row r="862" spans="1:63" ht="12.5" x14ac:dyDescent="0.25">
      <c r="A862" s="8"/>
      <c r="B862" s="8"/>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H862" s="2"/>
      <c r="BI862" s="13"/>
      <c r="BJ862" s="2"/>
      <c r="BK862" s="2"/>
    </row>
    <row r="863" spans="1:63" ht="12.5" x14ac:dyDescent="0.25">
      <c r="A863" s="8"/>
      <c r="B863" s="8"/>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H863" s="2"/>
      <c r="BI863" s="12"/>
      <c r="BJ863" s="2"/>
      <c r="BK863" s="2"/>
    </row>
    <row r="864" spans="1:63" ht="12.5" x14ac:dyDescent="0.25">
      <c r="A864" s="8"/>
      <c r="B864" s="8"/>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H864" s="2"/>
      <c r="BI864" s="13"/>
      <c r="BJ864" s="2"/>
      <c r="BK864" s="2"/>
    </row>
    <row r="865" spans="1:63" ht="12.5" x14ac:dyDescent="0.25">
      <c r="A865" s="8"/>
      <c r="B865" s="8"/>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H865" s="2"/>
      <c r="BI865" s="12"/>
      <c r="BJ865" s="2"/>
      <c r="BK865" s="2"/>
    </row>
    <row r="866" spans="1:63" ht="12.5" x14ac:dyDescent="0.25">
      <c r="A866" s="8"/>
      <c r="B866" s="8"/>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H866" s="2"/>
      <c r="BI866" s="13"/>
      <c r="BJ866" s="2"/>
      <c r="BK866" s="2"/>
    </row>
    <row r="867" spans="1:63" ht="12.5" x14ac:dyDescent="0.25">
      <c r="A867" s="8"/>
      <c r="B867" s="8"/>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H867" s="2"/>
      <c r="BI867" s="12"/>
      <c r="BJ867" s="2"/>
      <c r="BK867" s="2"/>
    </row>
    <row r="868" spans="1:63" ht="12.5" x14ac:dyDescent="0.25">
      <c r="A868" s="8"/>
      <c r="B868" s="8"/>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H868" s="2"/>
      <c r="BI868" s="13"/>
      <c r="BJ868" s="2"/>
      <c r="BK868" s="2"/>
    </row>
    <row r="869" spans="1:63" ht="12.5" x14ac:dyDescent="0.25">
      <c r="A869" s="8"/>
      <c r="B869" s="8"/>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H869" s="2"/>
      <c r="BI869" s="12"/>
      <c r="BJ869" s="2"/>
      <c r="BK869" s="2"/>
    </row>
    <row r="870" spans="1:63" ht="12.5" x14ac:dyDescent="0.25">
      <c r="A870" s="8"/>
      <c r="B870" s="8"/>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H870" s="2"/>
      <c r="BI870" s="13"/>
      <c r="BJ870" s="2"/>
      <c r="BK870" s="2"/>
    </row>
    <row r="871" spans="1:63" ht="12.5" x14ac:dyDescent="0.25">
      <c r="A871" s="8"/>
      <c r="B871" s="8"/>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H871" s="2"/>
      <c r="BI871" s="12"/>
      <c r="BJ871" s="2"/>
      <c r="BK871" s="2"/>
    </row>
    <row r="872" spans="1:63" ht="12.5" x14ac:dyDescent="0.25">
      <c r="A872" s="8"/>
      <c r="B872" s="8"/>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H872" s="2"/>
      <c r="BI872" s="13"/>
      <c r="BJ872" s="2"/>
      <c r="BK872" s="2"/>
    </row>
    <row r="873" spans="1:63" ht="12.5" x14ac:dyDescent="0.25">
      <c r="A873" s="8"/>
      <c r="B873" s="8"/>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H873" s="2"/>
      <c r="BI873" s="12"/>
      <c r="BJ873" s="2"/>
      <c r="BK873" s="2"/>
    </row>
    <row r="874" spans="1:63" ht="12.5" x14ac:dyDescent="0.25">
      <c r="A874" s="8"/>
      <c r="B874" s="8"/>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H874" s="2"/>
      <c r="BI874" s="13"/>
      <c r="BJ874" s="2"/>
      <c r="BK874" s="2"/>
    </row>
    <row r="875" spans="1:63" ht="12.5" x14ac:dyDescent="0.25">
      <c r="A875" s="8"/>
      <c r="B875" s="8"/>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H875" s="2"/>
      <c r="BI875" s="12"/>
      <c r="BJ875" s="2"/>
      <c r="BK875" s="2"/>
    </row>
    <row r="876" spans="1:63" ht="12.5" x14ac:dyDescent="0.25">
      <c r="A876" s="8"/>
      <c r="B876" s="8"/>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H876" s="2"/>
      <c r="BI876" s="13"/>
      <c r="BJ876" s="2"/>
      <c r="BK876" s="2"/>
    </row>
    <row r="877" spans="1:63" ht="12.5" x14ac:dyDescent="0.25">
      <c r="A877" s="8"/>
      <c r="B877" s="8"/>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H877" s="2"/>
      <c r="BI877" s="12"/>
      <c r="BJ877" s="2"/>
      <c r="BK877" s="2"/>
    </row>
    <row r="878" spans="1:63" ht="12.5" x14ac:dyDescent="0.25">
      <c r="A878" s="8"/>
      <c r="B878" s="8"/>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H878" s="2"/>
      <c r="BI878" s="13"/>
      <c r="BJ878" s="2"/>
      <c r="BK878" s="2"/>
    </row>
    <row r="879" spans="1:63" ht="12.5" x14ac:dyDescent="0.25">
      <c r="A879" s="8"/>
      <c r="B879" s="8"/>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H879" s="2"/>
      <c r="BI879" s="12"/>
      <c r="BJ879" s="2"/>
      <c r="BK879" s="2"/>
    </row>
    <row r="880" spans="1:63" ht="12.5" x14ac:dyDescent="0.25">
      <c r="A880" s="8"/>
      <c r="B880" s="8"/>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H880" s="2"/>
      <c r="BI880" s="13"/>
      <c r="BJ880" s="2"/>
      <c r="BK880" s="2"/>
    </row>
    <row r="881" spans="1:63" ht="12.5" x14ac:dyDescent="0.25">
      <c r="A881" s="8"/>
      <c r="B881" s="8"/>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H881" s="2"/>
      <c r="BI881" s="12"/>
      <c r="BJ881" s="2"/>
      <c r="BK881" s="2"/>
    </row>
    <row r="882" spans="1:63" ht="12.5" x14ac:dyDescent="0.25">
      <c r="A882" s="8"/>
      <c r="B882" s="8"/>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H882" s="2"/>
      <c r="BI882" s="13"/>
      <c r="BJ882" s="2"/>
      <c r="BK882" s="2"/>
    </row>
    <row r="883" spans="1:63" ht="12.5" x14ac:dyDescent="0.25">
      <c r="A883" s="8"/>
      <c r="B883" s="8"/>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H883" s="2"/>
      <c r="BI883" s="12"/>
      <c r="BJ883" s="2"/>
      <c r="BK883" s="2"/>
    </row>
    <row r="884" spans="1:63" ht="12.5" x14ac:dyDescent="0.25">
      <c r="A884" s="8"/>
      <c r="B884" s="8"/>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H884" s="2"/>
      <c r="BI884" s="13"/>
      <c r="BJ884" s="2"/>
      <c r="BK884" s="2"/>
    </row>
    <row r="885" spans="1:63" ht="12.5" x14ac:dyDescent="0.25">
      <c r="A885" s="8"/>
      <c r="B885" s="8"/>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H885" s="2"/>
      <c r="BI885" s="12"/>
      <c r="BJ885" s="2"/>
      <c r="BK885" s="2"/>
    </row>
    <row r="886" spans="1:63" ht="12.5" x14ac:dyDescent="0.25">
      <c r="A886" s="8"/>
      <c r="B886" s="8"/>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H886" s="2"/>
      <c r="BI886" s="13"/>
      <c r="BJ886" s="2"/>
      <c r="BK886" s="2"/>
    </row>
    <row r="887" spans="1:63" ht="12.5" x14ac:dyDescent="0.25">
      <c r="A887" s="8"/>
      <c r="B887" s="8"/>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H887" s="2"/>
      <c r="BI887" s="12"/>
      <c r="BJ887" s="2"/>
      <c r="BK887" s="2"/>
    </row>
    <row r="888" spans="1:63" ht="12.5" x14ac:dyDescent="0.25">
      <c r="A888" s="8"/>
      <c r="B888" s="8"/>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H888" s="2"/>
      <c r="BI888" s="13"/>
      <c r="BJ888" s="2"/>
      <c r="BK888" s="2"/>
    </row>
    <row r="889" spans="1:63" ht="12.5" x14ac:dyDescent="0.25">
      <c r="A889" s="8"/>
      <c r="B889" s="8"/>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H889" s="2"/>
      <c r="BI889" s="12"/>
      <c r="BJ889" s="2"/>
      <c r="BK889" s="2"/>
    </row>
    <row r="890" spans="1:63" ht="12.5" x14ac:dyDescent="0.25">
      <c r="A890" s="8"/>
      <c r="B890" s="8"/>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H890" s="2"/>
      <c r="BI890" s="13"/>
      <c r="BJ890" s="2"/>
      <c r="BK890" s="2"/>
    </row>
    <row r="891" spans="1:63" ht="12.5" x14ac:dyDescent="0.25">
      <c r="A891" s="8"/>
      <c r="B891" s="8"/>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H891" s="2"/>
      <c r="BI891" s="12"/>
      <c r="BJ891" s="2"/>
      <c r="BK891" s="2"/>
    </row>
    <row r="892" spans="1:63" ht="12.5" x14ac:dyDescent="0.25">
      <c r="A892" s="8"/>
      <c r="B892" s="8"/>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H892" s="2"/>
      <c r="BI892" s="13"/>
      <c r="BJ892" s="2"/>
      <c r="BK892" s="2"/>
    </row>
    <row r="893" spans="1:63" ht="12.5" x14ac:dyDescent="0.25">
      <c r="A893" s="8"/>
      <c r="B893" s="8"/>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H893" s="2"/>
      <c r="BI893" s="12"/>
      <c r="BJ893" s="2"/>
      <c r="BK893" s="2"/>
    </row>
    <row r="894" spans="1:63" ht="12.5" x14ac:dyDescent="0.25">
      <c r="A894" s="8"/>
      <c r="B894" s="8"/>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H894" s="2"/>
      <c r="BI894" s="13"/>
      <c r="BJ894" s="2"/>
      <c r="BK894" s="2"/>
    </row>
    <row r="895" spans="1:63" ht="12.5" x14ac:dyDescent="0.25">
      <c r="A895" s="8"/>
      <c r="B895" s="8"/>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H895" s="2"/>
      <c r="BI895" s="12"/>
      <c r="BJ895" s="2"/>
      <c r="BK895" s="2"/>
    </row>
    <row r="896" spans="1:63" ht="12.5" x14ac:dyDescent="0.25">
      <c r="A896" s="8"/>
      <c r="B896" s="8"/>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H896" s="2"/>
      <c r="BI896" s="13"/>
      <c r="BJ896" s="2"/>
      <c r="BK896" s="2"/>
    </row>
    <row r="897" spans="1:63" ht="12.5" x14ac:dyDescent="0.25">
      <c r="A897" s="8"/>
      <c r="B897" s="8"/>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H897" s="2"/>
      <c r="BI897" s="12"/>
      <c r="BJ897" s="2"/>
      <c r="BK897" s="2"/>
    </row>
    <row r="898" spans="1:63" ht="12.5" x14ac:dyDescent="0.25">
      <c r="A898" s="8"/>
      <c r="B898" s="8"/>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H898" s="2"/>
      <c r="BI898" s="13"/>
      <c r="BJ898" s="2"/>
      <c r="BK898" s="2"/>
    </row>
    <row r="899" spans="1:63" ht="12.5" x14ac:dyDescent="0.25">
      <c r="A899" s="8"/>
      <c r="B899" s="8"/>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H899" s="2"/>
      <c r="BI899" s="12"/>
      <c r="BJ899" s="2"/>
      <c r="BK899" s="2"/>
    </row>
    <row r="900" spans="1:63" ht="12.5" x14ac:dyDescent="0.25">
      <c r="A900" s="8"/>
      <c r="B900" s="8"/>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H900" s="2"/>
      <c r="BI900" s="13"/>
      <c r="BJ900" s="2"/>
      <c r="BK900" s="2"/>
    </row>
    <row r="901" spans="1:63" ht="12.5" x14ac:dyDescent="0.25">
      <c r="A901" s="8"/>
      <c r="B901" s="8"/>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H901" s="2"/>
      <c r="BI901" s="12"/>
      <c r="BJ901" s="2"/>
      <c r="BK901" s="2"/>
    </row>
    <row r="902" spans="1:63" ht="12.5" x14ac:dyDescent="0.25">
      <c r="A902" s="8"/>
      <c r="B902" s="8"/>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H902" s="2"/>
      <c r="BI902" s="13"/>
      <c r="BJ902" s="2"/>
      <c r="BK902" s="2"/>
    </row>
    <row r="903" spans="1:63" ht="12.5" x14ac:dyDescent="0.25">
      <c r="A903" s="8"/>
      <c r="B903" s="8"/>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H903" s="2"/>
      <c r="BI903" s="12"/>
      <c r="BJ903" s="2"/>
      <c r="BK903" s="2"/>
    </row>
    <row r="904" spans="1:63" ht="12.5" x14ac:dyDescent="0.25">
      <c r="A904" s="8"/>
      <c r="B904" s="8"/>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H904" s="2"/>
      <c r="BI904" s="13"/>
      <c r="BJ904" s="2"/>
      <c r="BK904" s="2"/>
    </row>
    <row r="905" spans="1:63" ht="12.5" x14ac:dyDescent="0.25">
      <c r="A905" s="8"/>
      <c r="B905" s="8"/>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H905" s="2"/>
      <c r="BI905" s="12"/>
      <c r="BJ905" s="2"/>
      <c r="BK905" s="2"/>
    </row>
    <row r="906" spans="1:63" ht="12.5" x14ac:dyDescent="0.25">
      <c r="A906" s="8"/>
      <c r="B906" s="8"/>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H906" s="2"/>
      <c r="BI906" s="13"/>
      <c r="BJ906" s="2"/>
      <c r="BK906" s="2"/>
    </row>
    <row r="907" spans="1:63" ht="12.5" x14ac:dyDescent="0.25">
      <c r="A907" s="8"/>
      <c r="B907" s="8"/>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H907" s="2"/>
      <c r="BI907" s="12"/>
      <c r="BJ907" s="2"/>
      <c r="BK907" s="2"/>
    </row>
    <row r="908" spans="1:63" ht="12.5" x14ac:dyDescent="0.25">
      <c r="A908" s="8"/>
      <c r="B908" s="8"/>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H908" s="2"/>
      <c r="BI908" s="13"/>
      <c r="BJ908" s="2"/>
      <c r="BK908" s="2"/>
    </row>
    <row r="909" spans="1:63" ht="12.5" x14ac:dyDescent="0.25">
      <c r="A909" s="8"/>
      <c r="B909" s="8"/>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H909" s="2"/>
      <c r="BI909" s="12"/>
      <c r="BJ909" s="2"/>
      <c r="BK909" s="2"/>
    </row>
    <row r="910" spans="1:63" ht="12.5" x14ac:dyDescent="0.25">
      <c r="A910" s="8"/>
      <c r="B910" s="8"/>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H910" s="2"/>
      <c r="BI910" s="13"/>
      <c r="BJ910" s="2"/>
      <c r="BK910" s="2"/>
    </row>
    <row r="911" spans="1:63" ht="12.5" x14ac:dyDescent="0.25">
      <c r="A911" s="8"/>
      <c r="B911" s="8"/>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H911" s="2"/>
      <c r="BI911" s="12"/>
      <c r="BJ911" s="2"/>
      <c r="BK911" s="2"/>
    </row>
    <row r="912" spans="1:63" ht="12.5" x14ac:dyDescent="0.25">
      <c r="A912" s="8"/>
      <c r="B912" s="8"/>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H912" s="2"/>
      <c r="BI912" s="13"/>
      <c r="BJ912" s="2"/>
      <c r="BK912" s="2"/>
    </row>
    <row r="913" spans="1:63" ht="12.5" x14ac:dyDescent="0.25">
      <c r="A913" s="8"/>
      <c r="B913" s="8"/>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H913" s="2"/>
      <c r="BI913" s="12"/>
      <c r="BJ913" s="2"/>
      <c r="BK913" s="2"/>
    </row>
    <row r="914" spans="1:63" ht="12.5" x14ac:dyDescent="0.25">
      <c r="A914" s="8"/>
      <c r="B914" s="8"/>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H914" s="2"/>
      <c r="BI914" s="13"/>
      <c r="BJ914" s="2"/>
      <c r="BK914" s="2"/>
    </row>
    <row r="915" spans="1:63" ht="12.5" x14ac:dyDescent="0.25">
      <c r="A915" s="8"/>
      <c r="B915" s="8"/>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H915" s="2"/>
      <c r="BI915" s="12"/>
      <c r="BJ915" s="2"/>
      <c r="BK915" s="2"/>
    </row>
    <row r="916" spans="1:63" ht="12.5" x14ac:dyDescent="0.25">
      <c r="A916" s="8"/>
      <c r="B916" s="8"/>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H916" s="2"/>
      <c r="BI916" s="13"/>
      <c r="BJ916" s="2"/>
      <c r="BK916" s="2"/>
    </row>
    <row r="917" spans="1:63" ht="12.5" x14ac:dyDescent="0.25">
      <c r="A917" s="8"/>
      <c r="B917" s="8"/>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H917" s="2"/>
      <c r="BI917" s="12"/>
      <c r="BJ917" s="2"/>
      <c r="BK917" s="2"/>
    </row>
    <row r="918" spans="1:63" ht="12.5" x14ac:dyDescent="0.25">
      <c r="A918" s="8"/>
      <c r="B918" s="8"/>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H918" s="2"/>
      <c r="BI918" s="13"/>
      <c r="BJ918" s="2"/>
      <c r="BK918" s="2"/>
    </row>
    <row r="919" spans="1:63" ht="12.5" x14ac:dyDescent="0.25">
      <c r="A919" s="8"/>
      <c r="B919" s="8"/>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H919" s="2"/>
      <c r="BI919" s="12"/>
      <c r="BJ919" s="2"/>
      <c r="BK919" s="2"/>
    </row>
    <row r="920" spans="1:63" ht="12.5" x14ac:dyDescent="0.25">
      <c r="A920" s="8"/>
      <c r="B920" s="8"/>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H920" s="2"/>
      <c r="BI920" s="13"/>
      <c r="BJ920" s="2"/>
      <c r="BK920" s="2"/>
    </row>
    <row r="921" spans="1:63" ht="12.5" x14ac:dyDescent="0.25">
      <c r="A921" s="8"/>
      <c r="B921" s="8"/>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H921" s="2"/>
      <c r="BI921" s="12"/>
      <c r="BJ921" s="2"/>
      <c r="BK921" s="2"/>
    </row>
    <row r="922" spans="1:63" ht="12.5" x14ac:dyDescent="0.25">
      <c r="A922" s="8"/>
      <c r="B922" s="8"/>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H922" s="2"/>
      <c r="BI922" s="13"/>
      <c r="BJ922" s="2"/>
      <c r="BK922" s="2"/>
    </row>
    <row r="923" spans="1:63" ht="12.5" x14ac:dyDescent="0.25">
      <c r="A923" s="8"/>
      <c r="B923" s="8"/>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H923" s="2"/>
      <c r="BI923" s="12"/>
      <c r="BJ923" s="2"/>
      <c r="BK923" s="2"/>
    </row>
    <row r="924" spans="1:63" ht="12.5" x14ac:dyDescent="0.25">
      <c r="A924" s="8"/>
      <c r="B924" s="8"/>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H924" s="2"/>
      <c r="BI924" s="13"/>
      <c r="BJ924" s="2"/>
      <c r="BK924" s="2"/>
    </row>
    <row r="925" spans="1:63" ht="12.5" x14ac:dyDescent="0.25">
      <c r="A925" s="8"/>
      <c r="B925" s="8"/>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H925" s="2"/>
      <c r="BI925" s="12"/>
      <c r="BJ925" s="2"/>
      <c r="BK925" s="2"/>
    </row>
    <row r="926" spans="1:63" ht="12.5" x14ac:dyDescent="0.25">
      <c r="A926" s="8"/>
      <c r="B926" s="8"/>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H926" s="2"/>
      <c r="BI926" s="13"/>
      <c r="BJ926" s="2"/>
      <c r="BK926" s="2"/>
    </row>
    <row r="927" spans="1:63" ht="12.5" x14ac:dyDescent="0.25">
      <c r="A927" s="8"/>
      <c r="B927" s="8"/>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H927" s="2"/>
      <c r="BI927" s="12"/>
      <c r="BJ927" s="2"/>
      <c r="BK927" s="2"/>
    </row>
    <row r="928" spans="1:63" ht="12.5" x14ac:dyDescent="0.25">
      <c r="A928" s="8"/>
      <c r="B928" s="8"/>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H928" s="2"/>
      <c r="BI928" s="13"/>
      <c r="BJ928" s="2"/>
      <c r="BK928" s="2"/>
    </row>
    <row r="929" spans="1:63" ht="12.5" x14ac:dyDescent="0.25">
      <c r="A929" s="8"/>
      <c r="B929" s="8"/>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H929" s="2"/>
      <c r="BI929" s="12"/>
      <c r="BJ929" s="2"/>
      <c r="BK929" s="2"/>
    </row>
    <row r="930" spans="1:63" ht="12.5" x14ac:dyDescent="0.25">
      <c r="A930" s="8"/>
      <c r="B930" s="8"/>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H930" s="2"/>
      <c r="BI930" s="13"/>
      <c r="BJ930" s="2"/>
      <c r="BK930" s="2"/>
    </row>
    <row r="931" spans="1:63" ht="12.5" x14ac:dyDescent="0.25">
      <c r="A931" s="8"/>
      <c r="B931" s="8"/>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H931" s="2"/>
      <c r="BI931" s="12"/>
      <c r="BJ931" s="2"/>
      <c r="BK931" s="2"/>
    </row>
    <row r="932" spans="1:63" ht="12.5" x14ac:dyDescent="0.25">
      <c r="A932" s="8"/>
      <c r="B932" s="8"/>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H932" s="2"/>
      <c r="BI932" s="13"/>
      <c r="BJ932" s="2"/>
      <c r="BK932" s="2"/>
    </row>
    <row r="933" spans="1:63" ht="12.5" x14ac:dyDescent="0.25">
      <c r="A933" s="8"/>
      <c r="B933" s="8"/>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H933" s="2"/>
      <c r="BI933" s="12"/>
      <c r="BJ933" s="2"/>
      <c r="BK933" s="2"/>
    </row>
    <row r="934" spans="1:63" ht="12.5" x14ac:dyDescent="0.25">
      <c r="A934" s="8"/>
      <c r="B934" s="8"/>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H934" s="2"/>
      <c r="BI934" s="13"/>
      <c r="BJ934" s="2"/>
      <c r="BK934" s="2"/>
    </row>
    <row r="935" spans="1:63" ht="12.5" x14ac:dyDescent="0.25">
      <c r="A935" s="8"/>
      <c r="B935" s="8"/>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H935" s="2"/>
      <c r="BI935" s="12"/>
      <c r="BJ935" s="2"/>
      <c r="BK935" s="2"/>
    </row>
    <row r="936" spans="1:63" ht="12.5" x14ac:dyDescent="0.25">
      <c r="A936" s="8"/>
      <c r="B936" s="8"/>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H936" s="2"/>
      <c r="BI936" s="13"/>
      <c r="BJ936" s="2"/>
      <c r="BK936" s="2"/>
    </row>
    <row r="937" spans="1:63" ht="12.5" x14ac:dyDescent="0.25">
      <c r="A937" s="8"/>
      <c r="B937" s="8"/>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H937" s="2"/>
      <c r="BI937" s="12"/>
      <c r="BJ937" s="2"/>
      <c r="BK937" s="2"/>
    </row>
    <row r="938" spans="1:63" ht="12.5" x14ac:dyDescent="0.25">
      <c r="A938" s="8"/>
      <c r="B938" s="8"/>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H938" s="2"/>
      <c r="BI938" s="13"/>
      <c r="BJ938" s="2"/>
      <c r="BK938" s="2"/>
    </row>
    <row r="939" spans="1:63" ht="12.5" x14ac:dyDescent="0.25">
      <c r="A939" s="8"/>
      <c r="B939" s="8"/>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H939" s="2"/>
      <c r="BI939" s="12"/>
      <c r="BJ939" s="2"/>
      <c r="BK939" s="2"/>
    </row>
    <row r="940" spans="1:63" ht="12.5" x14ac:dyDescent="0.25">
      <c r="A940" s="8"/>
      <c r="B940" s="8"/>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H940" s="2"/>
      <c r="BI940" s="13"/>
      <c r="BJ940" s="2"/>
      <c r="BK940" s="2"/>
    </row>
    <row r="941" spans="1:63" ht="12.5" x14ac:dyDescent="0.25">
      <c r="A941" s="8"/>
      <c r="B941" s="8"/>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H941" s="2"/>
      <c r="BI941" s="12"/>
      <c r="BJ941" s="2"/>
      <c r="BK941" s="2"/>
    </row>
    <row r="942" spans="1:63" ht="12.5" x14ac:dyDescent="0.25">
      <c r="A942" s="8"/>
      <c r="B942" s="8"/>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H942" s="2"/>
      <c r="BI942" s="13"/>
      <c r="BJ942" s="2"/>
      <c r="BK942" s="2"/>
    </row>
    <row r="943" spans="1:63" ht="12.5" x14ac:dyDescent="0.25">
      <c r="A943" s="8"/>
      <c r="B943" s="8"/>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H943" s="2"/>
      <c r="BI943" s="12"/>
      <c r="BJ943" s="2"/>
      <c r="BK943" s="2"/>
    </row>
    <row r="944" spans="1:63" ht="12.5" x14ac:dyDescent="0.25">
      <c r="A944" s="8"/>
      <c r="B944" s="8"/>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H944" s="2"/>
      <c r="BI944" s="13"/>
      <c r="BJ944" s="2"/>
      <c r="BK944" s="2"/>
    </row>
    <row r="945" spans="1:63" ht="12.5" x14ac:dyDescent="0.25">
      <c r="A945" s="8"/>
      <c r="B945" s="8"/>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H945" s="2"/>
      <c r="BI945" s="12"/>
      <c r="BJ945" s="2"/>
      <c r="BK945" s="2"/>
    </row>
    <row r="946" spans="1:63" ht="12.5" x14ac:dyDescent="0.25">
      <c r="A946" s="8"/>
      <c r="B946" s="8"/>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H946" s="2"/>
      <c r="BI946" s="13"/>
      <c r="BJ946" s="2"/>
      <c r="BK946" s="2"/>
    </row>
    <row r="947" spans="1:63" ht="12.5" x14ac:dyDescent="0.25">
      <c r="A947" s="8"/>
      <c r="B947" s="8"/>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H947" s="2"/>
      <c r="BI947" s="12"/>
      <c r="BJ947" s="2"/>
      <c r="BK947" s="2"/>
    </row>
    <row r="948" spans="1:63" ht="12.5" x14ac:dyDescent="0.25">
      <c r="A948" s="8"/>
      <c r="B948" s="8"/>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H948" s="2"/>
      <c r="BI948" s="13"/>
      <c r="BJ948" s="2"/>
      <c r="BK948" s="2"/>
    </row>
    <row r="949" spans="1:63" ht="12.5" x14ac:dyDescent="0.25">
      <c r="A949" s="8"/>
      <c r="B949" s="8"/>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H949" s="2"/>
      <c r="BI949" s="12"/>
      <c r="BJ949" s="2"/>
      <c r="BK949" s="2"/>
    </row>
    <row r="950" spans="1:63" ht="12.5" x14ac:dyDescent="0.25">
      <c r="A950" s="8"/>
      <c r="B950" s="8"/>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H950" s="2"/>
      <c r="BI950" s="13"/>
      <c r="BJ950" s="2"/>
      <c r="BK950" s="2"/>
    </row>
    <row r="951" spans="1:63" ht="12.5" x14ac:dyDescent="0.25">
      <c r="A951" s="8"/>
      <c r="B951" s="8"/>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H951" s="2"/>
      <c r="BI951" s="12"/>
      <c r="BJ951" s="2"/>
      <c r="BK951" s="2"/>
    </row>
    <row r="952" spans="1:63" ht="12.5" x14ac:dyDescent="0.25">
      <c r="A952" s="8"/>
      <c r="B952" s="8"/>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H952" s="2"/>
      <c r="BI952" s="13"/>
      <c r="BJ952" s="2"/>
      <c r="BK952" s="2"/>
    </row>
    <row r="953" spans="1:63" ht="12.5" x14ac:dyDescent="0.25">
      <c r="A953" s="8"/>
      <c r="B953" s="8"/>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H953" s="2"/>
      <c r="BI953" s="12"/>
      <c r="BJ953" s="2"/>
      <c r="BK953" s="2"/>
    </row>
    <row r="954" spans="1:63" ht="12.5" x14ac:dyDescent="0.25">
      <c r="A954" s="8"/>
      <c r="B954" s="8"/>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H954" s="2"/>
      <c r="BI954" s="13"/>
      <c r="BJ954" s="2"/>
      <c r="BK954" s="2"/>
    </row>
    <row r="955" spans="1:63" ht="12.5" x14ac:dyDescent="0.25">
      <c r="A955" s="8"/>
      <c r="B955" s="8"/>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H955" s="2"/>
      <c r="BI955" s="12"/>
      <c r="BJ955" s="2"/>
      <c r="BK955" s="2"/>
    </row>
    <row r="956" spans="1:63" ht="12.5" x14ac:dyDescent="0.25">
      <c r="A956" s="8"/>
      <c r="B956" s="8"/>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H956" s="2"/>
      <c r="BI956" s="13"/>
      <c r="BJ956" s="2"/>
      <c r="BK956" s="2"/>
    </row>
    <row r="957" spans="1:63" ht="12.5" x14ac:dyDescent="0.25">
      <c r="A957" s="8"/>
      <c r="B957" s="8"/>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H957" s="2"/>
      <c r="BI957" s="12"/>
      <c r="BJ957" s="2"/>
      <c r="BK957" s="2"/>
    </row>
    <row r="958" spans="1:63" ht="12.5" x14ac:dyDescent="0.25">
      <c r="A958" s="8"/>
      <c r="B958" s="8"/>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H958" s="2"/>
      <c r="BI958" s="13"/>
      <c r="BJ958" s="2"/>
      <c r="BK958" s="2"/>
    </row>
    <row r="959" spans="1:63" ht="12.5" x14ac:dyDescent="0.25">
      <c r="A959" s="8"/>
      <c r="B959" s="8"/>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H959" s="2"/>
      <c r="BI959" s="12"/>
      <c r="BJ959" s="2"/>
      <c r="BK959" s="2"/>
    </row>
    <row r="960" spans="1:63" ht="12.5" x14ac:dyDescent="0.25">
      <c r="A960" s="8"/>
      <c r="B960" s="8"/>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H960" s="2"/>
      <c r="BI960" s="13"/>
      <c r="BJ960" s="2"/>
      <c r="BK960" s="2"/>
    </row>
    <row r="961" spans="1:63" ht="12.5" x14ac:dyDescent="0.25">
      <c r="A961" s="8"/>
      <c r="B961" s="8"/>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H961" s="2"/>
      <c r="BI961" s="12"/>
      <c r="BJ961" s="2"/>
      <c r="BK961" s="2"/>
    </row>
    <row r="962" spans="1:63" ht="12.5" x14ac:dyDescent="0.25">
      <c r="A962" s="8"/>
      <c r="B962" s="8"/>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H962" s="2"/>
      <c r="BI962" s="13"/>
      <c r="BJ962" s="2"/>
      <c r="BK962" s="2"/>
    </row>
    <row r="963" spans="1:63" ht="12.5" x14ac:dyDescent="0.25">
      <c r="A963" s="8"/>
      <c r="B963" s="8"/>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H963" s="2"/>
      <c r="BI963" s="12"/>
      <c r="BJ963" s="2"/>
      <c r="BK963" s="2"/>
    </row>
    <row r="964" spans="1:63" ht="12.5" x14ac:dyDescent="0.25">
      <c r="A964" s="8"/>
      <c r="B964" s="8"/>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H964" s="2"/>
      <c r="BI964" s="13"/>
      <c r="BJ964" s="2"/>
      <c r="BK964" s="2"/>
    </row>
    <row r="965" spans="1:63" ht="12.5" x14ac:dyDescent="0.25">
      <c r="A965" s="8"/>
      <c r="B965" s="8"/>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H965" s="2"/>
      <c r="BI965" s="12"/>
      <c r="BJ965" s="2"/>
      <c r="BK965" s="2"/>
    </row>
    <row r="966" spans="1:63" ht="12.5" x14ac:dyDescent="0.25">
      <c r="A966" s="8"/>
      <c r="B966" s="8"/>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H966" s="2"/>
      <c r="BI966" s="13"/>
      <c r="BJ966" s="2"/>
      <c r="BK966" s="2"/>
    </row>
    <row r="967" spans="1:63" ht="12.5" x14ac:dyDescent="0.25">
      <c r="A967" s="8"/>
      <c r="B967" s="8"/>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H967" s="2"/>
      <c r="BI967" s="12"/>
      <c r="BJ967" s="2"/>
      <c r="BK967" s="2"/>
    </row>
    <row r="968" spans="1:63" ht="12.5" x14ac:dyDescent="0.25">
      <c r="A968" s="8"/>
      <c r="B968" s="8"/>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H968" s="2"/>
      <c r="BI968" s="13"/>
      <c r="BJ968" s="2"/>
      <c r="BK968" s="2"/>
    </row>
    <row r="969" spans="1:63" ht="12.5" x14ac:dyDescent="0.25">
      <c r="A969" s="8"/>
      <c r="B969" s="8"/>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H969" s="2"/>
      <c r="BI969" s="12"/>
      <c r="BJ969" s="2"/>
      <c r="BK969" s="2"/>
    </row>
    <row r="970" spans="1:63" ht="12.5" x14ac:dyDescent="0.25">
      <c r="A970" s="8"/>
      <c r="B970" s="8"/>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H970" s="2"/>
      <c r="BI970" s="13"/>
      <c r="BJ970" s="2"/>
      <c r="BK970" s="2"/>
    </row>
    <row r="971" spans="1:63" ht="12.5" x14ac:dyDescent="0.25">
      <c r="A971" s="8"/>
      <c r="B971" s="8"/>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H971" s="2"/>
      <c r="BI971" s="12"/>
      <c r="BJ971" s="2"/>
      <c r="BK971" s="2"/>
    </row>
    <row r="972" spans="1:63" ht="12.5" x14ac:dyDescent="0.25">
      <c r="A972" s="8"/>
      <c r="B972" s="8"/>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H972" s="2"/>
      <c r="BI972" s="13"/>
      <c r="BJ972" s="2"/>
      <c r="BK972" s="2"/>
    </row>
    <row r="973" spans="1:63" ht="12.5" x14ac:dyDescent="0.25">
      <c r="A973" s="8"/>
      <c r="B973" s="8"/>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H973" s="2"/>
      <c r="BI973" s="12"/>
      <c r="BJ973" s="2"/>
      <c r="BK973" s="2"/>
    </row>
    <row r="974" spans="1:63" ht="12.5" x14ac:dyDescent="0.25">
      <c r="A974" s="8"/>
      <c r="B974" s="8"/>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H974" s="2"/>
      <c r="BI974" s="13"/>
      <c r="BJ974" s="2"/>
      <c r="BK974" s="2"/>
    </row>
    <row r="975" spans="1:63" ht="12.5" x14ac:dyDescent="0.25">
      <c r="A975" s="8"/>
      <c r="B975" s="8"/>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H975" s="2"/>
      <c r="BI975" s="12"/>
      <c r="BJ975" s="2"/>
      <c r="BK975" s="2"/>
    </row>
    <row r="976" spans="1:63" ht="12.5" x14ac:dyDescent="0.25">
      <c r="A976" s="8"/>
      <c r="B976" s="8"/>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H976" s="2"/>
      <c r="BI976" s="13"/>
      <c r="BJ976" s="2"/>
      <c r="BK976" s="2"/>
    </row>
    <row r="977" spans="1:63" ht="12.5" x14ac:dyDescent="0.25">
      <c r="A977" s="8"/>
      <c r="B977" s="8"/>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H977" s="2"/>
      <c r="BI977" s="12"/>
      <c r="BJ977" s="2"/>
      <c r="BK977" s="2"/>
    </row>
    <row r="978" spans="1:63" ht="12.5" x14ac:dyDescent="0.25">
      <c r="A978" s="8"/>
      <c r="B978" s="8"/>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H978" s="2"/>
      <c r="BI978" s="13"/>
      <c r="BJ978" s="2"/>
      <c r="BK978" s="2"/>
    </row>
    <row r="979" spans="1:63" ht="12.5" x14ac:dyDescent="0.25">
      <c r="A979" s="8"/>
      <c r="B979" s="8"/>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H979" s="2"/>
      <c r="BI979" s="12"/>
      <c r="BJ979" s="2"/>
      <c r="BK979" s="2"/>
    </row>
    <row r="980" spans="1:63" ht="12.5" x14ac:dyDescent="0.25">
      <c r="A980" s="8"/>
      <c r="B980" s="8"/>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H980" s="2"/>
      <c r="BI980" s="13"/>
      <c r="BJ980" s="2"/>
      <c r="BK980" s="2"/>
    </row>
    <row r="981" spans="1:63" ht="12.5" x14ac:dyDescent="0.25">
      <c r="A981" s="8"/>
      <c r="B981" s="8"/>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H981" s="2"/>
      <c r="BI981" s="12"/>
      <c r="BJ981" s="2"/>
      <c r="BK981" s="2"/>
    </row>
    <row r="982" spans="1:63" ht="12.5" x14ac:dyDescent="0.25">
      <c r="A982" s="8"/>
      <c r="B982" s="8"/>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H982" s="2"/>
      <c r="BI982" s="13"/>
      <c r="BJ982" s="2"/>
      <c r="BK982" s="2"/>
    </row>
    <row r="983" spans="1:63" ht="12.5" x14ac:dyDescent="0.25">
      <c r="A983" s="8"/>
      <c r="B983" s="8"/>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H983" s="2"/>
      <c r="BI983" s="12"/>
      <c r="BJ983" s="2"/>
      <c r="BK983" s="2"/>
    </row>
    <row r="984" spans="1:63" ht="12.5" x14ac:dyDescent="0.25">
      <c r="A984" s="8"/>
      <c r="B984" s="8"/>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H984" s="2"/>
      <c r="BI984" s="13"/>
      <c r="BJ984" s="2"/>
      <c r="BK984" s="2"/>
    </row>
    <row r="985" spans="1:63" ht="12.5" x14ac:dyDescent="0.25">
      <c r="A985" s="8"/>
      <c r="B985" s="8"/>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H985" s="2"/>
      <c r="BI985" s="12"/>
      <c r="BJ985" s="2"/>
      <c r="BK985" s="2"/>
    </row>
    <row r="986" spans="1:63" ht="12.5" x14ac:dyDescent="0.25">
      <c r="A986" s="8"/>
      <c r="B986" s="8"/>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H986" s="2"/>
      <c r="BI986" s="13"/>
      <c r="BJ986" s="2"/>
      <c r="BK986" s="2"/>
    </row>
    <row r="987" spans="1:63" ht="12.5" x14ac:dyDescent="0.25">
      <c r="A987" s="8"/>
      <c r="B987" s="8"/>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H987" s="2"/>
      <c r="BI987" s="12"/>
      <c r="BJ987" s="2"/>
      <c r="BK987" s="2"/>
    </row>
    <row r="988" spans="1:63" ht="12.5" x14ac:dyDescent="0.25">
      <c r="A988" s="8"/>
      <c r="B988" s="8"/>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H988" s="2"/>
      <c r="BI988" s="13"/>
      <c r="BJ988" s="2"/>
      <c r="BK988" s="2"/>
    </row>
    <row r="989" spans="1:63" ht="12.5" x14ac:dyDescent="0.25">
      <c r="A989" s="8"/>
      <c r="B989" s="8"/>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H989" s="2"/>
      <c r="BI989" s="12"/>
      <c r="BJ989" s="2"/>
      <c r="BK989" s="2"/>
    </row>
    <row r="990" spans="1:63" ht="12.5" x14ac:dyDescent="0.25">
      <c r="A990" s="8"/>
      <c r="B990" s="8"/>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H990" s="2"/>
      <c r="BI990" s="13"/>
      <c r="BJ990" s="2"/>
      <c r="BK990" s="2"/>
    </row>
    <row r="991" spans="1:63" ht="12.5" x14ac:dyDescent="0.25">
      <c r="A991" s="8"/>
      <c r="B991" s="8"/>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H991" s="2"/>
      <c r="BI991" s="12"/>
      <c r="BJ991" s="2"/>
      <c r="BK991" s="2"/>
    </row>
    <row r="992" spans="1:63" ht="12.5" x14ac:dyDescent="0.25">
      <c r="A992" s="8"/>
      <c r="B992" s="8"/>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H992" s="2"/>
      <c r="BI992" s="13"/>
      <c r="BJ992" s="2"/>
      <c r="BK992" s="2"/>
    </row>
    <row r="993" spans="1:63" ht="12.5" x14ac:dyDescent="0.25">
      <c r="A993" s="8"/>
      <c r="B993" s="8"/>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H993" s="2"/>
      <c r="BI993" s="12"/>
      <c r="BJ993" s="2"/>
      <c r="BK993" s="2"/>
    </row>
    <row r="994" spans="1:63" ht="12.5" x14ac:dyDescent="0.25">
      <c r="A994" s="8"/>
      <c r="B994" s="8"/>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H994" s="2"/>
      <c r="BI994" s="13"/>
      <c r="BJ994" s="2"/>
      <c r="BK994" s="2"/>
    </row>
    <row r="995" spans="1:63" ht="12.5" x14ac:dyDescent="0.25">
      <c r="A995" s="8"/>
      <c r="B995" s="8"/>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H995" s="2"/>
      <c r="BI995" s="12"/>
      <c r="BJ995" s="2"/>
      <c r="BK995" s="2"/>
    </row>
    <row r="996" spans="1:63" ht="12.5" x14ac:dyDescent="0.25">
      <c r="A996" s="8"/>
      <c r="B996" s="8"/>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H996" s="2"/>
      <c r="BI996" s="13"/>
      <c r="BJ996" s="2"/>
      <c r="BK996" s="2"/>
    </row>
    <row r="997" spans="1:63" ht="12.5" x14ac:dyDescent="0.25">
      <c r="A997" s="8"/>
      <c r="B997" s="8"/>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H997" s="2"/>
      <c r="BI997" s="12"/>
      <c r="BJ997" s="2"/>
      <c r="BK997" s="2"/>
    </row>
    <row r="998" spans="1:63" ht="12.5" x14ac:dyDescent="0.25">
      <c r="A998" s="8"/>
      <c r="B998" s="8"/>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H998" s="2"/>
      <c r="BI998" s="13"/>
      <c r="BJ998" s="2"/>
      <c r="BK998" s="2"/>
    </row>
    <row r="999" spans="1:63" ht="12.5" x14ac:dyDescent="0.25">
      <c r="A999" s="8"/>
      <c r="B999" s="8"/>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H999" s="2"/>
      <c r="BI999" s="12"/>
      <c r="BJ999" s="2"/>
      <c r="BK999" s="2"/>
    </row>
    <row r="1000" spans="1:63" ht="12.5" x14ac:dyDescent="0.25">
      <c r="A1000" s="8"/>
      <c r="B1000" s="8"/>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H1000" s="2"/>
      <c r="BI1000" s="13"/>
      <c r="BJ1000" s="2"/>
      <c r="BK1000" s="2"/>
    </row>
  </sheetData>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J1000"/>
  <sheetViews>
    <sheetView workbookViewId="0">
      <pane ySplit="1" topLeftCell="A185" activePane="bottomLeft" state="frozen"/>
      <selection pane="bottomLeft" activeCell="F194" sqref="F194"/>
    </sheetView>
  </sheetViews>
  <sheetFormatPr defaultColWidth="14.453125" defaultRowHeight="15.75" customHeight="1" x14ac:dyDescent="0.25"/>
  <cols>
    <col min="4" max="4" width="11.81640625" customWidth="1"/>
    <col min="5" max="5" width="10" customWidth="1"/>
    <col min="7" max="7" width="61.26953125" customWidth="1"/>
  </cols>
  <sheetData>
    <row r="1" spans="1:62" ht="15.75" customHeight="1" x14ac:dyDescent="0.25">
      <c r="A1" s="1" t="str">
        <f ca="1">IFERROR(__xludf.DUMMYFUNCTION("query('All responses'!A1:CD1000,"" select A,B,U,V,W,X,Y,Z where B = 'Bay of Plenty' "",1)"),"Timestamp")</f>
        <v>Timestamp</v>
      </c>
      <c r="B1" s="1" t="str">
        <f ca="1">IFERROR(__xludf.DUMMYFUNCTION("""COMPUTED_VALUE"""),"Which region was your matuku caught in?")</f>
        <v>Which region was your matuku caught in?</v>
      </c>
      <c r="C1" s="2" t="str">
        <f ca="1">IFERROR(__xludf.DUMMYFUNCTION("""COMPUTED_VALUE"""),"(BP) Bird ID")</f>
        <v>(BP) Bird ID</v>
      </c>
      <c r="D1" s="2" t="str">
        <f ca="1">IFERROR(__xludf.DUMMYFUNCTION("""COMPUTED_VALUE"""),"(BP) Date")</f>
        <v>(BP) Date</v>
      </c>
      <c r="E1" s="4" t="str">
        <f ca="1">IFERROR(__xludf.DUMMYFUNCTION("""COMPUTED_VALUE"""),"(BP) Time")</f>
        <v>(BP) Time</v>
      </c>
      <c r="F1" s="2" t="str">
        <f ca="1">IFERROR(__xludf.DUMMYFUNCTION("""COMPUTED_VALUE"""),"(BP) Location")</f>
        <v>(BP) Location</v>
      </c>
      <c r="G1" s="2" t="str">
        <f ca="1">IFERROR(__xludf.DUMMYFUNCTION("""COMPUTED_VALUE"""),"(BP) What location method did you use?")</f>
        <v>(BP) What location method did you use?</v>
      </c>
      <c r="H1" s="2" t="str">
        <f ca="1">IFERROR(__xludf.DUMMYFUNCTION("query('All responses'!A1:CU1000,"" select AA,AB,AC,AD,AE,AF,AG,AH,AI,AJ,AK,AL,AM,AN,AO,AP,AQ,AR,AS,AT,AU,AV,AW,AX,AY,AZ,BA,BB,BC,BD,BE,BF,BG,BH,BI,BJ,BK,BL,BM,BN,BO,BP,BQ,BR,BS,BT,BU,BV,BW,BX,BZ,CA,CB,CC,CD where B = 'Bay of Plenty' "",1)"),"(SAT) What was the accuracy of the fix?")</f>
        <v>(SAT) What was the accuracy of the fix?</v>
      </c>
      <c r="I1" s="2" t="str">
        <f ca="1">IFERROR(__xludf.DUMMYFUNCTION("""COMPUTED_VALUE"""),"(SAT) Eastings")</f>
        <v>(SAT) Eastings</v>
      </c>
      <c r="J1" s="2" t="str">
        <f ca="1">IFERROR(__xludf.DUMMYFUNCTION("""COMPUTED_VALUE"""),"(SAT) Northings")</f>
        <v>(SAT) Northings</v>
      </c>
      <c r="K1" s="2" t="str">
        <f ca="1">IFERROR(__xludf.DUMMYFUNCTION("""COMPUTED_VALUE"""),"(SAT) Notes")</f>
        <v>(SAT) Notes</v>
      </c>
      <c r="L1" s="2" t="str">
        <f ca="1">IFERROR(__xludf.DUMMYFUNCTION("""COMPUTED_VALUE"""),"(VHF_CA) Did you see the bird?")</f>
        <v>(VHF_CA) Did you see the bird?</v>
      </c>
      <c r="M1" s="2" t="str">
        <f ca="1">IFERROR(__xludf.DUMMYFUNCTION("""COMPUTED_VALUE"""),"(VHF_CA) Eastings")</f>
        <v>(VHF_CA) Eastings</v>
      </c>
      <c r="N1" s="2" t="str">
        <f ca="1">IFERROR(__xludf.DUMMYFUNCTION("""COMPUTED_VALUE"""),"(VHF_CA)  Northings")</f>
        <v>(VHF_CA)  Northings</v>
      </c>
      <c r="O1" s="2" t="str">
        <f ca="1">IFERROR(__xludf.DUMMYFUNCTION("""COMPUTED_VALUE"""),"(VHF CA) How to get a waypoint for your bird using a map")</f>
        <v>(VHF CA) How to get a waypoint for your bird using a map</v>
      </c>
      <c r="P1" s="2" t="str">
        <f ca="1">IFERROR(__xludf.DUMMYFUNCTION("""COMPUTED_VALUE"""),"(VHF_CA) If grazed, was stock present at the time of the observation?")</f>
        <v>(VHF_CA) If grazed, was stock present at the time of the observation?</v>
      </c>
      <c r="Q1" s="2" t="str">
        <f ca="1">IFERROR(__xludf.DUMMYFUNCTION("""COMPUTED_VALUE"""),"(VHF_CA) Wet/dry?")</f>
        <v>(VHF_CA) Wet/dry?</v>
      </c>
      <c r="R1" s="2" t="str">
        <f ca="1">IFERROR(__xludf.DUMMYFUNCTION("""COMPUTED_VALUE"""),"(VHF_CA) Water depth at bird")</f>
        <v>(VHF_CA) Water depth at bird</v>
      </c>
      <c r="S1" s="2" t="str">
        <f ca="1">IFERROR(__xludf.DUMMYFUNCTION("""COMPUTED_VALUE"""),"(VHF_CA) Distance to nearest water")</f>
        <v>(VHF_CA) Distance to nearest water</v>
      </c>
      <c r="T1" s="2" t="str">
        <f ca="1">IFERROR(__xludf.DUMMYFUNCTION("""COMPUTED_VALUE"""),"(VHF_CA) Exact habitat")</f>
        <v>(VHF_CA) Exact habitat</v>
      </c>
      <c r="U1" s="2" t="str">
        <f ca="1">IFERROR(__xludf.DUMMYFUNCTION("""COMPUTED_VALUE"""),"(VHF_CA) Notes")</f>
        <v>(VHF_CA) Notes</v>
      </c>
      <c r="V1" s="2" t="str">
        <f ca="1">IFERROR(__xludf.DUMMYFUNCTION("""COMPUTED_VALUE"""),"(VHF CA) If grazed, was stock present at the time of the observation?")</f>
        <v>(VHF CA) If grazed, was stock present at the time of the observation?</v>
      </c>
      <c r="W1" s="2" t="str">
        <f ca="1">IFERROR(__xludf.DUMMYFUNCTION("""COMPUTED_VALUE"""),"(VHF CA) Wet/dry?")</f>
        <v>(VHF CA) Wet/dry?</v>
      </c>
      <c r="X1" s="2" t="str">
        <f ca="1">IFERROR(__xludf.DUMMYFUNCTION("""COMPUTED_VALUE"""),"(VHF CA) Water depth at bird")</f>
        <v>(VHF CA) Water depth at bird</v>
      </c>
      <c r="Y1" s="2" t="str">
        <f ca="1">IFERROR(__xludf.DUMMYFUNCTION("""COMPUTED_VALUE"""),"(VHF CA) Distance to nearest water")</f>
        <v>(VHF CA) Distance to nearest water</v>
      </c>
      <c r="Z1" s="2" t="str">
        <f ca="1">IFERROR(__xludf.DUMMYFUNCTION("""COMPUTED_VALUE"""),"(VHF CA) Exact habitat")</f>
        <v>(VHF CA) Exact habitat</v>
      </c>
      <c r="AA1" s="2" t="str">
        <f ca="1">IFERROR(__xludf.DUMMYFUNCTION("""COMPUTED_VALUE"""),"(VHF_Tr) Eastings One")</f>
        <v>(VHF_Tr) Eastings One</v>
      </c>
      <c r="AB1" s="2" t="str">
        <f ca="1">IFERROR(__xludf.DUMMYFUNCTION("""COMPUTED_VALUE"""),"(VHF_Tr) Northings One")</f>
        <v>(VHF_Tr) Northings One</v>
      </c>
      <c r="AC1" s="2" t="str">
        <f ca="1">IFERROR(__xludf.DUMMYFUNCTION("""COMPUTED_VALUE"""),"(VHF_Tr) Bearing One")</f>
        <v>(VHF_Tr) Bearing One</v>
      </c>
      <c r="AD1" s="2" t="str">
        <f ca="1">IFERROR(__xludf.DUMMYFUNCTION("""COMPUTED_VALUE"""),"(VHF_Tr) Distance One")</f>
        <v>(VHF_Tr) Distance One</v>
      </c>
      <c r="AE1" s="2" t="str">
        <f ca="1">IFERROR(__xludf.DUMMYFUNCTION("""COMPUTED_VALUE"""),"(VHF_Tr) Eastings Two")</f>
        <v>(VHF_Tr) Eastings Two</v>
      </c>
      <c r="AF1" s="2" t="str">
        <f ca="1">IFERROR(__xludf.DUMMYFUNCTION("""COMPUTED_VALUE"""),"(VHF_Tr) NorthingsTwo")</f>
        <v>(VHF_Tr) NorthingsTwo</v>
      </c>
      <c r="AG1" s="2" t="str">
        <f ca="1">IFERROR(__xludf.DUMMYFUNCTION("""COMPUTED_VALUE"""),"(VHF_Tr) Bearing Two")</f>
        <v>(VHF_Tr) Bearing Two</v>
      </c>
      <c r="AH1" s="2" t="str">
        <f ca="1">IFERROR(__xludf.DUMMYFUNCTION("""COMPUTED_VALUE"""),"(VHF_Tr) Distance Two")</f>
        <v>(VHF_Tr) Distance Two</v>
      </c>
      <c r="AI1" s="2" t="str">
        <f ca="1">IFERROR(__xludf.DUMMYFUNCTION("""COMPUTED_VALUE"""),"(VHF_Tr) Eastings Three")</f>
        <v>(VHF_Tr) Eastings Three</v>
      </c>
      <c r="AJ1" s="2" t="str">
        <f ca="1">IFERROR(__xludf.DUMMYFUNCTION("""COMPUTED_VALUE"""),"(VHF_Tr) Northings Three")</f>
        <v>(VHF_Tr) Northings Three</v>
      </c>
      <c r="AK1" s="2" t="str">
        <f ca="1">IFERROR(__xludf.DUMMYFUNCTION("""COMPUTED_VALUE"""),"(VHF_Tr) Bearing Three")</f>
        <v>(VHF_Tr) Bearing Three</v>
      </c>
      <c r="AL1" s="2" t="str">
        <f ca="1">IFERROR(__xludf.DUMMYFUNCTION("""COMPUTED_VALUE"""),"(VHF_Tr) Distance Three")</f>
        <v>(VHF_Tr) Distance Three</v>
      </c>
      <c r="AM1" s="2" t="str">
        <f ca="1">IFERROR(__xludf.DUMMYFUNCTION("""COMPUTED_VALUE"""),"(VHF_Tr) Eastings Four")</f>
        <v>(VHF_Tr) Eastings Four</v>
      </c>
      <c r="AN1" s="2" t="str">
        <f ca="1">IFERROR(__xludf.DUMMYFUNCTION("""COMPUTED_VALUE"""),"(VHF_Tr) Northings Four")</f>
        <v>(VHF_Tr) Northings Four</v>
      </c>
      <c r="AO1" s="2" t="str">
        <f ca="1">IFERROR(__xludf.DUMMYFUNCTION("""COMPUTED_VALUE"""),"(VHF_Tr) Bearing Four")</f>
        <v>(VHF_Tr) Bearing Four</v>
      </c>
      <c r="AP1" s="2" t="str">
        <f ca="1">IFERROR(__xludf.DUMMYFUNCTION("""COMPUTED_VALUE"""),"(VHF_Tr) Distance Four")</f>
        <v>(VHF_Tr) Distance Four</v>
      </c>
      <c r="AQ1" s="2" t="str">
        <f ca="1">IFERROR(__xludf.DUMMYFUNCTION("""COMPUTED_VALUE"""),"(VHF_Tr) Eastings Five")</f>
        <v>(VHF_Tr) Eastings Five</v>
      </c>
      <c r="AR1" s="2" t="str">
        <f ca="1">IFERROR(__xludf.DUMMYFUNCTION("""COMPUTED_VALUE"""),"(VHF_Tr) Northings Five")</f>
        <v>(VHF_Tr) Northings Five</v>
      </c>
      <c r="AS1" s="2" t="str">
        <f ca="1">IFERROR(__xludf.DUMMYFUNCTION("""COMPUTED_VALUE"""),"(VHF_Tr) Bearing Five")</f>
        <v>(VHF_Tr) Bearing Five</v>
      </c>
      <c r="AT1" s="2" t="str">
        <f ca="1">IFERROR(__xludf.DUMMYFUNCTION("""COMPUTED_VALUE"""),"(VHF_Tr) Distance Five")</f>
        <v>(VHF_Tr) Distance Five</v>
      </c>
      <c r="AU1" s="2" t="str">
        <f ca="1">IFERROR(__xludf.DUMMYFUNCTION("""COMPUTED_VALUE"""),"(VHF_Tr) Notes")</f>
        <v>(VHF_Tr) Notes</v>
      </c>
      <c r="AV1" s="2" t="str">
        <f ca="1">IFERROR(__xludf.DUMMYFUNCTION("""COMPUTED_VALUE"""),"(VHF_MT) What pulse rate did you find?")</f>
        <v>(VHF_MT) What pulse rate did you find?</v>
      </c>
      <c r="AW1" s="2" t="str">
        <f ca="1">IFERROR(__xludf.DUMMYFUNCTION("""COMPUTED_VALUE"""),"(VHF_MT) Eastings")</f>
        <v>(VHF_MT) Eastings</v>
      </c>
      <c r="AX1" s="2" t="str">
        <f ca="1">IFERROR(__xludf.DUMMYFUNCTION("""COMPUTED_VALUE"""),"(VHF_MT) Northings")</f>
        <v>(VHF_MT) Northings</v>
      </c>
      <c r="AY1" s="2" t="str">
        <f ca="1">IFERROR(__xludf.DUMMYFUNCTION("""COMPUTED_VALUE"""),"(VHF_MT) Notes")</f>
        <v>(VHF_MT) Notes</v>
      </c>
      <c r="AZ1" s="2" t="str">
        <f ca="1">IFERROR(__xludf.DUMMYFUNCTION("""COMPUTED_VALUE"""),"(GPS) What was the accuracy of the fix?")</f>
        <v>(GPS) What was the accuracy of the fix?</v>
      </c>
      <c r="BA1" s="2" t="str">
        <f ca="1">IFERROR(__xludf.DUMMYFUNCTION("""COMPUTED_VALUE"""),"(GPS) Eastings")</f>
        <v>(GPS) Eastings</v>
      </c>
      <c r="BB1" s="2" t="str">
        <f ca="1">IFERROR(__xludf.DUMMYFUNCTION("""COMPUTED_VALUE"""),"(GPS) Northings")</f>
        <v>(GPS) Northings</v>
      </c>
      <c r="BC1" s="2" t="str">
        <f ca="1">IFERROR(__xludf.DUMMYFUNCTION("""COMPUTED_VALUE"""),"(GPS) Notes")</f>
        <v>(GPS) Notes</v>
      </c>
      <c r="BD1" s="2" t="str">
        <f ca="1">IFERROR(__xludf.DUMMYFUNCTION("""COMPUTED_VALUE"""),"(AWOL) Where did you look?")</f>
        <v>(AWOL) Where did you look?</v>
      </c>
      <c r="BE1" s="2" t="str">
        <f ca="1">IFERROR(__xludf.DUMMYFUNCTION("""COMPUTED_VALUE"""),"(AWOL) Notes")</f>
        <v>(AWOL) Notes</v>
      </c>
      <c r="BF1" t="str">
        <f ca="1">IFERROR(__xludf.DUMMYFUNCTION("""COMPUTED_VALUE"""),"(Fly) Where did you look?")</f>
        <v>(Fly) Where did you look?</v>
      </c>
      <c r="BG1" t="str">
        <f ca="1">IFERROR(__xludf.DUMMYFUNCTION("""COMPUTED_VALUE"""),"(Fly) Notes")</f>
        <v>(Fly) Notes</v>
      </c>
      <c r="BH1" t="str">
        <f ca="1">IFERROR(__xludf.DUMMYFUNCTION("""COMPUTED_VALUE"""),"(SAT) Lat")</f>
        <v>(SAT) Lat</v>
      </c>
      <c r="BI1" t="str">
        <f ca="1">IFERROR(__xludf.DUMMYFUNCTION("""COMPUTED_VALUE"""),"(SAT) Long")</f>
        <v>(SAT) Long</v>
      </c>
      <c r="BJ1" t="str">
        <f ca="1">IFERROR(__xludf.DUMMYFUNCTION("""COMPUTED_VALUE"""),"(WK) DateGMT")</f>
        <v>(WK) DateGMT</v>
      </c>
    </row>
    <row r="2" spans="1:62" ht="15.75" customHeight="1" x14ac:dyDescent="0.25">
      <c r="A2" s="6">
        <f ca="1">IFERROR(__xludf.DUMMYFUNCTION("""COMPUTED_VALUE"""),43135.8357790277)</f>
        <v>43135.8357790277</v>
      </c>
      <c r="B2" s="2" t="str">
        <f ca="1">IFERROR(__xludf.DUMMYFUNCTION("""COMPUTED_VALUE"""),"Bay of Plenty")</f>
        <v>Bay of Plenty</v>
      </c>
      <c r="C2" s="2" t="str">
        <f ca="1">IFERROR(__xludf.DUMMYFUNCTION("""COMPUTED_VALUE"""),"Tx 38 - Pearl")</f>
        <v>Tx 38 - Pearl</v>
      </c>
      <c r="D2" s="10">
        <f ca="1">IFERROR(__xludf.DUMMYFUNCTION("""COMPUTED_VALUE"""),43135)</f>
        <v>43135</v>
      </c>
      <c r="E2" s="4">
        <f ca="1">IFERROR(__xludf.DUMMYFUNCTION("""COMPUTED_VALUE"""),0.684027777777373)</f>
        <v>0.684027777777373</v>
      </c>
      <c r="F2" s="2" t="str">
        <f ca="1">IFERROR(__xludf.DUMMYFUNCTION("""COMPUTED_VALUE"""),"Cutwater road paddocks ")</f>
        <v xml:space="preserve">Cutwater road paddocks </v>
      </c>
      <c r="G2" s="2" t="str">
        <f ca="1">IFERROR(__xludf.DUMMYFUNCTION("""COMPUTED_VALUE"""),"VHF (triangulation): I triangulated the bird with at least three bearings")</f>
        <v>VHF (triangulation): I triangulated the bird with at least three bearings</v>
      </c>
      <c r="H2" s="2" t="str">
        <f ca="1">IFERROR(__xludf.DUMMYFUNCTION("""COMPUTED_VALUE"""),"")</f>
        <v/>
      </c>
      <c r="I2" s="2" t="str">
        <f ca="1">IFERROR(__xludf.DUMMYFUNCTION("""COMPUTED_VALUE"""),"")</f>
        <v/>
      </c>
      <c r="J2" s="2" t="str">
        <f ca="1">IFERROR(__xludf.DUMMYFUNCTION("""COMPUTED_VALUE"""),"")</f>
        <v/>
      </c>
      <c r="K2" s="2" t="str">
        <f ca="1">IFERROR(__xludf.DUMMYFUNCTION("""COMPUTED_VALUE"""),"")</f>
        <v/>
      </c>
      <c r="L2" s="2" t="str">
        <f ca="1">IFERROR(__xludf.DUMMYFUNCTION("""COMPUTED_VALUE"""),"")</f>
        <v/>
      </c>
      <c r="M2" s="5" t="str">
        <f ca="1">IFERROR(__xludf.DUMMYFUNCTION("""COMPUTED_VALUE"""),"")</f>
        <v/>
      </c>
      <c r="N2" s="5" t="str">
        <f ca="1">IFERROR(__xludf.DUMMYFUNCTION("""COMPUTED_VALUE"""),"")</f>
        <v/>
      </c>
      <c r="O2" s="2" t="str">
        <f ca="1">IFERROR(__xludf.DUMMYFUNCTION("""COMPUTED_VALUE"""),"")</f>
        <v/>
      </c>
      <c r="P2" s="2" t="str">
        <f ca="1">IFERROR(__xludf.DUMMYFUNCTION("""COMPUTED_VALUE"""),"")</f>
        <v/>
      </c>
      <c r="Q2" s="2" t="str">
        <f ca="1">IFERROR(__xludf.DUMMYFUNCTION("""COMPUTED_VALUE"""),"")</f>
        <v/>
      </c>
      <c r="R2" s="2" t="str">
        <f ca="1">IFERROR(__xludf.DUMMYFUNCTION("""COMPUTED_VALUE"""),"")</f>
        <v/>
      </c>
      <c r="S2" s="2" t="str">
        <f ca="1">IFERROR(__xludf.DUMMYFUNCTION("""COMPUTED_VALUE"""),"")</f>
        <v/>
      </c>
      <c r="T2" s="2" t="str">
        <f ca="1">IFERROR(__xludf.DUMMYFUNCTION("""COMPUTED_VALUE"""),"")</f>
        <v/>
      </c>
      <c r="U2" s="2" t="str">
        <f ca="1">IFERROR(__xludf.DUMMYFUNCTION("""COMPUTED_VALUE"""),"")</f>
        <v/>
      </c>
      <c r="V2" s="2" t="str">
        <f ca="1">IFERROR(__xludf.DUMMYFUNCTION("""COMPUTED_VALUE"""),"")</f>
        <v/>
      </c>
      <c r="W2" s="2" t="str">
        <f ca="1">IFERROR(__xludf.DUMMYFUNCTION("""COMPUTED_VALUE"""),"")</f>
        <v/>
      </c>
      <c r="X2" s="2" t="str">
        <f ca="1">IFERROR(__xludf.DUMMYFUNCTION("""COMPUTED_VALUE"""),"")</f>
        <v/>
      </c>
      <c r="Y2" s="2" t="str">
        <f ca="1">IFERROR(__xludf.DUMMYFUNCTION("""COMPUTED_VALUE"""),"")</f>
        <v/>
      </c>
      <c r="Z2" s="2" t="str">
        <f ca="1">IFERROR(__xludf.DUMMYFUNCTION("""COMPUTED_VALUE"""),"")</f>
        <v/>
      </c>
      <c r="AA2" s="2">
        <f ca="1">IFERROR(__xludf.DUMMYFUNCTION("""COMPUTED_VALUE"""),1907547)</f>
        <v>1907547</v>
      </c>
      <c r="AB2" s="2">
        <f ca="1">IFERROR(__xludf.DUMMYFUNCTION("""COMPUTED_VALUE"""),5812869)</f>
        <v>5812869</v>
      </c>
      <c r="AC2" s="2">
        <f ca="1">IFERROR(__xludf.DUMMYFUNCTION("""COMPUTED_VALUE"""),180)</f>
        <v>180</v>
      </c>
      <c r="AD2" s="2" t="str">
        <f ca="1">IFERROR(__xludf.DUMMYFUNCTION("""COMPUTED_VALUE"""),"Weak - I could barely hear it.")</f>
        <v>Weak - I could barely hear it.</v>
      </c>
      <c r="AE2" s="2">
        <f ca="1">IFERROR(__xludf.DUMMYFUNCTION("""COMPUTED_VALUE"""),1907011)</f>
        <v>1907011</v>
      </c>
      <c r="AF2" s="2">
        <f ca="1">IFERROR(__xludf.DUMMYFUNCTION("""COMPUTED_VALUE"""),5812944)</f>
        <v>5812944</v>
      </c>
      <c r="AG2" s="2">
        <f ca="1">IFERROR(__xludf.DUMMYFUNCTION("""COMPUTED_VALUE"""),110)</f>
        <v>110</v>
      </c>
      <c r="AH2" s="2" t="str">
        <f ca="1">IFERROR(__xludf.DUMMYFUNCTION("""COMPUTED_VALUE"""),"Medium - Signal was good but bird was not close.")</f>
        <v>Medium - Signal was good but bird was not close.</v>
      </c>
      <c r="AI2" s="2" t="str">
        <f ca="1">IFERROR(__xludf.DUMMYFUNCTION("""COMPUTED_VALUE"""),"")</f>
        <v/>
      </c>
      <c r="AJ2" s="2" t="str">
        <f ca="1">IFERROR(__xludf.DUMMYFUNCTION("""COMPUTED_VALUE"""),"")</f>
        <v/>
      </c>
      <c r="AK2" s="2" t="str">
        <f ca="1">IFERROR(__xludf.DUMMYFUNCTION("""COMPUTED_VALUE"""),"")</f>
        <v/>
      </c>
      <c r="AL2" s="2" t="str">
        <f ca="1">IFERROR(__xludf.DUMMYFUNCTION("""COMPUTED_VALUE"""),"")</f>
        <v/>
      </c>
      <c r="AM2" s="2" t="str">
        <f ca="1">IFERROR(__xludf.DUMMYFUNCTION("""COMPUTED_VALUE"""),"")</f>
        <v/>
      </c>
      <c r="AN2" s="2" t="str">
        <f ca="1">IFERROR(__xludf.DUMMYFUNCTION("""COMPUTED_VALUE"""),"")</f>
        <v/>
      </c>
      <c r="AO2" s="2" t="str">
        <f ca="1">IFERROR(__xludf.DUMMYFUNCTION("""COMPUTED_VALUE"""),"")</f>
        <v/>
      </c>
      <c r="AP2" s="2" t="str">
        <f ca="1">IFERROR(__xludf.DUMMYFUNCTION("""COMPUTED_VALUE"""),"")</f>
        <v/>
      </c>
      <c r="AQ2" s="2" t="str">
        <f ca="1">IFERROR(__xludf.DUMMYFUNCTION("""COMPUTED_VALUE"""),"")</f>
        <v/>
      </c>
      <c r="AR2" s="2" t="str">
        <f ca="1">IFERROR(__xludf.DUMMYFUNCTION("""COMPUTED_VALUE"""),"")</f>
        <v/>
      </c>
      <c r="AS2" s="2" t="str">
        <f ca="1">IFERROR(__xludf.DUMMYFUNCTION("""COMPUTED_VALUE"""),"")</f>
        <v/>
      </c>
      <c r="AT2" s="2" t="str">
        <f ca="1">IFERROR(__xludf.DUMMYFUNCTION("""COMPUTED_VALUE"""),"")</f>
        <v/>
      </c>
      <c r="AU2" s="2" t="str">
        <f ca="1">IFERROR(__xludf.DUMMYFUNCTION("""COMPUTED_VALUE"""),"Signal was weak because of failing transmitter rather than not being close. bird could be in old river bed or beyond ")</f>
        <v xml:space="preserve">Signal was weak because of failing transmitter rather than not being close. bird could be in old river bed or beyond </v>
      </c>
      <c r="AV2" s="2" t="str">
        <f ca="1">IFERROR(__xludf.DUMMYFUNCTION("""COMPUTED_VALUE"""),"")</f>
        <v/>
      </c>
      <c r="AW2" s="2" t="str">
        <f ca="1">IFERROR(__xludf.DUMMYFUNCTION("""COMPUTED_VALUE"""),"")</f>
        <v/>
      </c>
      <c r="AX2" s="2" t="str">
        <f ca="1">IFERROR(__xludf.DUMMYFUNCTION("""COMPUTED_VALUE"""),"")</f>
        <v/>
      </c>
      <c r="AY2" s="2" t="str">
        <f ca="1">IFERROR(__xludf.DUMMYFUNCTION("""COMPUTED_VALUE"""),"")</f>
        <v/>
      </c>
      <c r="AZ2" s="2" t="str">
        <f ca="1">IFERROR(__xludf.DUMMYFUNCTION("""COMPUTED_VALUE"""),"")</f>
        <v/>
      </c>
      <c r="BA2" s="2" t="str">
        <f ca="1">IFERROR(__xludf.DUMMYFUNCTION("""COMPUTED_VALUE"""),"")</f>
        <v/>
      </c>
      <c r="BB2" s="2" t="str">
        <f ca="1">IFERROR(__xludf.DUMMYFUNCTION("""COMPUTED_VALUE"""),"")</f>
        <v/>
      </c>
      <c r="BC2" s="2" t="str">
        <f ca="1">IFERROR(__xludf.DUMMYFUNCTION("""COMPUTED_VALUE"""),"")</f>
        <v/>
      </c>
      <c r="BD2" s="2" t="str">
        <f ca="1">IFERROR(__xludf.DUMMYFUNCTION("""COMPUTED_VALUE"""),"")</f>
        <v/>
      </c>
      <c r="BE2" s="2" t="str">
        <f ca="1">IFERROR(__xludf.DUMMYFUNCTION("""COMPUTED_VALUE"""),"")</f>
        <v/>
      </c>
      <c r="BF2" t="str">
        <f ca="1">IFERROR(__xludf.DUMMYFUNCTION("""COMPUTED_VALUE"""),"")</f>
        <v/>
      </c>
      <c r="BG2" t="str">
        <f ca="1">IFERROR(__xludf.DUMMYFUNCTION("""COMPUTED_VALUE"""),"")</f>
        <v/>
      </c>
      <c r="BH2" t="str">
        <f ca="1">IFERROR(__xludf.DUMMYFUNCTION("""COMPUTED_VALUE"""),"")</f>
        <v/>
      </c>
      <c r="BI2" t="str">
        <f ca="1">IFERROR(__xludf.DUMMYFUNCTION("""COMPUTED_VALUE"""),"")</f>
        <v/>
      </c>
      <c r="BJ2" s="3" t="str">
        <f ca="1">IFERROR(__xludf.DUMMYFUNCTION("""COMPUTED_VALUE"""),"")</f>
        <v/>
      </c>
    </row>
    <row r="3" spans="1:62" ht="15.75" customHeight="1" x14ac:dyDescent="0.25">
      <c r="A3" s="6">
        <f ca="1">IFERROR(__xludf.DUMMYFUNCTION("""COMPUTED_VALUE"""),43135.8436192824)</f>
        <v>43135.843619282401</v>
      </c>
      <c r="B3" s="2" t="str">
        <f ca="1">IFERROR(__xludf.DUMMYFUNCTION("""COMPUTED_VALUE"""),"Bay of Plenty")</f>
        <v>Bay of Plenty</v>
      </c>
      <c r="C3" s="2" t="str">
        <f ca="1">IFERROR(__xludf.DUMMYFUNCTION("""COMPUTED_VALUE"""),"Tx 17")</f>
        <v>Tx 17</v>
      </c>
      <c r="D3" s="10">
        <f ca="1">IFERROR(__xludf.DUMMYFUNCTION("""COMPUTED_VALUE"""),43135)</f>
        <v>43135</v>
      </c>
      <c r="E3" s="4">
        <f ca="1">IFERROR(__xludf.DUMMYFUNCTION("""COMPUTED_VALUE"""),0.697916666667879)</f>
        <v>0.69791666666787899</v>
      </c>
      <c r="F3" s="2" t="str">
        <f ca="1">IFERROR(__xludf.DUMMYFUNCTION("""COMPUTED_VALUE"""),"Little Waihi Wildlife Management Reserve")</f>
        <v>Little Waihi Wildlife Management Reserve</v>
      </c>
      <c r="G3" s="2" t="str">
        <f ca="1">IFERROR(__xludf.DUMMYFUNCTION("""COMPUTED_VALUE"""),"VHF (triangulation): I triangulated the bird with at least three bearings")</f>
        <v>VHF (triangulation): I triangulated the bird with at least three bearings</v>
      </c>
      <c r="H3" s="2" t="str">
        <f ca="1">IFERROR(__xludf.DUMMYFUNCTION("""COMPUTED_VALUE"""),"")</f>
        <v/>
      </c>
      <c r="I3" s="2" t="str">
        <f ca="1">IFERROR(__xludf.DUMMYFUNCTION("""COMPUTED_VALUE"""),"")</f>
        <v/>
      </c>
      <c r="J3" s="2" t="str">
        <f ca="1">IFERROR(__xludf.DUMMYFUNCTION("""COMPUTED_VALUE"""),"")</f>
        <v/>
      </c>
      <c r="K3" s="2" t="str">
        <f ca="1">IFERROR(__xludf.DUMMYFUNCTION("""COMPUTED_VALUE"""),"")</f>
        <v/>
      </c>
      <c r="L3" s="2" t="str">
        <f ca="1">IFERROR(__xludf.DUMMYFUNCTION("""COMPUTED_VALUE"""),"")</f>
        <v/>
      </c>
      <c r="M3" s="5" t="str">
        <f ca="1">IFERROR(__xludf.DUMMYFUNCTION("""COMPUTED_VALUE"""),"")</f>
        <v/>
      </c>
      <c r="N3" s="5" t="str">
        <f ca="1">IFERROR(__xludf.DUMMYFUNCTION("""COMPUTED_VALUE"""),"")</f>
        <v/>
      </c>
      <c r="O3" s="2" t="str">
        <f ca="1">IFERROR(__xludf.DUMMYFUNCTION("""COMPUTED_VALUE"""),"")</f>
        <v/>
      </c>
      <c r="P3" s="2" t="str">
        <f ca="1">IFERROR(__xludf.DUMMYFUNCTION("""COMPUTED_VALUE"""),"")</f>
        <v/>
      </c>
      <c r="Q3" s="2" t="str">
        <f ca="1">IFERROR(__xludf.DUMMYFUNCTION("""COMPUTED_VALUE"""),"")</f>
        <v/>
      </c>
      <c r="R3" s="2" t="str">
        <f ca="1">IFERROR(__xludf.DUMMYFUNCTION("""COMPUTED_VALUE"""),"")</f>
        <v/>
      </c>
      <c r="S3" s="2" t="str">
        <f ca="1">IFERROR(__xludf.DUMMYFUNCTION("""COMPUTED_VALUE"""),"")</f>
        <v/>
      </c>
      <c r="T3" s="2" t="str">
        <f ca="1">IFERROR(__xludf.DUMMYFUNCTION("""COMPUTED_VALUE"""),"")</f>
        <v/>
      </c>
      <c r="U3" s="2" t="str">
        <f ca="1">IFERROR(__xludf.DUMMYFUNCTION("""COMPUTED_VALUE"""),"")</f>
        <v/>
      </c>
      <c r="V3" s="2" t="str">
        <f ca="1">IFERROR(__xludf.DUMMYFUNCTION("""COMPUTED_VALUE"""),"")</f>
        <v/>
      </c>
      <c r="W3" s="2" t="str">
        <f ca="1">IFERROR(__xludf.DUMMYFUNCTION("""COMPUTED_VALUE"""),"")</f>
        <v/>
      </c>
      <c r="X3" s="2" t="str">
        <f ca="1">IFERROR(__xludf.DUMMYFUNCTION("""COMPUTED_VALUE"""),"")</f>
        <v/>
      </c>
      <c r="Y3" s="2" t="str">
        <f ca="1">IFERROR(__xludf.DUMMYFUNCTION("""COMPUTED_VALUE"""),"")</f>
        <v/>
      </c>
      <c r="Z3" s="2" t="str">
        <f ca="1">IFERROR(__xludf.DUMMYFUNCTION("""COMPUTED_VALUE"""),"")</f>
        <v/>
      </c>
      <c r="AA3" s="2">
        <f ca="1">IFERROR(__xludf.DUMMYFUNCTION("""COMPUTED_VALUE"""),1906982)</f>
        <v>1906982</v>
      </c>
      <c r="AB3" s="2">
        <f ca="1">IFERROR(__xludf.DUMMYFUNCTION("""COMPUTED_VALUE"""),5812997)</f>
        <v>5812997</v>
      </c>
      <c r="AC3" s="2">
        <f ca="1">IFERROR(__xludf.DUMMYFUNCTION("""COMPUTED_VALUE"""),270)</f>
        <v>270</v>
      </c>
      <c r="AD3" s="2" t="str">
        <f ca="1">IFERROR(__xludf.DUMMYFUNCTION("""COMPUTED_VALUE"""),"Strong - I got a lovely, clear, strong signal.")</f>
        <v>Strong - I got a lovely, clear, strong signal.</v>
      </c>
      <c r="AE3" s="2">
        <f ca="1">IFERROR(__xludf.DUMMYFUNCTION("""COMPUTED_VALUE"""),1907011)</f>
        <v>1907011</v>
      </c>
      <c r="AF3" s="2">
        <f ca="1">IFERROR(__xludf.DUMMYFUNCTION("""COMPUTED_VALUE"""),5812944)</f>
        <v>5812944</v>
      </c>
      <c r="AG3" s="2">
        <f ca="1">IFERROR(__xludf.DUMMYFUNCTION("""COMPUTED_VALUE"""),110)</f>
        <v>110</v>
      </c>
      <c r="AH3" s="2" t="str">
        <f ca="1">IFERROR(__xludf.DUMMYFUNCTION("""COMPUTED_VALUE"""),"Strong - I got a lovely, clear, strong signal.")</f>
        <v>Strong - I got a lovely, clear, strong signal.</v>
      </c>
      <c r="AI3" s="2">
        <f ca="1">IFERROR(__xludf.DUMMYFUNCTION("""COMPUTED_VALUE"""),1906961)</f>
        <v>1906961</v>
      </c>
      <c r="AJ3" s="2">
        <f ca="1">IFERROR(__xludf.DUMMYFUNCTION("""COMPUTED_VALUE"""),5813110)</f>
        <v>5813110</v>
      </c>
      <c r="AK3" s="2">
        <f ca="1">IFERROR(__xludf.DUMMYFUNCTION("""COMPUTED_VALUE"""),210)</f>
        <v>210</v>
      </c>
      <c r="AL3" s="2" t="str">
        <f ca="1">IFERROR(__xludf.DUMMYFUNCTION("""COMPUTED_VALUE"""),"Strong - I got a lovely, clear, strong signal.")</f>
        <v>Strong - I got a lovely, clear, strong signal.</v>
      </c>
      <c r="AM3" s="2" t="str">
        <f ca="1">IFERROR(__xludf.DUMMYFUNCTION("""COMPUTED_VALUE"""),"")</f>
        <v/>
      </c>
      <c r="AN3" s="2" t="str">
        <f ca="1">IFERROR(__xludf.DUMMYFUNCTION("""COMPUTED_VALUE"""),"")</f>
        <v/>
      </c>
      <c r="AO3" s="2" t="str">
        <f ca="1">IFERROR(__xludf.DUMMYFUNCTION("""COMPUTED_VALUE"""),"")</f>
        <v/>
      </c>
      <c r="AP3" s="2" t="str">
        <f ca="1">IFERROR(__xludf.DUMMYFUNCTION("""COMPUTED_VALUE"""),"")</f>
        <v/>
      </c>
      <c r="AQ3" s="2" t="str">
        <f ca="1">IFERROR(__xludf.DUMMYFUNCTION("""COMPUTED_VALUE"""),"")</f>
        <v/>
      </c>
      <c r="AR3" s="2" t="str">
        <f ca="1">IFERROR(__xludf.DUMMYFUNCTION("""COMPUTED_VALUE"""),"")</f>
        <v/>
      </c>
      <c r="AS3" s="2" t="str">
        <f ca="1">IFERROR(__xludf.DUMMYFUNCTION("""COMPUTED_VALUE"""),"")</f>
        <v/>
      </c>
      <c r="AT3" s="2" t="str">
        <f ca="1">IFERROR(__xludf.DUMMYFUNCTION("""COMPUTED_VALUE"""),"")</f>
        <v/>
      </c>
      <c r="AU3" s="2" t="str">
        <f ca="1">IFERROR(__xludf.DUMMYFUNCTION("""COMPUTED_VALUE"""),"strong signal, possibly in raupo or just beyond. ")</f>
        <v xml:space="preserve">strong signal, possibly in raupo or just beyond. </v>
      </c>
      <c r="AV3" s="2" t="str">
        <f ca="1">IFERROR(__xludf.DUMMYFUNCTION("""COMPUTED_VALUE"""),"")</f>
        <v/>
      </c>
      <c r="AW3" s="2" t="str">
        <f ca="1">IFERROR(__xludf.DUMMYFUNCTION("""COMPUTED_VALUE"""),"")</f>
        <v/>
      </c>
      <c r="AX3" s="2" t="str">
        <f ca="1">IFERROR(__xludf.DUMMYFUNCTION("""COMPUTED_VALUE"""),"")</f>
        <v/>
      </c>
      <c r="AY3" s="2" t="str">
        <f ca="1">IFERROR(__xludf.DUMMYFUNCTION("""COMPUTED_VALUE"""),"")</f>
        <v/>
      </c>
      <c r="AZ3" s="2" t="str">
        <f ca="1">IFERROR(__xludf.DUMMYFUNCTION("""COMPUTED_VALUE"""),"")</f>
        <v/>
      </c>
      <c r="BA3" s="2" t="str">
        <f ca="1">IFERROR(__xludf.DUMMYFUNCTION("""COMPUTED_VALUE"""),"")</f>
        <v/>
      </c>
      <c r="BB3" s="2" t="str">
        <f ca="1">IFERROR(__xludf.DUMMYFUNCTION("""COMPUTED_VALUE"""),"")</f>
        <v/>
      </c>
      <c r="BC3" s="2" t="str">
        <f ca="1">IFERROR(__xludf.DUMMYFUNCTION("""COMPUTED_VALUE"""),"")</f>
        <v/>
      </c>
      <c r="BD3" s="2" t="str">
        <f ca="1">IFERROR(__xludf.DUMMYFUNCTION("""COMPUTED_VALUE"""),"")</f>
        <v/>
      </c>
      <c r="BE3" s="2" t="str">
        <f ca="1">IFERROR(__xludf.DUMMYFUNCTION("""COMPUTED_VALUE"""),"")</f>
        <v/>
      </c>
      <c r="BF3" t="str">
        <f ca="1">IFERROR(__xludf.DUMMYFUNCTION("""COMPUTED_VALUE"""),"")</f>
        <v/>
      </c>
      <c r="BG3" t="str">
        <f ca="1">IFERROR(__xludf.DUMMYFUNCTION("""COMPUTED_VALUE"""),"")</f>
        <v/>
      </c>
      <c r="BH3" t="str">
        <f ca="1">IFERROR(__xludf.DUMMYFUNCTION("""COMPUTED_VALUE"""),"")</f>
        <v/>
      </c>
      <c r="BI3" t="str">
        <f ca="1">IFERROR(__xludf.DUMMYFUNCTION("""COMPUTED_VALUE"""),"")</f>
        <v/>
      </c>
      <c r="BJ3" s="3" t="str">
        <f ca="1">IFERROR(__xludf.DUMMYFUNCTION("""COMPUTED_VALUE"""),"")</f>
        <v/>
      </c>
    </row>
    <row r="4" spans="1:62" ht="15.75" customHeight="1" x14ac:dyDescent="0.25">
      <c r="A4" s="6">
        <f ca="1">IFERROR(__xludf.DUMMYFUNCTION("""COMPUTED_VALUE"""),43142.8706987268)</f>
        <v>43142.870698726801</v>
      </c>
      <c r="B4" s="2" t="str">
        <f ca="1">IFERROR(__xludf.DUMMYFUNCTION("""COMPUTED_VALUE"""),"Bay of Plenty")</f>
        <v>Bay of Plenty</v>
      </c>
      <c r="C4" s="2" t="str">
        <f ca="1">IFERROR(__xludf.DUMMYFUNCTION("""COMPUTED_VALUE"""),"Tx 17")</f>
        <v>Tx 17</v>
      </c>
      <c r="D4" s="10">
        <f ca="1">IFERROR(__xludf.DUMMYFUNCTION("""COMPUTED_VALUE"""),43084)</f>
        <v>43084</v>
      </c>
      <c r="E4" s="4">
        <f ca="1">IFERROR(__xludf.DUMMYFUNCTION("""COMPUTED_VALUE"""),0.415277777778101)</f>
        <v>0.41527777777810099</v>
      </c>
      <c r="F4" s="2" t="str">
        <f ca="1">IFERROR(__xludf.DUMMYFUNCTION("""COMPUTED_VALUE"""),"Little Waihi")</f>
        <v>Little Waihi</v>
      </c>
      <c r="G4" s="2" t="str">
        <f ca="1">IFERROR(__xludf.DUMMYFUNCTION("""COMPUTED_VALUE"""),"GPS: I converted data downloaded from ARGOS using Pinpoint software")</f>
        <v>GPS: I converted data downloaded from ARGOS using Pinpoint software</v>
      </c>
      <c r="H4" s="2" t="str">
        <f ca="1">IFERROR(__xludf.DUMMYFUNCTION("""COMPUTED_VALUE"""),"")</f>
        <v/>
      </c>
      <c r="I4" s="2" t="str">
        <f ca="1">IFERROR(__xludf.DUMMYFUNCTION("""COMPUTED_VALUE"""),"")</f>
        <v/>
      </c>
      <c r="J4" s="2" t="str">
        <f ca="1">IFERROR(__xludf.DUMMYFUNCTION("""COMPUTED_VALUE"""),"")</f>
        <v/>
      </c>
      <c r="K4" s="2" t="str">
        <f ca="1">IFERROR(__xludf.DUMMYFUNCTION("""COMPUTED_VALUE"""),"")</f>
        <v/>
      </c>
      <c r="L4" s="2" t="str">
        <f ca="1">IFERROR(__xludf.DUMMYFUNCTION("""COMPUTED_VALUE"""),"")</f>
        <v/>
      </c>
      <c r="M4" s="5" t="str">
        <f ca="1">IFERROR(__xludf.DUMMYFUNCTION("""COMPUTED_VALUE"""),"")</f>
        <v/>
      </c>
      <c r="N4" s="5" t="str">
        <f ca="1">IFERROR(__xludf.DUMMYFUNCTION("""COMPUTED_VALUE"""),"")</f>
        <v/>
      </c>
      <c r="O4" s="2" t="str">
        <f ca="1">IFERROR(__xludf.DUMMYFUNCTION("""COMPUTED_VALUE"""),"")</f>
        <v/>
      </c>
      <c r="P4" s="2" t="str">
        <f ca="1">IFERROR(__xludf.DUMMYFUNCTION("""COMPUTED_VALUE"""),"")</f>
        <v/>
      </c>
      <c r="Q4" s="2" t="str">
        <f ca="1">IFERROR(__xludf.DUMMYFUNCTION("""COMPUTED_VALUE"""),"")</f>
        <v/>
      </c>
      <c r="R4" s="2" t="str">
        <f ca="1">IFERROR(__xludf.DUMMYFUNCTION("""COMPUTED_VALUE"""),"")</f>
        <v/>
      </c>
      <c r="S4" s="2" t="str">
        <f ca="1">IFERROR(__xludf.DUMMYFUNCTION("""COMPUTED_VALUE"""),"")</f>
        <v/>
      </c>
      <c r="T4" s="2" t="str">
        <f ca="1">IFERROR(__xludf.DUMMYFUNCTION("""COMPUTED_VALUE"""),"")</f>
        <v/>
      </c>
      <c r="U4" s="2" t="str">
        <f ca="1">IFERROR(__xludf.DUMMYFUNCTION("""COMPUTED_VALUE"""),"")</f>
        <v/>
      </c>
      <c r="V4" s="2" t="str">
        <f ca="1">IFERROR(__xludf.DUMMYFUNCTION("""COMPUTED_VALUE"""),"")</f>
        <v/>
      </c>
      <c r="W4" s="2" t="str">
        <f ca="1">IFERROR(__xludf.DUMMYFUNCTION("""COMPUTED_VALUE"""),"")</f>
        <v/>
      </c>
      <c r="X4" s="2" t="str">
        <f ca="1">IFERROR(__xludf.DUMMYFUNCTION("""COMPUTED_VALUE"""),"")</f>
        <v/>
      </c>
      <c r="Y4" s="2" t="str">
        <f ca="1">IFERROR(__xludf.DUMMYFUNCTION("""COMPUTED_VALUE"""),"")</f>
        <v/>
      </c>
      <c r="Z4" s="2" t="str">
        <f ca="1">IFERROR(__xludf.DUMMYFUNCTION("""COMPUTED_VALUE"""),"")</f>
        <v/>
      </c>
      <c r="AA4" s="2" t="str">
        <f ca="1">IFERROR(__xludf.DUMMYFUNCTION("""COMPUTED_VALUE"""),"")</f>
        <v/>
      </c>
      <c r="AB4" s="2" t="str">
        <f ca="1">IFERROR(__xludf.DUMMYFUNCTION("""COMPUTED_VALUE"""),"")</f>
        <v/>
      </c>
      <c r="AC4" s="2" t="str">
        <f ca="1">IFERROR(__xludf.DUMMYFUNCTION("""COMPUTED_VALUE"""),"")</f>
        <v/>
      </c>
      <c r="AD4" s="2" t="str">
        <f ca="1">IFERROR(__xludf.DUMMYFUNCTION("""COMPUTED_VALUE"""),"")</f>
        <v/>
      </c>
      <c r="AE4" s="2" t="str">
        <f ca="1">IFERROR(__xludf.DUMMYFUNCTION("""COMPUTED_VALUE"""),"")</f>
        <v/>
      </c>
      <c r="AF4" s="2" t="str">
        <f ca="1">IFERROR(__xludf.DUMMYFUNCTION("""COMPUTED_VALUE"""),"")</f>
        <v/>
      </c>
      <c r="AG4" s="2" t="str">
        <f ca="1">IFERROR(__xludf.DUMMYFUNCTION("""COMPUTED_VALUE"""),"")</f>
        <v/>
      </c>
      <c r="AH4" s="2" t="str">
        <f ca="1">IFERROR(__xludf.DUMMYFUNCTION("""COMPUTED_VALUE"""),"")</f>
        <v/>
      </c>
      <c r="AI4" s="2" t="str">
        <f ca="1">IFERROR(__xludf.DUMMYFUNCTION("""COMPUTED_VALUE"""),"")</f>
        <v/>
      </c>
      <c r="AJ4" s="2" t="str">
        <f ca="1">IFERROR(__xludf.DUMMYFUNCTION("""COMPUTED_VALUE"""),"")</f>
        <v/>
      </c>
      <c r="AK4" s="2" t="str">
        <f ca="1">IFERROR(__xludf.DUMMYFUNCTION("""COMPUTED_VALUE"""),"")</f>
        <v/>
      </c>
      <c r="AL4" s="2" t="str">
        <f ca="1">IFERROR(__xludf.DUMMYFUNCTION("""COMPUTED_VALUE"""),"")</f>
        <v/>
      </c>
      <c r="AM4" s="2" t="str">
        <f ca="1">IFERROR(__xludf.DUMMYFUNCTION("""COMPUTED_VALUE"""),"")</f>
        <v/>
      </c>
      <c r="AN4" s="2" t="str">
        <f ca="1">IFERROR(__xludf.DUMMYFUNCTION("""COMPUTED_VALUE"""),"")</f>
        <v/>
      </c>
      <c r="AO4" s="2" t="str">
        <f ca="1">IFERROR(__xludf.DUMMYFUNCTION("""COMPUTED_VALUE"""),"")</f>
        <v/>
      </c>
      <c r="AP4" s="2" t="str">
        <f ca="1">IFERROR(__xludf.DUMMYFUNCTION("""COMPUTED_VALUE"""),"")</f>
        <v/>
      </c>
      <c r="AQ4" s="2" t="str">
        <f ca="1">IFERROR(__xludf.DUMMYFUNCTION("""COMPUTED_VALUE"""),"")</f>
        <v/>
      </c>
      <c r="AR4" s="2" t="str">
        <f ca="1">IFERROR(__xludf.DUMMYFUNCTION("""COMPUTED_VALUE"""),"")</f>
        <v/>
      </c>
      <c r="AS4" s="2" t="str">
        <f ca="1">IFERROR(__xludf.DUMMYFUNCTION("""COMPUTED_VALUE"""),"")</f>
        <v/>
      </c>
      <c r="AT4" s="2" t="str">
        <f ca="1">IFERROR(__xludf.DUMMYFUNCTION("""COMPUTED_VALUE"""),"")</f>
        <v/>
      </c>
      <c r="AU4" s="2" t="str">
        <f ca="1">IFERROR(__xludf.DUMMYFUNCTION("""COMPUTED_VALUE"""),"")</f>
        <v/>
      </c>
      <c r="AV4" s="2" t="str">
        <f ca="1">IFERROR(__xludf.DUMMYFUNCTION("""COMPUTED_VALUE"""),"")</f>
        <v/>
      </c>
      <c r="AW4" s="2" t="str">
        <f ca="1">IFERROR(__xludf.DUMMYFUNCTION("""COMPUTED_VALUE"""),"")</f>
        <v/>
      </c>
      <c r="AX4" s="2" t="str">
        <f ca="1">IFERROR(__xludf.DUMMYFUNCTION("""COMPUTED_VALUE"""),"")</f>
        <v/>
      </c>
      <c r="AY4" s="2" t="str">
        <f ca="1">IFERROR(__xludf.DUMMYFUNCTION("""COMPUTED_VALUE"""),"")</f>
        <v/>
      </c>
      <c r="AZ4" s="2" t="str">
        <f ca="1">IFERROR(__xludf.DUMMYFUNCTION("""COMPUTED_VALUE"""),"3D")</f>
        <v>3D</v>
      </c>
      <c r="BA4" s="2">
        <f ca="1">IFERROR(__xludf.DUMMYFUNCTION("""COMPUTED_VALUE"""),1907447.099)</f>
        <v>1907447.0989999999</v>
      </c>
      <c r="BB4" s="2">
        <f ca="1">IFERROR(__xludf.DUMMYFUNCTION("""COMPUTED_VALUE"""),5813078.404)</f>
        <v>5813078.4040000001</v>
      </c>
      <c r="BC4" s="2" t="str">
        <f ca="1">IFERROR(__xludf.DUMMYFUNCTION("""COMPUTED_VALUE"""),"no")</f>
        <v>no</v>
      </c>
      <c r="BD4" s="2" t="str">
        <f ca="1">IFERROR(__xludf.DUMMYFUNCTION("""COMPUTED_VALUE"""),"")</f>
        <v/>
      </c>
      <c r="BE4" s="2" t="str">
        <f ca="1">IFERROR(__xludf.DUMMYFUNCTION("""COMPUTED_VALUE"""),"")</f>
        <v/>
      </c>
      <c r="BF4" t="str">
        <f ca="1">IFERROR(__xludf.DUMMYFUNCTION("""COMPUTED_VALUE"""),"")</f>
        <v/>
      </c>
      <c r="BG4" t="str">
        <f ca="1">IFERROR(__xludf.DUMMYFUNCTION("""COMPUTED_VALUE"""),"")</f>
        <v/>
      </c>
      <c r="BH4" t="str">
        <f ca="1">IFERROR(__xludf.DUMMYFUNCTION("""COMPUTED_VALUE"""),"")</f>
        <v/>
      </c>
      <c r="BI4" t="str">
        <f ca="1">IFERROR(__xludf.DUMMYFUNCTION("""COMPUTED_VALUE"""),"")</f>
        <v/>
      </c>
      <c r="BJ4" s="3" t="str">
        <f ca="1">IFERROR(__xludf.DUMMYFUNCTION("""COMPUTED_VALUE"""),"")</f>
        <v/>
      </c>
    </row>
    <row r="5" spans="1:62" ht="15.75" customHeight="1" x14ac:dyDescent="0.25">
      <c r="A5" s="6">
        <f ca="1">IFERROR(__xludf.DUMMYFUNCTION("""COMPUTED_VALUE"""),43142.8726038194)</f>
        <v>43142.8726038194</v>
      </c>
      <c r="B5" s="2" t="str">
        <f ca="1">IFERROR(__xludf.DUMMYFUNCTION("""COMPUTED_VALUE"""),"Bay of Plenty")</f>
        <v>Bay of Plenty</v>
      </c>
      <c r="C5" s="2" t="str">
        <f ca="1">IFERROR(__xludf.DUMMYFUNCTION("""COMPUTED_VALUE"""),"Tx 17")</f>
        <v>Tx 17</v>
      </c>
      <c r="D5" s="10">
        <f ca="1">IFERROR(__xludf.DUMMYFUNCTION("""COMPUTED_VALUE"""),43091)</f>
        <v>43091</v>
      </c>
      <c r="E5" s="4">
        <f ca="1">IFERROR(__xludf.DUMMYFUNCTION("""COMPUTED_VALUE"""),0.416666666667879)</f>
        <v>0.41666666666787899</v>
      </c>
      <c r="F5" s="2" t="str">
        <f ca="1">IFERROR(__xludf.DUMMYFUNCTION("""COMPUTED_VALUE"""),"Little Waihi")</f>
        <v>Little Waihi</v>
      </c>
      <c r="G5" s="2" t="str">
        <f ca="1">IFERROR(__xludf.DUMMYFUNCTION("""COMPUTED_VALUE"""),"GPS: I converted data downloaded from ARGOS using Pinpoint software")</f>
        <v>GPS: I converted data downloaded from ARGOS using Pinpoint software</v>
      </c>
      <c r="H5" s="2" t="str">
        <f ca="1">IFERROR(__xludf.DUMMYFUNCTION("""COMPUTED_VALUE"""),"")</f>
        <v/>
      </c>
      <c r="I5" s="2" t="str">
        <f ca="1">IFERROR(__xludf.DUMMYFUNCTION("""COMPUTED_VALUE"""),"")</f>
        <v/>
      </c>
      <c r="J5" s="2" t="str">
        <f ca="1">IFERROR(__xludf.DUMMYFUNCTION("""COMPUTED_VALUE"""),"")</f>
        <v/>
      </c>
      <c r="K5" s="2" t="str">
        <f ca="1">IFERROR(__xludf.DUMMYFUNCTION("""COMPUTED_VALUE"""),"")</f>
        <v/>
      </c>
      <c r="L5" s="2" t="str">
        <f ca="1">IFERROR(__xludf.DUMMYFUNCTION("""COMPUTED_VALUE"""),"")</f>
        <v/>
      </c>
      <c r="M5" s="5" t="str">
        <f ca="1">IFERROR(__xludf.DUMMYFUNCTION("""COMPUTED_VALUE"""),"")</f>
        <v/>
      </c>
      <c r="N5" s="5" t="str">
        <f ca="1">IFERROR(__xludf.DUMMYFUNCTION("""COMPUTED_VALUE"""),"")</f>
        <v/>
      </c>
      <c r="O5" s="2" t="str">
        <f ca="1">IFERROR(__xludf.DUMMYFUNCTION("""COMPUTED_VALUE"""),"")</f>
        <v/>
      </c>
      <c r="P5" s="2" t="str">
        <f ca="1">IFERROR(__xludf.DUMMYFUNCTION("""COMPUTED_VALUE"""),"")</f>
        <v/>
      </c>
      <c r="Q5" s="2" t="str">
        <f ca="1">IFERROR(__xludf.DUMMYFUNCTION("""COMPUTED_VALUE"""),"")</f>
        <v/>
      </c>
      <c r="R5" s="2" t="str">
        <f ca="1">IFERROR(__xludf.DUMMYFUNCTION("""COMPUTED_VALUE"""),"")</f>
        <v/>
      </c>
      <c r="S5" s="2" t="str">
        <f ca="1">IFERROR(__xludf.DUMMYFUNCTION("""COMPUTED_VALUE"""),"")</f>
        <v/>
      </c>
      <c r="T5" s="2" t="str">
        <f ca="1">IFERROR(__xludf.DUMMYFUNCTION("""COMPUTED_VALUE"""),"")</f>
        <v/>
      </c>
      <c r="U5" s="2" t="str">
        <f ca="1">IFERROR(__xludf.DUMMYFUNCTION("""COMPUTED_VALUE"""),"")</f>
        <v/>
      </c>
      <c r="V5" s="2" t="str">
        <f ca="1">IFERROR(__xludf.DUMMYFUNCTION("""COMPUTED_VALUE"""),"")</f>
        <v/>
      </c>
      <c r="W5" s="2" t="str">
        <f ca="1">IFERROR(__xludf.DUMMYFUNCTION("""COMPUTED_VALUE"""),"")</f>
        <v/>
      </c>
      <c r="X5" s="2" t="str">
        <f ca="1">IFERROR(__xludf.DUMMYFUNCTION("""COMPUTED_VALUE"""),"")</f>
        <v/>
      </c>
      <c r="Y5" s="2" t="str">
        <f ca="1">IFERROR(__xludf.DUMMYFUNCTION("""COMPUTED_VALUE"""),"")</f>
        <v/>
      </c>
      <c r="Z5" s="2" t="str">
        <f ca="1">IFERROR(__xludf.DUMMYFUNCTION("""COMPUTED_VALUE"""),"")</f>
        <v/>
      </c>
      <c r="AA5" s="2" t="str">
        <f ca="1">IFERROR(__xludf.DUMMYFUNCTION("""COMPUTED_VALUE"""),"")</f>
        <v/>
      </c>
      <c r="AB5" s="2" t="str">
        <f ca="1">IFERROR(__xludf.DUMMYFUNCTION("""COMPUTED_VALUE"""),"")</f>
        <v/>
      </c>
      <c r="AC5" s="2" t="str">
        <f ca="1">IFERROR(__xludf.DUMMYFUNCTION("""COMPUTED_VALUE"""),"")</f>
        <v/>
      </c>
      <c r="AD5" s="2" t="str">
        <f ca="1">IFERROR(__xludf.DUMMYFUNCTION("""COMPUTED_VALUE"""),"")</f>
        <v/>
      </c>
      <c r="AE5" s="2" t="str">
        <f ca="1">IFERROR(__xludf.DUMMYFUNCTION("""COMPUTED_VALUE"""),"")</f>
        <v/>
      </c>
      <c r="AF5" s="2" t="str">
        <f ca="1">IFERROR(__xludf.DUMMYFUNCTION("""COMPUTED_VALUE"""),"")</f>
        <v/>
      </c>
      <c r="AG5" s="2" t="str">
        <f ca="1">IFERROR(__xludf.DUMMYFUNCTION("""COMPUTED_VALUE"""),"")</f>
        <v/>
      </c>
      <c r="AH5" s="2" t="str">
        <f ca="1">IFERROR(__xludf.DUMMYFUNCTION("""COMPUTED_VALUE"""),"")</f>
        <v/>
      </c>
      <c r="AI5" s="2" t="str">
        <f ca="1">IFERROR(__xludf.DUMMYFUNCTION("""COMPUTED_VALUE"""),"")</f>
        <v/>
      </c>
      <c r="AJ5" s="2" t="str">
        <f ca="1">IFERROR(__xludf.DUMMYFUNCTION("""COMPUTED_VALUE"""),"")</f>
        <v/>
      </c>
      <c r="AK5" s="2" t="str">
        <f ca="1">IFERROR(__xludf.DUMMYFUNCTION("""COMPUTED_VALUE"""),"")</f>
        <v/>
      </c>
      <c r="AL5" s="2" t="str">
        <f ca="1">IFERROR(__xludf.DUMMYFUNCTION("""COMPUTED_VALUE"""),"")</f>
        <v/>
      </c>
      <c r="AM5" s="2" t="str">
        <f ca="1">IFERROR(__xludf.DUMMYFUNCTION("""COMPUTED_VALUE"""),"")</f>
        <v/>
      </c>
      <c r="AN5" s="2" t="str">
        <f ca="1">IFERROR(__xludf.DUMMYFUNCTION("""COMPUTED_VALUE"""),"")</f>
        <v/>
      </c>
      <c r="AO5" s="2" t="str">
        <f ca="1">IFERROR(__xludf.DUMMYFUNCTION("""COMPUTED_VALUE"""),"")</f>
        <v/>
      </c>
      <c r="AP5" s="2" t="str">
        <f ca="1">IFERROR(__xludf.DUMMYFUNCTION("""COMPUTED_VALUE"""),"")</f>
        <v/>
      </c>
      <c r="AQ5" s="2" t="str">
        <f ca="1">IFERROR(__xludf.DUMMYFUNCTION("""COMPUTED_VALUE"""),"")</f>
        <v/>
      </c>
      <c r="AR5" s="2" t="str">
        <f ca="1">IFERROR(__xludf.DUMMYFUNCTION("""COMPUTED_VALUE"""),"")</f>
        <v/>
      </c>
      <c r="AS5" s="2" t="str">
        <f ca="1">IFERROR(__xludf.DUMMYFUNCTION("""COMPUTED_VALUE"""),"")</f>
        <v/>
      </c>
      <c r="AT5" s="2" t="str">
        <f ca="1">IFERROR(__xludf.DUMMYFUNCTION("""COMPUTED_VALUE"""),"")</f>
        <v/>
      </c>
      <c r="AU5" s="2" t="str">
        <f ca="1">IFERROR(__xludf.DUMMYFUNCTION("""COMPUTED_VALUE"""),"")</f>
        <v/>
      </c>
      <c r="AV5" s="2" t="str">
        <f ca="1">IFERROR(__xludf.DUMMYFUNCTION("""COMPUTED_VALUE"""),"")</f>
        <v/>
      </c>
      <c r="AW5" s="2" t="str">
        <f ca="1">IFERROR(__xludf.DUMMYFUNCTION("""COMPUTED_VALUE"""),"")</f>
        <v/>
      </c>
      <c r="AX5" s="2" t="str">
        <f ca="1">IFERROR(__xludf.DUMMYFUNCTION("""COMPUTED_VALUE"""),"")</f>
        <v/>
      </c>
      <c r="AY5" s="2" t="str">
        <f ca="1">IFERROR(__xludf.DUMMYFUNCTION("""COMPUTED_VALUE"""),"")</f>
        <v/>
      </c>
      <c r="AZ5" s="2" t="str">
        <f ca="1">IFERROR(__xludf.DUMMYFUNCTION("""COMPUTED_VALUE"""),"3D")</f>
        <v>3D</v>
      </c>
      <c r="BA5" s="2">
        <f ca="1">IFERROR(__xludf.DUMMYFUNCTION("""COMPUTED_VALUE"""),1906795.601)</f>
        <v>1906795.601</v>
      </c>
      <c r="BB5" s="2">
        <f ca="1">IFERROR(__xludf.DUMMYFUNCTION("""COMPUTED_VALUE"""),5813299.096)</f>
        <v>5813299.0959999999</v>
      </c>
      <c r="BC5" s="2" t="str">
        <f ca="1">IFERROR(__xludf.DUMMYFUNCTION("""COMPUTED_VALUE"""),"no")</f>
        <v>no</v>
      </c>
      <c r="BD5" s="2" t="str">
        <f ca="1">IFERROR(__xludf.DUMMYFUNCTION("""COMPUTED_VALUE"""),"")</f>
        <v/>
      </c>
      <c r="BE5" s="2" t="str">
        <f ca="1">IFERROR(__xludf.DUMMYFUNCTION("""COMPUTED_VALUE"""),"")</f>
        <v/>
      </c>
      <c r="BF5" t="str">
        <f ca="1">IFERROR(__xludf.DUMMYFUNCTION("""COMPUTED_VALUE"""),"")</f>
        <v/>
      </c>
      <c r="BG5" t="str">
        <f ca="1">IFERROR(__xludf.DUMMYFUNCTION("""COMPUTED_VALUE"""),"")</f>
        <v/>
      </c>
      <c r="BH5" t="str">
        <f ca="1">IFERROR(__xludf.DUMMYFUNCTION("""COMPUTED_VALUE"""),"")</f>
        <v/>
      </c>
      <c r="BI5" t="str">
        <f ca="1">IFERROR(__xludf.DUMMYFUNCTION("""COMPUTED_VALUE"""),"")</f>
        <v/>
      </c>
      <c r="BJ5" s="3" t="str">
        <f ca="1">IFERROR(__xludf.DUMMYFUNCTION("""COMPUTED_VALUE"""),"")</f>
        <v/>
      </c>
    </row>
    <row r="6" spans="1:62" ht="15.75" customHeight="1" x14ac:dyDescent="0.25">
      <c r="A6" s="6">
        <f ca="1">IFERROR(__xludf.DUMMYFUNCTION("""COMPUTED_VALUE"""),43142.8740456134)</f>
        <v>43142.874045613396</v>
      </c>
      <c r="B6" s="2" t="str">
        <f ca="1">IFERROR(__xludf.DUMMYFUNCTION("""COMPUTED_VALUE"""),"Bay of Plenty")</f>
        <v>Bay of Plenty</v>
      </c>
      <c r="C6" s="2" t="str">
        <f ca="1">IFERROR(__xludf.DUMMYFUNCTION("""COMPUTED_VALUE"""),"Tx 17")</f>
        <v>Tx 17</v>
      </c>
      <c r="D6" s="10">
        <f ca="1">IFERROR(__xludf.DUMMYFUNCTION("""COMPUTED_VALUE"""),43098)</f>
        <v>43098</v>
      </c>
      <c r="E6" s="4">
        <f ca="1">IFERROR(__xludf.DUMMYFUNCTION("""COMPUTED_VALUE"""),0.415277777778101)</f>
        <v>0.41527777777810099</v>
      </c>
      <c r="F6" s="2" t="str">
        <f ca="1">IFERROR(__xludf.DUMMYFUNCTION("""COMPUTED_VALUE"""),"Little Waihi")</f>
        <v>Little Waihi</v>
      </c>
      <c r="G6" s="2" t="str">
        <f ca="1">IFERROR(__xludf.DUMMYFUNCTION("""COMPUTED_VALUE"""),"GPS: I converted data downloaded from ARGOS using Pinpoint software")</f>
        <v>GPS: I converted data downloaded from ARGOS using Pinpoint software</v>
      </c>
      <c r="H6" s="2" t="str">
        <f ca="1">IFERROR(__xludf.DUMMYFUNCTION("""COMPUTED_VALUE"""),"")</f>
        <v/>
      </c>
      <c r="I6" s="2" t="str">
        <f ca="1">IFERROR(__xludf.DUMMYFUNCTION("""COMPUTED_VALUE"""),"")</f>
        <v/>
      </c>
      <c r="J6" s="2" t="str">
        <f ca="1">IFERROR(__xludf.DUMMYFUNCTION("""COMPUTED_VALUE"""),"")</f>
        <v/>
      </c>
      <c r="K6" s="2" t="str">
        <f ca="1">IFERROR(__xludf.DUMMYFUNCTION("""COMPUTED_VALUE"""),"")</f>
        <v/>
      </c>
      <c r="L6" s="2" t="str">
        <f ca="1">IFERROR(__xludf.DUMMYFUNCTION("""COMPUTED_VALUE"""),"")</f>
        <v/>
      </c>
      <c r="M6" s="5" t="str">
        <f ca="1">IFERROR(__xludf.DUMMYFUNCTION("""COMPUTED_VALUE"""),"")</f>
        <v/>
      </c>
      <c r="N6" s="5" t="str">
        <f ca="1">IFERROR(__xludf.DUMMYFUNCTION("""COMPUTED_VALUE"""),"")</f>
        <v/>
      </c>
      <c r="O6" s="2" t="str">
        <f ca="1">IFERROR(__xludf.DUMMYFUNCTION("""COMPUTED_VALUE"""),"")</f>
        <v/>
      </c>
      <c r="P6" s="2" t="str">
        <f ca="1">IFERROR(__xludf.DUMMYFUNCTION("""COMPUTED_VALUE"""),"")</f>
        <v/>
      </c>
      <c r="Q6" s="2" t="str">
        <f ca="1">IFERROR(__xludf.DUMMYFUNCTION("""COMPUTED_VALUE"""),"")</f>
        <v/>
      </c>
      <c r="R6" s="2" t="str">
        <f ca="1">IFERROR(__xludf.DUMMYFUNCTION("""COMPUTED_VALUE"""),"")</f>
        <v/>
      </c>
      <c r="S6" s="2" t="str">
        <f ca="1">IFERROR(__xludf.DUMMYFUNCTION("""COMPUTED_VALUE"""),"")</f>
        <v/>
      </c>
      <c r="T6" s="2" t="str">
        <f ca="1">IFERROR(__xludf.DUMMYFUNCTION("""COMPUTED_VALUE"""),"")</f>
        <v/>
      </c>
      <c r="U6" s="2" t="str">
        <f ca="1">IFERROR(__xludf.DUMMYFUNCTION("""COMPUTED_VALUE"""),"")</f>
        <v/>
      </c>
      <c r="V6" s="2" t="str">
        <f ca="1">IFERROR(__xludf.DUMMYFUNCTION("""COMPUTED_VALUE"""),"")</f>
        <v/>
      </c>
      <c r="W6" s="2" t="str">
        <f ca="1">IFERROR(__xludf.DUMMYFUNCTION("""COMPUTED_VALUE"""),"")</f>
        <v/>
      </c>
      <c r="X6" s="2" t="str">
        <f ca="1">IFERROR(__xludf.DUMMYFUNCTION("""COMPUTED_VALUE"""),"")</f>
        <v/>
      </c>
      <c r="Y6" s="2" t="str">
        <f ca="1">IFERROR(__xludf.DUMMYFUNCTION("""COMPUTED_VALUE"""),"")</f>
        <v/>
      </c>
      <c r="Z6" s="2" t="str">
        <f ca="1">IFERROR(__xludf.DUMMYFUNCTION("""COMPUTED_VALUE"""),"")</f>
        <v/>
      </c>
      <c r="AA6" s="2" t="str">
        <f ca="1">IFERROR(__xludf.DUMMYFUNCTION("""COMPUTED_VALUE"""),"")</f>
        <v/>
      </c>
      <c r="AB6" s="2" t="str">
        <f ca="1">IFERROR(__xludf.DUMMYFUNCTION("""COMPUTED_VALUE"""),"")</f>
        <v/>
      </c>
      <c r="AC6" s="2" t="str">
        <f ca="1">IFERROR(__xludf.DUMMYFUNCTION("""COMPUTED_VALUE"""),"")</f>
        <v/>
      </c>
      <c r="AD6" s="2" t="str">
        <f ca="1">IFERROR(__xludf.DUMMYFUNCTION("""COMPUTED_VALUE"""),"")</f>
        <v/>
      </c>
      <c r="AE6" s="2" t="str">
        <f ca="1">IFERROR(__xludf.DUMMYFUNCTION("""COMPUTED_VALUE"""),"")</f>
        <v/>
      </c>
      <c r="AF6" s="2" t="str">
        <f ca="1">IFERROR(__xludf.DUMMYFUNCTION("""COMPUTED_VALUE"""),"")</f>
        <v/>
      </c>
      <c r="AG6" s="2" t="str">
        <f ca="1">IFERROR(__xludf.DUMMYFUNCTION("""COMPUTED_VALUE"""),"")</f>
        <v/>
      </c>
      <c r="AH6" s="2" t="str">
        <f ca="1">IFERROR(__xludf.DUMMYFUNCTION("""COMPUTED_VALUE"""),"")</f>
        <v/>
      </c>
      <c r="AI6" s="2" t="str">
        <f ca="1">IFERROR(__xludf.DUMMYFUNCTION("""COMPUTED_VALUE"""),"")</f>
        <v/>
      </c>
      <c r="AJ6" s="2" t="str">
        <f ca="1">IFERROR(__xludf.DUMMYFUNCTION("""COMPUTED_VALUE"""),"")</f>
        <v/>
      </c>
      <c r="AK6" s="2" t="str">
        <f ca="1">IFERROR(__xludf.DUMMYFUNCTION("""COMPUTED_VALUE"""),"")</f>
        <v/>
      </c>
      <c r="AL6" s="2" t="str">
        <f ca="1">IFERROR(__xludf.DUMMYFUNCTION("""COMPUTED_VALUE"""),"")</f>
        <v/>
      </c>
      <c r="AM6" s="2" t="str">
        <f ca="1">IFERROR(__xludf.DUMMYFUNCTION("""COMPUTED_VALUE"""),"")</f>
        <v/>
      </c>
      <c r="AN6" s="2" t="str">
        <f ca="1">IFERROR(__xludf.DUMMYFUNCTION("""COMPUTED_VALUE"""),"")</f>
        <v/>
      </c>
      <c r="AO6" s="2" t="str">
        <f ca="1">IFERROR(__xludf.DUMMYFUNCTION("""COMPUTED_VALUE"""),"")</f>
        <v/>
      </c>
      <c r="AP6" s="2" t="str">
        <f ca="1">IFERROR(__xludf.DUMMYFUNCTION("""COMPUTED_VALUE"""),"")</f>
        <v/>
      </c>
      <c r="AQ6" s="2" t="str">
        <f ca="1">IFERROR(__xludf.DUMMYFUNCTION("""COMPUTED_VALUE"""),"")</f>
        <v/>
      </c>
      <c r="AR6" s="2" t="str">
        <f ca="1">IFERROR(__xludf.DUMMYFUNCTION("""COMPUTED_VALUE"""),"")</f>
        <v/>
      </c>
      <c r="AS6" s="2" t="str">
        <f ca="1">IFERROR(__xludf.DUMMYFUNCTION("""COMPUTED_VALUE"""),"")</f>
        <v/>
      </c>
      <c r="AT6" s="2" t="str">
        <f ca="1">IFERROR(__xludf.DUMMYFUNCTION("""COMPUTED_VALUE"""),"")</f>
        <v/>
      </c>
      <c r="AU6" s="2" t="str">
        <f ca="1">IFERROR(__xludf.DUMMYFUNCTION("""COMPUTED_VALUE"""),"")</f>
        <v/>
      </c>
      <c r="AV6" s="2" t="str">
        <f ca="1">IFERROR(__xludf.DUMMYFUNCTION("""COMPUTED_VALUE"""),"")</f>
        <v/>
      </c>
      <c r="AW6" s="2" t="str">
        <f ca="1">IFERROR(__xludf.DUMMYFUNCTION("""COMPUTED_VALUE"""),"")</f>
        <v/>
      </c>
      <c r="AX6" s="2" t="str">
        <f ca="1">IFERROR(__xludf.DUMMYFUNCTION("""COMPUTED_VALUE"""),"")</f>
        <v/>
      </c>
      <c r="AY6" s="2" t="str">
        <f ca="1">IFERROR(__xludf.DUMMYFUNCTION("""COMPUTED_VALUE"""),"")</f>
        <v/>
      </c>
      <c r="AZ6" s="2" t="str">
        <f ca="1">IFERROR(__xludf.DUMMYFUNCTION("""COMPUTED_VALUE"""),"3D")</f>
        <v>3D</v>
      </c>
      <c r="BA6" s="2">
        <f ca="1">IFERROR(__xludf.DUMMYFUNCTION("""COMPUTED_VALUE"""),1906870.019)</f>
        <v>1906870.0190000001</v>
      </c>
      <c r="BB6" s="2">
        <f ca="1">IFERROR(__xludf.DUMMYFUNCTION("""COMPUTED_VALUE"""),5813165.406)</f>
        <v>5813165.4060000004</v>
      </c>
      <c r="BC6" s="2" t="str">
        <f ca="1">IFERROR(__xludf.DUMMYFUNCTION("""COMPUTED_VALUE"""),"no")</f>
        <v>no</v>
      </c>
      <c r="BD6" s="2" t="str">
        <f ca="1">IFERROR(__xludf.DUMMYFUNCTION("""COMPUTED_VALUE"""),"")</f>
        <v/>
      </c>
      <c r="BE6" s="2" t="str">
        <f ca="1">IFERROR(__xludf.DUMMYFUNCTION("""COMPUTED_VALUE"""),"")</f>
        <v/>
      </c>
      <c r="BF6" t="str">
        <f ca="1">IFERROR(__xludf.DUMMYFUNCTION("""COMPUTED_VALUE"""),"")</f>
        <v/>
      </c>
      <c r="BG6" t="str">
        <f ca="1">IFERROR(__xludf.DUMMYFUNCTION("""COMPUTED_VALUE"""),"")</f>
        <v/>
      </c>
      <c r="BH6" t="str">
        <f ca="1">IFERROR(__xludf.DUMMYFUNCTION("""COMPUTED_VALUE"""),"")</f>
        <v/>
      </c>
      <c r="BI6" t="str">
        <f ca="1">IFERROR(__xludf.DUMMYFUNCTION("""COMPUTED_VALUE"""),"")</f>
        <v/>
      </c>
      <c r="BJ6" s="3" t="str">
        <f ca="1">IFERROR(__xludf.DUMMYFUNCTION("""COMPUTED_VALUE"""),"")</f>
        <v/>
      </c>
    </row>
    <row r="7" spans="1:62" ht="15.75" customHeight="1" x14ac:dyDescent="0.25">
      <c r="A7" s="6">
        <f ca="1">IFERROR(__xludf.DUMMYFUNCTION("""COMPUTED_VALUE"""),43142.8757313541)</f>
        <v>43142.875731354099</v>
      </c>
      <c r="B7" s="2" t="str">
        <f ca="1">IFERROR(__xludf.DUMMYFUNCTION("""COMPUTED_VALUE"""),"Bay of Plenty")</f>
        <v>Bay of Plenty</v>
      </c>
      <c r="C7" s="2" t="str">
        <f ca="1">IFERROR(__xludf.DUMMYFUNCTION("""COMPUTED_VALUE"""),"Tx 17")</f>
        <v>Tx 17</v>
      </c>
      <c r="D7" s="10">
        <f ca="1">IFERROR(__xludf.DUMMYFUNCTION("""COMPUTED_VALUE"""),43105)</f>
        <v>43105</v>
      </c>
      <c r="E7" s="4">
        <f ca="1">IFERROR(__xludf.DUMMYFUNCTION("""COMPUTED_VALUE"""),0.416666666667879)</f>
        <v>0.41666666666787899</v>
      </c>
      <c r="F7" s="2" t="str">
        <f ca="1">IFERROR(__xludf.DUMMYFUNCTION("""COMPUTED_VALUE"""),"Little Waihi")</f>
        <v>Little Waihi</v>
      </c>
      <c r="G7" s="2" t="str">
        <f ca="1">IFERROR(__xludf.DUMMYFUNCTION("""COMPUTED_VALUE"""),"GPS: I converted data downloaded from ARGOS using Pinpoint software")</f>
        <v>GPS: I converted data downloaded from ARGOS using Pinpoint software</v>
      </c>
      <c r="H7" s="2" t="str">
        <f ca="1">IFERROR(__xludf.DUMMYFUNCTION("""COMPUTED_VALUE"""),"")</f>
        <v/>
      </c>
      <c r="I7" s="2" t="str">
        <f ca="1">IFERROR(__xludf.DUMMYFUNCTION("""COMPUTED_VALUE"""),"")</f>
        <v/>
      </c>
      <c r="J7" s="2" t="str">
        <f ca="1">IFERROR(__xludf.DUMMYFUNCTION("""COMPUTED_VALUE"""),"")</f>
        <v/>
      </c>
      <c r="K7" s="2" t="str">
        <f ca="1">IFERROR(__xludf.DUMMYFUNCTION("""COMPUTED_VALUE"""),"")</f>
        <v/>
      </c>
      <c r="L7" s="2" t="str">
        <f ca="1">IFERROR(__xludf.DUMMYFUNCTION("""COMPUTED_VALUE"""),"")</f>
        <v/>
      </c>
      <c r="M7" s="5" t="str">
        <f ca="1">IFERROR(__xludf.DUMMYFUNCTION("""COMPUTED_VALUE"""),"")</f>
        <v/>
      </c>
      <c r="N7" s="5" t="str">
        <f ca="1">IFERROR(__xludf.DUMMYFUNCTION("""COMPUTED_VALUE"""),"")</f>
        <v/>
      </c>
      <c r="O7" s="2" t="str">
        <f ca="1">IFERROR(__xludf.DUMMYFUNCTION("""COMPUTED_VALUE"""),"")</f>
        <v/>
      </c>
      <c r="P7" s="2" t="str">
        <f ca="1">IFERROR(__xludf.DUMMYFUNCTION("""COMPUTED_VALUE"""),"")</f>
        <v/>
      </c>
      <c r="Q7" s="2" t="str">
        <f ca="1">IFERROR(__xludf.DUMMYFUNCTION("""COMPUTED_VALUE"""),"")</f>
        <v/>
      </c>
      <c r="R7" s="2" t="str">
        <f ca="1">IFERROR(__xludf.DUMMYFUNCTION("""COMPUTED_VALUE"""),"")</f>
        <v/>
      </c>
      <c r="S7" s="2" t="str">
        <f ca="1">IFERROR(__xludf.DUMMYFUNCTION("""COMPUTED_VALUE"""),"")</f>
        <v/>
      </c>
      <c r="T7" s="2" t="str">
        <f ca="1">IFERROR(__xludf.DUMMYFUNCTION("""COMPUTED_VALUE"""),"")</f>
        <v/>
      </c>
      <c r="U7" s="2" t="str">
        <f ca="1">IFERROR(__xludf.DUMMYFUNCTION("""COMPUTED_VALUE"""),"")</f>
        <v/>
      </c>
      <c r="V7" s="2" t="str">
        <f ca="1">IFERROR(__xludf.DUMMYFUNCTION("""COMPUTED_VALUE"""),"")</f>
        <v/>
      </c>
      <c r="W7" s="2" t="str">
        <f ca="1">IFERROR(__xludf.DUMMYFUNCTION("""COMPUTED_VALUE"""),"")</f>
        <v/>
      </c>
      <c r="X7" s="2" t="str">
        <f ca="1">IFERROR(__xludf.DUMMYFUNCTION("""COMPUTED_VALUE"""),"")</f>
        <v/>
      </c>
      <c r="Y7" s="2" t="str">
        <f ca="1">IFERROR(__xludf.DUMMYFUNCTION("""COMPUTED_VALUE"""),"")</f>
        <v/>
      </c>
      <c r="Z7" s="2" t="str">
        <f ca="1">IFERROR(__xludf.DUMMYFUNCTION("""COMPUTED_VALUE"""),"")</f>
        <v/>
      </c>
      <c r="AA7" s="2" t="str">
        <f ca="1">IFERROR(__xludf.DUMMYFUNCTION("""COMPUTED_VALUE"""),"")</f>
        <v/>
      </c>
      <c r="AB7" s="2" t="str">
        <f ca="1">IFERROR(__xludf.DUMMYFUNCTION("""COMPUTED_VALUE"""),"")</f>
        <v/>
      </c>
      <c r="AC7" s="2" t="str">
        <f ca="1">IFERROR(__xludf.DUMMYFUNCTION("""COMPUTED_VALUE"""),"")</f>
        <v/>
      </c>
      <c r="AD7" s="2" t="str">
        <f ca="1">IFERROR(__xludf.DUMMYFUNCTION("""COMPUTED_VALUE"""),"")</f>
        <v/>
      </c>
      <c r="AE7" s="2" t="str">
        <f ca="1">IFERROR(__xludf.DUMMYFUNCTION("""COMPUTED_VALUE"""),"")</f>
        <v/>
      </c>
      <c r="AF7" s="2" t="str">
        <f ca="1">IFERROR(__xludf.DUMMYFUNCTION("""COMPUTED_VALUE"""),"")</f>
        <v/>
      </c>
      <c r="AG7" s="2" t="str">
        <f ca="1">IFERROR(__xludf.DUMMYFUNCTION("""COMPUTED_VALUE"""),"")</f>
        <v/>
      </c>
      <c r="AH7" s="2" t="str">
        <f ca="1">IFERROR(__xludf.DUMMYFUNCTION("""COMPUTED_VALUE"""),"")</f>
        <v/>
      </c>
      <c r="AI7" s="2" t="str">
        <f ca="1">IFERROR(__xludf.DUMMYFUNCTION("""COMPUTED_VALUE"""),"")</f>
        <v/>
      </c>
      <c r="AJ7" s="2" t="str">
        <f ca="1">IFERROR(__xludf.DUMMYFUNCTION("""COMPUTED_VALUE"""),"")</f>
        <v/>
      </c>
      <c r="AK7" s="2" t="str">
        <f ca="1">IFERROR(__xludf.DUMMYFUNCTION("""COMPUTED_VALUE"""),"")</f>
        <v/>
      </c>
      <c r="AL7" s="2" t="str">
        <f ca="1">IFERROR(__xludf.DUMMYFUNCTION("""COMPUTED_VALUE"""),"")</f>
        <v/>
      </c>
      <c r="AM7" s="2" t="str">
        <f ca="1">IFERROR(__xludf.DUMMYFUNCTION("""COMPUTED_VALUE"""),"")</f>
        <v/>
      </c>
      <c r="AN7" s="2" t="str">
        <f ca="1">IFERROR(__xludf.DUMMYFUNCTION("""COMPUTED_VALUE"""),"")</f>
        <v/>
      </c>
      <c r="AO7" s="2" t="str">
        <f ca="1">IFERROR(__xludf.DUMMYFUNCTION("""COMPUTED_VALUE"""),"")</f>
        <v/>
      </c>
      <c r="AP7" s="2" t="str">
        <f ca="1">IFERROR(__xludf.DUMMYFUNCTION("""COMPUTED_VALUE"""),"")</f>
        <v/>
      </c>
      <c r="AQ7" s="2" t="str">
        <f ca="1">IFERROR(__xludf.DUMMYFUNCTION("""COMPUTED_VALUE"""),"")</f>
        <v/>
      </c>
      <c r="AR7" s="2" t="str">
        <f ca="1">IFERROR(__xludf.DUMMYFUNCTION("""COMPUTED_VALUE"""),"")</f>
        <v/>
      </c>
      <c r="AS7" s="2" t="str">
        <f ca="1">IFERROR(__xludf.DUMMYFUNCTION("""COMPUTED_VALUE"""),"")</f>
        <v/>
      </c>
      <c r="AT7" s="2" t="str">
        <f ca="1">IFERROR(__xludf.DUMMYFUNCTION("""COMPUTED_VALUE"""),"")</f>
        <v/>
      </c>
      <c r="AU7" s="2" t="str">
        <f ca="1">IFERROR(__xludf.DUMMYFUNCTION("""COMPUTED_VALUE"""),"")</f>
        <v/>
      </c>
      <c r="AV7" s="2" t="str">
        <f ca="1">IFERROR(__xludf.DUMMYFUNCTION("""COMPUTED_VALUE"""),"")</f>
        <v/>
      </c>
      <c r="AW7" s="2" t="str">
        <f ca="1">IFERROR(__xludf.DUMMYFUNCTION("""COMPUTED_VALUE"""),"")</f>
        <v/>
      </c>
      <c r="AX7" s="2" t="str">
        <f ca="1">IFERROR(__xludf.DUMMYFUNCTION("""COMPUTED_VALUE"""),"")</f>
        <v/>
      </c>
      <c r="AY7" s="2" t="str">
        <f ca="1">IFERROR(__xludf.DUMMYFUNCTION("""COMPUTED_VALUE"""),"")</f>
        <v/>
      </c>
      <c r="AZ7" s="2" t="str">
        <f ca="1">IFERROR(__xludf.DUMMYFUNCTION("""COMPUTED_VALUE"""),"3D")</f>
        <v>3D</v>
      </c>
      <c r="BA7" s="2">
        <f ca="1">IFERROR(__xludf.DUMMYFUNCTION("""COMPUTED_VALUE"""),1906865.631)</f>
        <v>1906865.6310000001</v>
      </c>
      <c r="BB7" s="2">
        <f ca="1">IFERROR(__xludf.DUMMYFUNCTION("""COMPUTED_VALUE"""),5813225.16)</f>
        <v>5813225.1600000001</v>
      </c>
      <c r="BC7" s="2" t="str">
        <f ca="1">IFERROR(__xludf.DUMMYFUNCTION("""COMPUTED_VALUE"""),"no")</f>
        <v>no</v>
      </c>
      <c r="BD7" s="2" t="str">
        <f ca="1">IFERROR(__xludf.DUMMYFUNCTION("""COMPUTED_VALUE"""),"")</f>
        <v/>
      </c>
      <c r="BE7" s="2" t="str">
        <f ca="1">IFERROR(__xludf.DUMMYFUNCTION("""COMPUTED_VALUE"""),"")</f>
        <v/>
      </c>
      <c r="BF7" t="str">
        <f ca="1">IFERROR(__xludf.DUMMYFUNCTION("""COMPUTED_VALUE"""),"")</f>
        <v/>
      </c>
      <c r="BG7" t="str">
        <f ca="1">IFERROR(__xludf.DUMMYFUNCTION("""COMPUTED_VALUE"""),"")</f>
        <v/>
      </c>
      <c r="BH7" t="str">
        <f ca="1">IFERROR(__xludf.DUMMYFUNCTION("""COMPUTED_VALUE"""),"")</f>
        <v/>
      </c>
      <c r="BI7" t="str">
        <f ca="1">IFERROR(__xludf.DUMMYFUNCTION("""COMPUTED_VALUE"""),"")</f>
        <v/>
      </c>
      <c r="BJ7" s="3" t="str">
        <f ca="1">IFERROR(__xludf.DUMMYFUNCTION("""COMPUTED_VALUE"""),"")</f>
        <v/>
      </c>
    </row>
    <row r="8" spans="1:62" ht="15.75" customHeight="1" x14ac:dyDescent="0.25">
      <c r="A8" s="6">
        <f ca="1">IFERROR(__xludf.DUMMYFUNCTION("""COMPUTED_VALUE"""),43142.8770038078)</f>
        <v>43142.8770038078</v>
      </c>
      <c r="B8" s="2" t="str">
        <f ca="1">IFERROR(__xludf.DUMMYFUNCTION("""COMPUTED_VALUE"""),"Bay of Plenty")</f>
        <v>Bay of Plenty</v>
      </c>
      <c r="C8" s="2" t="str">
        <f ca="1">IFERROR(__xludf.DUMMYFUNCTION("""COMPUTED_VALUE"""),"Tx 17")</f>
        <v>Tx 17</v>
      </c>
      <c r="D8" s="10">
        <f ca="1">IFERROR(__xludf.DUMMYFUNCTION("""COMPUTED_VALUE"""),43112)</f>
        <v>43112</v>
      </c>
      <c r="E8" s="4">
        <f ca="1">IFERROR(__xludf.DUMMYFUNCTION("""COMPUTED_VALUE"""),0.415277777778101)</f>
        <v>0.41527777777810099</v>
      </c>
      <c r="F8" s="2" t="str">
        <f ca="1">IFERROR(__xludf.DUMMYFUNCTION("""COMPUTED_VALUE"""),"Little Waihi")</f>
        <v>Little Waihi</v>
      </c>
      <c r="G8" s="2" t="str">
        <f ca="1">IFERROR(__xludf.DUMMYFUNCTION("""COMPUTED_VALUE"""),"GPS: I converted data downloaded from ARGOS using Pinpoint software")</f>
        <v>GPS: I converted data downloaded from ARGOS using Pinpoint software</v>
      </c>
      <c r="H8" s="2" t="str">
        <f ca="1">IFERROR(__xludf.DUMMYFUNCTION("""COMPUTED_VALUE"""),"")</f>
        <v/>
      </c>
      <c r="I8" s="2" t="str">
        <f ca="1">IFERROR(__xludf.DUMMYFUNCTION("""COMPUTED_VALUE"""),"")</f>
        <v/>
      </c>
      <c r="J8" s="2" t="str">
        <f ca="1">IFERROR(__xludf.DUMMYFUNCTION("""COMPUTED_VALUE"""),"")</f>
        <v/>
      </c>
      <c r="K8" s="2" t="str">
        <f ca="1">IFERROR(__xludf.DUMMYFUNCTION("""COMPUTED_VALUE"""),"")</f>
        <v/>
      </c>
      <c r="L8" s="2" t="str">
        <f ca="1">IFERROR(__xludf.DUMMYFUNCTION("""COMPUTED_VALUE"""),"")</f>
        <v/>
      </c>
      <c r="M8" s="5" t="str">
        <f ca="1">IFERROR(__xludf.DUMMYFUNCTION("""COMPUTED_VALUE"""),"")</f>
        <v/>
      </c>
      <c r="N8" s="5" t="str">
        <f ca="1">IFERROR(__xludf.DUMMYFUNCTION("""COMPUTED_VALUE"""),"")</f>
        <v/>
      </c>
      <c r="O8" s="2" t="str">
        <f ca="1">IFERROR(__xludf.DUMMYFUNCTION("""COMPUTED_VALUE"""),"")</f>
        <v/>
      </c>
      <c r="P8" s="2" t="str">
        <f ca="1">IFERROR(__xludf.DUMMYFUNCTION("""COMPUTED_VALUE"""),"")</f>
        <v/>
      </c>
      <c r="Q8" s="2" t="str">
        <f ca="1">IFERROR(__xludf.DUMMYFUNCTION("""COMPUTED_VALUE"""),"")</f>
        <v/>
      </c>
      <c r="R8" s="2" t="str">
        <f ca="1">IFERROR(__xludf.DUMMYFUNCTION("""COMPUTED_VALUE"""),"")</f>
        <v/>
      </c>
      <c r="S8" s="2" t="str">
        <f ca="1">IFERROR(__xludf.DUMMYFUNCTION("""COMPUTED_VALUE"""),"")</f>
        <v/>
      </c>
      <c r="T8" s="2" t="str">
        <f ca="1">IFERROR(__xludf.DUMMYFUNCTION("""COMPUTED_VALUE"""),"")</f>
        <v/>
      </c>
      <c r="U8" s="2" t="str">
        <f ca="1">IFERROR(__xludf.DUMMYFUNCTION("""COMPUTED_VALUE"""),"")</f>
        <v/>
      </c>
      <c r="V8" s="2" t="str">
        <f ca="1">IFERROR(__xludf.DUMMYFUNCTION("""COMPUTED_VALUE"""),"")</f>
        <v/>
      </c>
      <c r="W8" s="2" t="str">
        <f ca="1">IFERROR(__xludf.DUMMYFUNCTION("""COMPUTED_VALUE"""),"")</f>
        <v/>
      </c>
      <c r="X8" s="2" t="str">
        <f ca="1">IFERROR(__xludf.DUMMYFUNCTION("""COMPUTED_VALUE"""),"")</f>
        <v/>
      </c>
      <c r="Y8" s="2" t="str">
        <f ca="1">IFERROR(__xludf.DUMMYFUNCTION("""COMPUTED_VALUE"""),"")</f>
        <v/>
      </c>
      <c r="Z8" s="2" t="str">
        <f ca="1">IFERROR(__xludf.DUMMYFUNCTION("""COMPUTED_VALUE"""),"")</f>
        <v/>
      </c>
      <c r="AA8" s="2" t="str">
        <f ca="1">IFERROR(__xludf.DUMMYFUNCTION("""COMPUTED_VALUE"""),"")</f>
        <v/>
      </c>
      <c r="AB8" s="2" t="str">
        <f ca="1">IFERROR(__xludf.DUMMYFUNCTION("""COMPUTED_VALUE"""),"")</f>
        <v/>
      </c>
      <c r="AC8" s="2" t="str">
        <f ca="1">IFERROR(__xludf.DUMMYFUNCTION("""COMPUTED_VALUE"""),"")</f>
        <v/>
      </c>
      <c r="AD8" s="2" t="str">
        <f ca="1">IFERROR(__xludf.DUMMYFUNCTION("""COMPUTED_VALUE"""),"")</f>
        <v/>
      </c>
      <c r="AE8" s="2" t="str">
        <f ca="1">IFERROR(__xludf.DUMMYFUNCTION("""COMPUTED_VALUE"""),"")</f>
        <v/>
      </c>
      <c r="AF8" s="2" t="str">
        <f ca="1">IFERROR(__xludf.DUMMYFUNCTION("""COMPUTED_VALUE"""),"")</f>
        <v/>
      </c>
      <c r="AG8" s="2" t="str">
        <f ca="1">IFERROR(__xludf.DUMMYFUNCTION("""COMPUTED_VALUE"""),"")</f>
        <v/>
      </c>
      <c r="AH8" s="2" t="str">
        <f ca="1">IFERROR(__xludf.DUMMYFUNCTION("""COMPUTED_VALUE"""),"")</f>
        <v/>
      </c>
      <c r="AI8" s="2" t="str">
        <f ca="1">IFERROR(__xludf.DUMMYFUNCTION("""COMPUTED_VALUE"""),"")</f>
        <v/>
      </c>
      <c r="AJ8" s="2" t="str">
        <f ca="1">IFERROR(__xludf.DUMMYFUNCTION("""COMPUTED_VALUE"""),"")</f>
        <v/>
      </c>
      <c r="AK8" s="2" t="str">
        <f ca="1">IFERROR(__xludf.DUMMYFUNCTION("""COMPUTED_VALUE"""),"")</f>
        <v/>
      </c>
      <c r="AL8" s="2" t="str">
        <f ca="1">IFERROR(__xludf.DUMMYFUNCTION("""COMPUTED_VALUE"""),"")</f>
        <v/>
      </c>
      <c r="AM8" s="2" t="str">
        <f ca="1">IFERROR(__xludf.DUMMYFUNCTION("""COMPUTED_VALUE"""),"")</f>
        <v/>
      </c>
      <c r="AN8" s="2" t="str">
        <f ca="1">IFERROR(__xludf.DUMMYFUNCTION("""COMPUTED_VALUE"""),"")</f>
        <v/>
      </c>
      <c r="AO8" s="2" t="str">
        <f ca="1">IFERROR(__xludf.DUMMYFUNCTION("""COMPUTED_VALUE"""),"")</f>
        <v/>
      </c>
      <c r="AP8" s="2" t="str">
        <f ca="1">IFERROR(__xludf.DUMMYFUNCTION("""COMPUTED_VALUE"""),"")</f>
        <v/>
      </c>
      <c r="AQ8" s="2" t="str">
        <f ca="1">IFERROR(__xludf.DUMMYFUNCTION("""COMPUTED_VALUE"""),"")</f>
        <v/>
      </c>
      <c r="AR8" s="2" t="str">
        <f ca="1">IFERROR(__xludf.DUMMYFUNCTION("""COMPUTED_VALUE"""),"")</f>
        <v/>
      </c>
      <c r="AS8" s="2" t="str">
        <f ca="1">IFERROR(__xludf.DUMMYFUNCTION("""COMPUTED_VALUE"""),"")</f>
        <v/>
      </c>
      <c r="AT8" s="2" t="str">
        <f ca="1">IFERROR(__xludf.DUMMYFUNCTION("""COMPUTED_VALUE"""),"")</f>
        <v/>
      </c>
      <c r="AU8" s="2" t="str">
        <f ca="1">IFERROR(__xludf.DUMMYFUNCTION("""COMPUTED_VALUE"""),"")</f>
        <v/>
      </c>
      <c r="AV8" s="2" t="str">
        <f ca="1">IFERROR(__xludf.DUMMYFUNCTION("""COMPUTED_VALUE"""),"")</f>
        <v/>
      </c>
      <c r="AW8" s="2" t="str">
        <f ca="1">IFERROR(__xludf.DUMMYFUNCTION("""COMPUTED_VALUE"""),"")</f>
        <v/>
      </c>
      <c r="AX8" s="2" t="str">
        <f ca="1">IFERROR(__xludf.DUMMYFUNCTION("""COMPUTED_VALUE"""),"")</f>
        <v/>
      </c>
      <c r="AY8" s="2" t="str">
        <f ca="1">IFERROR(__xludf.DUMMYFUNCTION("""COMPUTED_VALUE"""),"")</f>
        <v/>
      </c>
      <c r="AZ8" s="2" t="str">
        <f ca="1">IFERROR(__xludf.DUMMYFUNCTION("""COMPUTED_VALUE"""),"3D")</f>
        <v>3D</v>
      </c>
      <c r="BA8" s="2">
        <f ca="1">IFERROR(__xludf.DUMMYFUNCTION("""COMPUTED_VALUE"""),1906770.415)</f>
        <v>1906770.415</v>
      </c>
      <c r="BB8" s="2">
        <f ca="1">IFERROR(__xludf.DUMMYFUNCTION("""COMPUTED_VALUE"""),5813234.886)</f>
        <v>5813234.8859999999</v>
      </c>
      <c r="BC8" s="2" t="str">
        <f ca="1">IFERROR(__xludf.DUMMYFUNCTION("""COMPUTED_VALUE"""),"no")</f>
        <v>no</v>
      </c>
      <c r="BD8" s="2" t="str">
        <f ca="1">IFERROR(__xludf.DUMMYFUNCTION("""COMPUTED_VALUE"""),"")</f>
        <v/>
      </c>
      <c r="BE8" s="2" t="str">
        <f ca="1">IFERROR(__xludf.DUMMYFUNCTION("""COMPUTED_VALUE"""),"")</f>
        <v/>
      </c>
      <c r="BF8" t="str">
        <f ca="1">IFERROR(__xludf.DUMMYFUNCTION("""COMPUTED_VALUE"""),"")</f>
        <v/>
      </c>
      <c r="BG8" t="str">
        <f ca="1">IFERROR(__xludf.DUMMYFUNCTION("""COMPUTED_VALUE"""),"")</f>
        <v/>
      </c>
      <c r="BH8" t="str">
        <f ca="1">IFERROR(__xludf.DUMMYFUNCTION("""COMPUTED_VALUE"""),"")</f>
        <v/>
      </c>
      <c r="BI8" t="str">
        <f ca="1">IFERROR(__xludf.DUMMYFUNCTION("""COMPUTED_VALUE"""),"")</f>
        <v/>
      </c>
      <c r="BJ8" s="3" t="str">
        <f ca="1">IFERROR(__xludf.DUMMYFUNCTION("""COMPUTED_VALUE"""),"")</f>
        <v/>
      </c>
    </row>
    <row r="9" spans="1:62" ht="15.75" customHeight="1" x14ac:dyDescent="0.25">
      <c r="A9" s="6">
        <f ca="1">IFERROR(__xludf.DUMMYFUNCTION("""COMPUTED_VALUE"""),43142.8780045717)</f>
        <v>43142.878004571699</v>
      </c>
      <c r="B9" s="2" t="str">
        <f ca="1">IFERROR(__xludf.DUMMYFUNCTION("""COMPUTED_VALUE"""),"Bay of Plenty")</f>
        <v>Bay of Plenty</v>
      </c>
      <c r="C9" s="2" t="str">
        <f ca="1">IFERROR(__xludf.DUMMYFUNCTION("""COMPUTED_VALUE"""),"Tx 17")</f>
        <v>Tx 17</v>
      </c>
      <c r="D9" s="10">
        <f ca="1">IFERROR(__xludf.DUMMYFUNCTION("""COMPUTED_VALUE"""),43119)</f>
        <v>43119</v>
      </c>
      <c r="E9" s="4">
        <f ca="1">IFERROR(__xludf.DUMMYFUNCTION("""COMPUTED_VALUE"""),0.416666666667879)</f>
        <v>0.41666666666787899</v>
      </c>
      <c r="F9" s="2" t="str">
        <f ca="1">IFERROR(__xludf.DUMMYFUNCTION("""COMPUTED_VALUE"""),"Little Waihi")</f>
        <v>Little Waihi</v>
      </c>
      <c r="G9" s="2" t="str">
        <f ca="1">IFERROR(__xludf.DUMMYFUNCTION("""COMPUTED_VALUE"""),"GPS: I converted data downloaded from ARGOS using Pinpoint software")</f>
        <v>GPS: I converted data downloaded from ARGOS using Pinpoint software</v>
      </c>
      <c r="H9" s="2" t="str">
        <f ca="1">IFERROR(__xludf.DUMMYFUNCTION("""COMPUTED_VALUE"""),"")</f>
        <v/>
      </c>
      <c r="I9" s="2" t="str">
        <f ca="1">IFERROR(__xludf.DUMMYFUNCTION("""COMPUTED_VALUE"""),"")</f>
        <v/>
      </c>
      <c r="J9" s="2" t="str">
        <f ca="1">IFERROR(__xludf.DUMMYFUNCTION("""COMPUTED_VALUE"""),"")</f>
        <v/>
      </c>
      <c r="K9" s="2" t="str">
        <f ca="1">IFERROR(__xludf.DUMMYFUNCTION("""COMPUTED_VALUE"""),"")</f>
        <v/>
      </c>
      <c r="L9" s="2" t="str">
        <f ca="1">IFERROR(__xludf.DUMMYFUNCTION("""COMPUTED_VALUE"""),"")</f>
        <v/>
      </c>
      <c r="M9" s="5" t="str">
        <f ca="1">IFERROR(__xludf.DUMMYFUNCTION("""COMPUTED_VALUE"""),"")</f>
        <v/>
      </c>
      <c r="N9" s="5" t="str">
        <f ca="1">IFERROR(__xludf.DUMMYFUNCTION("""COMPUTED_VALUE"""),"")</f>
        <v/>
      </c>
      <c r="O9" s="2" t="str">
        <f ca="1">IFERROR(__xludf.DUMMYFUNCTION("""COMPUTED_VALUE"""),"")</f>
        <v/>
      </c>
      <c r="P9" s="2" t="str">
        <f ca="1">IFERROR(__xludf.DUMMYFUNCTION("""COMPUTED_VALUE"""),"")</f>
        <v/>
      </c>
      <c r="Q9" s="2" t="str">
        <f ca="1">IFERROR(__xludf.DUMMYFUNCTION("""COMPUTED_VALUE"""),"")</f>
        <v/>
      </c>
      <c r="R9" s="2" t="str">
        <f ca="1">IFERROR(__xludf.DUMMYFUNCTION("""COMPUTED_VALUE"""),"")</f>
        <v/>
      </c>
      <c r="S9" s="2" t="str">
        <f ca="1">IFERROR(__xludf.DUMMYFUNCTION("""COMPUTED_VALUE"""),"")</f>
        <v/>
      </c>
      <c r="T9" s="2" t="str">
        <f ca="1">IFERROR(__xludf.DUMMYFUNCTION("""COMPUTED_VALUE"""),"")</f>
        <v/>
      </c>
      <c r="U9" s="2" t="str">
        <f ca="1">IFERROR(__xludf.DUMMYFUNCTION("""COMPUTED_VALUE"""),"")</f>
        <v/>
      </c>
      <c r="V9" s="2" t="str">
        <f ca="1">IFERROR(__xludf.DUMMYFUNCTION("""COMPUTED_VALUE"""),"")</f>
        <v/>
      </c>
      <c r="W9" s="2" t="str">
        <f ca="1">IFERROR(__xludf.DUMMYFUNCTION("""COMPUTED_VALUE"""),"")</f>
        <v/>
      </c>
      <c r="X9" s="2" t="str">
        <f ca="1">IFERROR(__xludf.DUMMYFUNCTION("""COMPUTED_VALUE"""),"")</f>
        <v/>
      </c>
      <c r="Y9" s="2" t="str">
        <f ca="1">IFERROR(__xludf.DUMMYFUNCTION("""COMPUTED_VALUE"""),"")</f>
        <v/>
      </c>
      <c r="Z9" s="2" t="str">
        <f ca="1">IFERROR(__xludf.DUMMYFUNCTION("""COMPUTED_VALUE"""),"")</f>
        <v/>
      </c>
      <c r="AA9" s="2" t="str">
        <f ca="1">IFERROR(__xludf.DUMMYFUNCTION("""COMPUTED_VALUE"""),"")</f>
        <v/>
      </c>
      <c r="AB9" s="2" t="str">
        <f ca="1">IFERROR(__xludf.DUMMYFUNCTION("""COMPUTED_VALUE"""),"")</f>
        <v/>
      </c>
      <c r="AC9" s="2" t="str">
        <f ca="1">IFERROR(__xludf.DUMMYFUNCTION("""COMPUTED_VALUE"""),"")</f>
        <v/>
      </c>
      <c r="AD9" s="2" t="str">
        <f ca="1">IFERROR(__xludf.DUMMYFUNCTION("""COMPUTED_VALUE"""),"")</f>
        <v/>
      </c>
      <c r="AE9" s="2" t="str">
        <f ca="1">IFERROR(__xludf.DUMMYFUNCTION("""COMPUTED_VALUE"""),"")</f>
        <v/>
      </c>
      <c r="AF9" s="2" t="str">
        <f ca="1">IFERROR(__xludf.DUMMYFUNCTION("""COMPUTED_VALUE"""),"")</f>
        <v/>
      </c>
      <c r="AG9" s="2" t="str">
        <f ca="1">IFERROR(__xludf.DUMMYFUNCTION("""COMPUTED_VALUE"""),"")</f>
        <v/>
      </c>
      <c r="AH9" s="2" t="str">
        <f ca="1">IFERROR(__xludf.DUMMYFUNCTION("""COMPUTED_VALUE"""),"")</f>
        <v/>
      </c>
      <c r="AI9" s="2" t="str">
        <f ca="1">IFERROR(__xludf.DUMMYFUNCTION("""COMPUTED_VALUE"""),"")</f>
        <v/>
      </c>
      <c r="AJ9" s="2" t="str">
        <f ca="1">IFERROR(__xludf.DUMMYFUNCTION("""COMPUTED_VALUE"""),"")</f>
        <v/>
      </c>
      <c r="AK9" s="2" t="str">
        <f ca="1">IFERROR(__xludf.DUMMYFUNCTION("""COMPUTED_VALUE"""),"")</f>
        <v/>
      </c>
      <c r="AL9" s="2" t="str">
        <f ca="1">IFERROR(__xludf.DUMMYFUNCTION("""COMPUTED_VALUE"""),"")</f>
        <v/>
      </c>
      <c r="AM9" s="2" t="str">
        <f ca="1">IFERROR(__xludf.DUMMYFUNCTION("""COMPUTED_VALUE"""),"")</f>
        <v/>
      </c>
      <c r="AN9" s="2" t="str">
        <f ca="1">IFERROR(__xludf.DUMMYFUNCTION("""COMPUTED_VALUE"""),"")</f>
        <v/>
      </c>
      <c r="AO9" s="2" t="str">
        <f ca="1">IFERROR(__xludf.DUMMYFUNCTION("""COMPUTED_VALUE"""),"")</f>
        <v/>
      </c>
      <c r="AP9" s="2" t="str">
        <f ca="1">IFERROR(__xludf.DUMMYFUNCTION("""COMPUTED_VALUE"""),"")</f>
        <v/>
      </c>
      <c r="AQ9" s="2" t="str">
        <f ca="1">IFERROR(__xludf.DUMMYFUNCTION("""COMPUTED_VALUE"""),"")</f>
        <v/>
      </c>
      <c r="AR9" s="2" t="str">
        <f ca="1">IFERROR(__xludf.DUMMYFUNCTION("""COMPUTED_VALUE"""),"")</f>
        <v/>
      </c>
      <c r="AS9" s="2" t="str">
        <f ca="1">IFERROR(__xludf.DUMMYFUNCTION("""COMPUTED_VALUE"""),"")</f>
        <v/>
      </c>
      <c r="AT9" s="2" t="str">
        <f ca="1">IFERROR(__xludf.DUMMYFUNCTION("""COMPUTED_VALUE"""),"")</f>
        <v/>
      </c>
      <c r="AU9" s="2" t="str">
        <f ca="1">IFERROR(__xludf.DUMMYFUNCTION("""COMPUTED_VALUE"""),"")</f>
        <v/>
      </c>
      <c r="AV9" s="2" t="str">
        <f ca="1">IFERROR(__xludf.DUMMYFUNCTION("""COMPUTED_VALUE"""),"")</f>
        <v/>
      </c>
      <c r="AW9" s="2" t="str">
        <f ca="1">IFERROR(__xludf.DUMMYFUNCTION("""COMPUTED_VALUE"""),"")</f>
        <v/>
      </c>
      <c r="AX9" s="2" t="str">
        <f ca="1">IFERROR(__xludf.DUMMYFUNCTION("""COMPUTED_VALUE"""),"")</f>
        <v/>
      </c>
      <c r="AY9" s="2" t="str">
        <f ca="1">IFERROR(__xludf.DUMMYFUNCTION("""COMPUTED_VALUE"""),"")</f>
        <v/>
      </c>
      <c r="AZ9" s="2" t="str">
        <f ca="1">IFERROR(__xludf.DUMMYFUNCTION("""COMPUTED_VALUE"""),"3D")</f>
        <v>3D</v>
      </c>
      <c r="BA9" s="2">
        <f ca="1">IFERROR(__xludf.DUMMYFUNCTION("""COMPUTED_VALUE"""),1906833.707)</f>
        <v>1906833.7069999999</v>
      </c>
      <c r="BB9" s="2">
        <f ca="1">IFERROR(__xludf.DUMMYFUNCTION("""COMPUTED_VALUE"""),5813164.29)</f>
        <v>5813164.29</v>
      </c>
      <c r="BC9" s="2" t="str">
        <f ca="1">IFERROR(__xludf.DUMMYFUNCTION("""COMPUTED_VALUE"""),"no")</f>
        <v>no</v>
      </c>
      <c r="BD9" s="2" t="str">
        <f ca="1">IFERROR(__xludf.DUMMYFUNCTION("""COMPUTED_VALUE"""),"")</f>
        <v/>
      </c>
      <c r="BE9" s="2" t="str">
        <f ca="1">IFERROR(__xludf.DUMMYFUNCTION("""COMPUTED_VALUE"""),"")</f>
        <v/>
      </c>
      <c r="BF9" t="str">
        <f ca="1">IFERROR(__xludf.DUMMYFUNCTION("""COMPUTED_VALUE"""),"")</f>
        <v/>
      </c>
      <c r="BG9" t="str">
        <f ca="1">IFERROR(__xludf.DUMMYFUNCTION("""COMPUTED_VALUE"""),"")</f>
        <v/>
      </c>
      <c r="BH9" t="str">
        <f ca="1">IFERROR(__xludf.DUMMYFUNCTION("""COMPUTED_VALUE"""),"")</f>
        <v/>
      </c>
      <c r="BI9" t="str">
        <f ca="1">IFERROR(__xludf.DUMMYFUNCTION("""COMPUTED_VALUE"""),"")</f>
        <v/>
      </c>
      <c r="BJ9" s="3" t="str">
        <f ca="1">IFERROR(__xludf.DUMMYFUNCTION("""COMPUTED_VALUE"""),"")</f>
        <v/>
      </c>
    </row>
    <row r="10" spans="1:62" ht="15.75" customHeight="1" x14ac:dyDescent="0.25">
      <c r="A10" s="6">
        <f ca="1">IFERROR(__xludf.DUMMYFUNCTION("""COMPUTED_VALUE"""),43144.5747627777)</f>
        <v>43144.574762777702</v>
      </c>
      <c r="B10" s="2" t="str">
        <f ca="1">IFERROR(__xludf.DUMMYFUNCTION("""COMPUTED_VALUE"""),"Bay of Plenty")</f>
        <v>Bay of Plenty</v>
      </c>
      <c r="C10" s="2" t="str">
        <f ca="1">IFERROR(__xludf.DUMMYFUNCTION("""COMPUTED_VALUE"""),"Tx 38 - Pearl")</f>
        <v>Tx 38 - Pearl</v>
      </c>
      <c r="D10" s="10">
        <f ca="1">IFERROR(__xludf.DUMMYFUNCTION("""COMPUTED_VALUE"""),43144)</f>
        <v>43144</v>
      </c>
      <c r="E10" s="4">
        <f ca="1">IFERROR(__xludf.DUMMYFUNCTION("""COMPUTED_VALUE"""),0.468055555556929)</f>
        <v>0.46805555555692901</v>
      </c>
      <c r="F10" s="2" t="str">
        <f ca="1">IFERROR(__xludf.DUMMYFUNCTION("""COMPUTED_VALUE"""),"Cutwater road")</f>
        <v>Cutwater road</v>
      </c>
      <c r="G10" s="2" t="str">
        <f ca="1">IFERROR(__xludf.DUMMYFUNCTION("""COMPUTED_VALUE"""),"None: I listened for the bird but was unable to find it")</f>
        <v>None: I listened for the bird but was unable to find it</v>
      </c>
      <c r="H10" s="2" t="str">
        <f ca="1">IFERROR(__xludf.DUMMYFUNCTION("""COMPUTED_VALUE"""),"")</f>
        <v/>
      </c>
      <c r="I10" s="2" t="str">
        <f ca="1">IFERROR(__xludf.DUMMYFUNCTION("""COMPUTED_VALUE"""),"")</f>
        <v/>
      </c>
      <c r="J10" s="2" t="str">
        <f ca="1">IFERROR(__xludf.DUMMYFUNCTION("""COMPUTED_VALUE"""),"")</f>
        <v/>
      </c>
      <c r="K10" s="2" t="str">
        <f ca="1">IFERROR(__xludf.DUMMYFUNCTION("""COMPUTED_VALUE"""),"")</f>
        <v/>
      </c>
      <c r="L10" s="2" t="str">
        <f ca="1">IFERROR(__xludf.DUMMYFUNCTION("""COMPUTED_VALUE"""),"")</f>
        <v/>
      </c>
      <c r="M10" s="5" t="str">
        <f ca="1">IFERROR(__xludf.DUMMYFUNCTION("""COMPUTED_VALUE"""),"")</f>
        <v/>
      </c>
      <c r="N10" s="5" t="str">
        <f ca="1">IFERROR(__xludf.DUMMYFUNCTION("""COMPUTED_VALUE"""),"")</f>
        <v/>
      </c>
      <c r="O10" s="2" t="str">
        <f ca="1">IFERROR(__xludf.DUMMYFUNCTION("""COMPUTED_VALUE"""),"")</f>
        <v/>
      </c>
      <c r="P10" s="2" t="str">
        <f ca="1">IFERROR(__xludf.DUMMYFUNCTION("""COMPUTED_VALUE"""),"")</f>
        <v/>
      </c>
      <c r="Q10" s="2" t="str">
        <f ca="1">IFERROR(__xludf.DUMMYFUNCTION("""COMPUTED_VALUE"""),"")</f>
        <v/>
      </c>
      <c r="R10" s="2" t="str">
        <f ca="1">IFERROR(__xludf.DUMMYFUNCTION("""COMPUTED_VALUE"""),"")</f>
        <v/>
      </c>
      <c r="S10" s="2" t="str">
        <f ca="1">IFERROR(__xludf.DUMMYFUNCTION("""COMPUTED_VALUE"""),"")</f>
        <v/>
      </c>
      <c r="T10" s="2" t="str">
        <f ca="1">IFERROR(__xludf.DUMMYFUNCTION("""COMPUTED_VALUE"""),"")</f>
        <v/>
      </c>
      <c r="U10" s="2" t="str">
        <f ca="1">IFERROR(__xludf.DUMMYFUNCTION("""COMPUTED_VALUE"""),"")</f>
        <v/>
      </c>
      <c r="V10" s="2" t="str">
        <f ca="1">IFERROR(__xludf.DUMMYFUNCTION("""COMPUTED_VALUE"""),"")</f>
        <v/>
      </c>
      <c r="W10" s="2" t="str">
        <f ca="1">IFERROR(__xludf.DUMMYFUNCTION("""COMPUTED_VALUE"""),"")</f>
        <v/>
      </c>
      <c r="X10" s="2" t="str">
        <f ca="1">IFERROR(__xludf.DUMMYFUNCTION("""COMPUTED_VALUE"""),"")</f>
        <v/>
      </c>
      <c r="Y10" s="2" t="str">
        <f ca="1">IFERROR(__xludf.DUMMYFUNCTION("""COMPUTED_VALUE"""),"")</f>
        <v/>
      </c>
      <c r="Z10" s="2" t="str">
        <f ca="1">IFERROR(__xludf.DUMMYFUNCTION("""COMPUTED_VALUE"""),"")</f>
        <v/>
      </c>
      <c r="AA10" s="2" t="str">
        <f ca="1">IFERROR(__xludf.DUMMYFUNCTION("""COMPUTED_VALUE"""),"")</f>
        <v/>
      </c>
      <c r="AB10" s="2" t="str">
        <f ca="1">IFERROR(__xludf.DUMMYFUNCTION("""COMPUTED_VALUE"""),"")</f>
        <v/>
      </c>
      <c r="AC10" s="2" t="str">
        <f ca="1">IFERROR(__xludf.DUMMYFUNCTION("""COMPUTED_VALUE"""),"")</f>
        <v/>
      </c>
      <c r="AD10" s="2" t="str">
        <f ca="1">IFERROR(__xludf.DUMMYFUNCTION("""COMPUTED_VALUE"""),"")</f>
        <v/>
      </c>
      <c r="AE10" s="2" t="str">
        <f ca="1">IFERROR(__xludf.DUMMYFUNCTION("""COMPUTED_VALUE"""),"")</f>
        <v/>
      </c>
      <c r="AF10" s="2" t="str">
        <f ca="1">IFERROR(__xludf.DUMMYFUNCTION("""COMPUTED_VALUE"""),"")</f>
        <v/>
      </c>
      <c r="AG10" s="2" t="str">
        <f ca="1">IFERROR(__xludf.DUMMYFUNCTION("""COMPUTED_VALUE"""),"")</f>
        <v/>
      </c>
      <c r="AH10" s="2" t="str">
        <f ca="1">IFERROR(__xludf.DUMMYFUNCTION("""COMPUTED_VALUE"""),"")</f>
        <v/>
      </c>
      <c r="AI10" s="2" t="str">
        <f ca="1">IFERROR(__xludf.DUMMYFUNCTION("""COMPUTED_VALUE"""),"")</f>
        <v/>
      </c>
      <c r="AJ10" s="2" t="str">
        <f ca="1">IFERROR(__xludf.DUMMYFUNCTION("""COMPUTED_VALUE"""),"")</f>
        <v/>
      </c>
      <c r="AK10" s="2" t="str">
        <f ca="1">IFERROR(__xludf.DUMMYFUNCTION("""COMPUTED_VALUE"""),"")</f>
        <v/>
      </c>
      <c r="AL10" s="2" t="str">
        <f ca="1">IFERROR(__xludf.DUMMYFUNCTION("""COMPUTED_VALUE"""),"")</f>
        <v/>
      </c>
      <c r="AM10" s="2" t="str">
        <f ca="1">IFERROR(__xludf.DUMMYFUNCTION("""COMPUTED_VALUE"""),"")</f>
        <v/>
      </c>
      <c r="AN10" s="2" t="str">
        <f ca="1">IFERROR(__xludf.DUMMYFUNCTION("""COMPUTED_VALUE"""),"")</f>
        <v/>
      </c>
      <c r="AO10" s="2" t="str">
        <f ca="1">IFERROR(__xludf.DUMMYFUNCTION("""COMPUTED_VALUE"""),"")</f>
        <v/>
      </c>
      <c r="AP10" s="2" t="str">
        <f ca="1">IFERROR(__xludf.DUMMYFUNCTION("""COMPUTED_VALUE"""),"")</f>
        <v/>
      </c>
      <c r="AQ10" s="2" t="str">
        <f ca="1">IFERROR(__xludf.DUMMYFUNCTION("""COMPUTED_VALUE"""),"")</f>
        <v/>
      </c>
      <c r="AR10" s="2" t="str">
        <f ca="1">IFERROR(__xludf.DUMMYFUNCTION("""COMPUTED_VALUE"""),"")</f>
        <v/>
      </c>
      <c r="AS10" s="2" t="str">
        <f ca="1">IFERROR(__xludf.DUMMYFUNCTION("""COMPUTED_VALUE"""),"")</f>
        <v/>
      </c>
      <c r="AT10" s="2" t="str">
        <f ca="1">IFERROR(__xludf.DUMMYFUNCTION("""COMPUTED_VALUE"""),"")</f>
        <v/>
      </c>
      <c r="AU10" s="2" t="str">
        <f ca="1">IFERROR(__xludf.DUMMYFUNCTION("""COMPUTED_VALUE"""),"")</f>
        <v/>
      </c>
      <c r="AV10" s="2" t="str">
        <f ca="1">IFERROR(__xludf.DUMMYFUNCTION("""COMPUTED_VALUE"""),"")</f>
        <v/>
      </c>
      <c r="AW10" s="2" t="str">
        <f ca="1">IFERROR(__xludf.DUMMYFUNCTION("""COMPUTED_VALUE"""),"")</f>
        <v/>
      </c>
      <c r="AX10" s="2" t="str">
        <f ca="1">IFERROR(__xludf.DUMMYFUNCTION("""COMPUTED_VALUE"""),"")</f>
        <v/>
      </c>
      <c r="AY10" s="2" t="str">
        <f ca="1">IFERROR(__xludf.DUMMYFUNCTION("""COMPUTED_VALUE"""),"")</f>
        <v/>
      </c>
      <c r="AZ10" s="2" t="str">
        <f ca="1">IFERROR(__xludf.DUMMYFUNCTION("""COMPUTED_VALUE"""),"")</f>
        <v/>
      </c>
      <c r="BA10" s="2" t="str">
        <f ca="1">IFERROR(__xludf.DUMMYFUNCTION("""COMPUTED_VALUE"""),"")</f>
        <v/>
      </c>
      <c r="BB10" s="2" t="str">
        <f ca="1">IFERROR(__xludf.DUMMYFUNCTION("""COMPUTED_VALUE"""),"")</f>
        <v/>
      </c>
      <c r="BC10" s="2" t="str">
        <f ca="1">IFERROR(__xludf.DUMMYFUNCTION("""COMPUTED_VALUE"""),"")</f>
        <v/>
      </c>
      <c r="BD10" s="2" t="str">
        <f ca="1">IFERROR(__xludf.DUMMYFUNCTION("""COMPUTED_VALUE"""),"E1907721 N5812018")</f>
        <v>E1907721 N5812018</v>
      </c>
      <c r="BE10" s="2" t="str">
        <f ca="1">IFERROR(__xludf.DUMMYFUNCTION("""COMPUTED_VALUE"""),"know it'sclose, but no signal")</f>
        <v>know it'sclose, but no signal</v>
      </c>
      <c r="BF10" t="str">
        <f ca="1">IFERROR(__xludf.DUMMYFUNCTION("""COMPUTED_VALUE"""),"")</f>
        <v/>
      </c>
      <c r="BG10" t="str">
        <f ca="1">IFERROR(__xludf.DUMMYFUNCTION("""COMPUTED_VALUE"""),"")</f>
        <v/>
      </c>
      <c r="BH10" t="str">
        <f ca="1">IFERROR(__xludf.DUMMYFUNCTION("""COMPUTED_VALUE"""),"")</f>
        <v/>
      </c>
      <c r="BI10" t="str">
        <f ca="1">IFERROR(__xludf.DUMMYFUNCTION("""COMPUTED_VALUE"""),"")</f>
        <v/>
      </c>
      <c r="BJ10" s="3" t="str">
        <f ca="1">IFERROR(__xludf.DUMMYFUNCTION("""COMPUTED_VALUE"""),"")</f>
        <v/>
      </c>
    </row>
    <row r="11" spans="1:62" ht="15.75" customHeight="1" x14ac:dyDescent="0.25">
      <c r="A11" s="6">
        <f ca="1">IFERROR(__xludf.DUMMYFUNCTION("""COMPUTED_VALUE"""),43144.5849378935)</f>
        <v>43144.584937893502</v>
      </c>
      <c r="B11" s="2" t="str">
        <f ca="1">IFERROR(__xludf.DUMMYFUNCTION("""COMPUTED_VALUE"""),"Bay of Plenty")</f>
        <v>Bay of Plenty</v>
      </c>
      <c r="C11" s="2" t="str">
        <f ca="1">IFERROR(__xludf.DUMMYFUNCTION("""COMPUTED_VALUE"""),"Tx 38 - Pearl")</f>
        <v>Tx 38 - Pearl</v>
      </c>
      <c r="D11" s="10">
        <f ca="1">IFERROR(__xludf.DUMMYFUNCTION("""COMPUTED_VALUE"""),43144)</f>
        <v>43144</v>
      </c>
      <c r="E11" s="4">
        <f ca="1">IFERROR(__xludf.DUMMYFUNCTION("""COMPUTED_VALUE"""),0.476388888888323)</f>
        <v>0.47638888888832298</v>
      </c>
      <c r="F11" s="2" t="str">
        <f ca="1">IFERROR(__xludf.DUMMYFUNCTION("""COMPUTED_VALUE"""),"Cutwater bend High point -Pukehina canal bank")</f>
        <v>Cutwater bend High point -Pukehina canal bank</v>
      </c>
      <c r="G11" s="2" t="str">
        <f ca="1">IFERROR(__xludf.DUMMYFUNCTION("""COMPUTED_VALUE"""),"VHF (triangulation): I triangulated the bird with at least three bearings")</f>
        <v>VHF (triangulation): I triangulated the bird with at least three bearings</v>
      </c>
      <c r="H11" s="2" t="str">
        <f ca="1">IFERROR(__xludf.DUMMYFUNCTION("""COMPUTED_VALUE"""),"")</f>
        <v/>
      </c>
      <c r="I11" s="2" t="str">
        <f ca="1">IFERROR(__xludf.DUMMYFUNCTION("""COMPUTED_VALUE"""),"")</f>
        <v/>
      </c>
      <c r="J11" s="2" t="str">
        <f ca="1">IFERROR(__xludf.DUMMYFUNCTION("""COMPUTED_VALUE"""),"")</f>
        <v/>
      </c>
      <c r="K11" s="2" t="str">
        <f ca="1">IFERROR(__xludf.DUMMYFUNCTION("""COMPUTED_VALUE"""),"")</f>
        <v/>
      </c>
      <c r="L11" s="2" t="str">
        <f ca="1">IFERROR(__xludf.DUMMYFUNCTION("""COMPUTED_VALUE"""),"")</f>
        <v/>
      </c>
      <c r="M11" s="5" t="str">
        <f ca="1">IFERROR(__xludf.DUMMYFUNCTION("""COMPUTED_VALUE"""),"")</f>
        <v/>
      </c>
      <c r="N11" s="5" t="str">
        <f ca="1">IFERROR(__xludf.DUMMYFUNCTION("""COMPUTED_VALUE"""),"")</f>
        <v/>
      </c>
      <c r="O11" s="2" t="str">
        <f ca="1">IFERROR(__xludf.DUMMYFUNCTION("""COMPUTED_VALUE"""),"")</f>
        <v/>
      </c>
      <c r="P11" s="2" t="str">
        <f ca="1">IFERROR(__xludf.DUMMYFUNCTION("""COMPUTED_VALUE"""),"")</f>
        <v/>
      </c>
      <c r="Q11" s="2" t="str">
        <f ca="1">IFERROR(__xludf.DUMMYFUNCTION("""COMPUTED_VALUE"""),"")</f>
        <v/>
      </c>
      <c r="R11" s="2" t="str">
        <f ca="1">IFERROR(__xludf.DUMMYFUNCTION("""COMPUTED_VALUE"""),"")</f>
        <v/>
      </c>
      <c r="S11" s="2" t="str">
        <f ca="1">IFERROR(__xludf.DUMMYFUNCTION("""COMPUTED_VALUE"""),"")</f>
        <v/>
      </c>
      <c r="T11" s="2" t="str">
        <f ca="1">IFERROR(__xludf.DUMMYFUNCTION("""COMPUTED_VALUE"""),"")</f>
        <v/>
      </c>
      <c r="U11" s="2" t="str">
        <f ca="1">IFERROR(__xludf.DUMMYFUNCTION("""COMPUTED_VALUE"""),"")</f>
        <v/>
      </c>
      <c r="V11" s="2" t="str">
        <f ca="1">IFERROR(__xludf.DUMMYFUNCTION("""COMPUTED_VALUE"""),"")</f>
        <v/>
      </c>
      <c r="W11" s="2" t="str">
        <f ca="1">IFERROR(__xludf.DUMMYFUNCTION("""COMPUTED_VALUE"""),"")</f>
        <v/>
      </c>
      <c r="X11" s="2" t="str">
        <f ca="1">IFERROR(__xludf.DUMMYFUNCTION("""COMPUTED_VALUE"""),"")</f>
        <v/>
      </c>
      <c r="Y11" s="2" t="str">
        <f ca="1">IFERROR(__xludf.DUMMYFUNCTION("""COMPUTED_VALUE"""),"")</f>
        <v/>
      </c>
      <c r="Z11" s="2" t="str">
        <f ca="1">IFERROR(__xludf.DUMMYFUNCTION("""COMPUTED_VALUE"""),"")</f>
        <v/>
      </c>
      <c r="AA11" s="2">
        <f ca="1">IFERROR(__xludf.DUMMYFUNCTION("""COMPUTED_VALUE"""),1907551)</f>
        <v>1907551</v>
      </c>
      <c r="AB11" s="2">
        <f ca="1">IFERROR(__xludf.DUMMYFUNCTION("""COMPUTED_VALUE"""),5812868)</f>
        <v>5812868</v>
      </c>
      <c r="AC11" s="2">
        <f ca="1">IFERROR(__xludf.DUMMYFUNCTION("""COMPUTED_VALUE"""),185)</f>
        <v>185</v>
      </c>
      <c r="AD11" s="2" t="str">
        <f ca="1">IFERROR(__xludf.DUMMYFUNCTION("""COMPUTED_VALUE"""),"Strong - I got a lovely, clear, strong signal.")</f>
        <v>Strong - I got a lovely, clear, strong signal.</v>
      </c>
      <c r="AE11" s="2">
        <f ca="1">IFERROR(__xludf.DUMMYFUNCTION("""COMPUTED_VALUE"""),1906992)</f>
        <v>1906992</v>
      </c>
      <c r="AF11" s="2">
        <f ca="1">IFERROR(__xludf.DUMMYFUNCTION("""COMPUTED_VALUE"""),5812967)</f>
        <v>5812967</v>
      </c>
      <c r="AG11" s="2">
        <f ca="1">IFERROR(__xludf.DUMMYFUNCTION("""COMPUTED_VALUE"""),140)</f>
        <v>140</v>
      </c>
      <c r="AH11" s="2" t="str">
        <f ca="1">IFERROR(__xludf.DUMMYFUNCTION("""COMPUTED_VALUE"""),"Strong - I got a lovely, clear, strong signal.")</f>
        <v>Strong - I got a lovely, clear, strong signal.</v>
      </c>
      <c r="AI11" s="2">
        <f ca="1">IFERROR(__xludf.DUMMYFUNCTION("""COMPUTED_VALUE"""),1907678)</f>
        <v>1907678</v>
      </c>
      <c r="AJ11" s="2">
        <f ca="1">IFERROR(__xludf.DUMMYFUNCTION("""COMPUTED_VALUE"""),5812237)</f>
        <v>5812237</v>
      </c>
      <c r="AK11" s="2">
        <f ca="1">IFERROR(__xludf.DUMMYFUNCTION("""COMPUTED_VALUE"""),265)</f>
        <v>265</v>
      </c>
      <c r="AL11" s="2" t="str">
        <f ca="1">IFERROR(__xludf.DUMMYFUNCTION("""COMPUTED_VALUE"""),"Strong - I got a lovely, clear, strong signal.")</f>
        <v>Strong - I got a lovely, clear, strong signal.</v>
      </c>
      <c r="AM11" s="2" t="str">
        <f ca="1">IFERROR(__xludf.DUMMYFUNCTION("""COMPUTED_VALUE"""),"")</f>
        <v/>
      </c>
      <c r="AN11" s="2" t="str">
        <f ca="1">IFERROR(__xludf.DUMMYFUNCTION("""COMPUTED_VALUE"""),"")</f>
        <v/>
      </c>
      <c r="AO11" s="2" t="str">
        <f ca="1">IFERROR(__xludf.DUMMYFUNCTION("""COMPUTED_VALUE"""),"")</f>
        <v/>
      </c>
      <c r="AP11" s="2" t="str">
        <f ca="1">IFERROR(__xludf.DUMMYFUNCTION("""COMPUTED_VALUE"""),"")</f>
        <v/>
      </c>
      <c r="AQ11" s="2" t="str">
        <f ca="1">IFERROR(__xludf.DUMMYFUNCTION("""COMPUTED_VALUE"""),"")</f>
        <v/>
      </c>
      <c r="AR11" s="2" t="str">
        <f ca="1">IFERROR(__xludf.DUMMYFUNCTION("""COMPUTED_VALUE"""),"")</f>
        <v/>
      </c>
      <c r="AS11" s="2" t="str">
        <f ca="1">IFERROR(__xludf.DUMMYFUNCTION("""COMPUTED_VALUE"""),"")</f>
        <v/>
      </c>
      <c r="AT11" s="2" t="str">
        <f ca="1">IFERROR(__xludf.DUMMYFUNCTION("""COMPUTED_VALUE"""),"")</f>
        <v/>
      </c>
      <c r="AU11" s="2" t="str">
        <f ca="1">IFERROR(__xludf.DUMMYFUNCTION("""COMPUTED_VALUE"""),"ALL SIGNALSWEAK AS WE THINK THE TX IS FAILING")</f>
        <v>ALL SIGNALSWEAK AS WE THINK THE TX IS FAILING</v>
      </c>
      <c r="AV11" s="2" t="str">
        <f ca="1">IFERROR(__xludf.DUMMYFUNCTION("""COMPUTED_VALUE"""),"")</f>
        <v/>
      </c>
      <c r="AW11" s="2" t="str">
        <f ca="1">IFERROR(__xludf.DUMMYFUNCTION("""COMPUTED_VALUE"""),"")</f>
        <v/>
      </c>
      <c r="AX11" s="2" t="str">
        <f ca="1">IFERROR(__xludf.DUMMYFUNCTION("""COMPUTED_VALUE"""),"")</f>
        <v/>
      </c>
      <c r="AY11" s="2" t="str">
        <f ca="1">IFERROR(__xludf.DUMMYFUNCTION("""COMPUTED_VALUE"""),"")</f>
        <v/>
      </c>
      <c r="AZ11" s="2" t="str">
        <f ca="1">IFERROR(__xludf.DUMMYFUNCTION("""COMPUTED_VALUE"""),"")</f>
        <v/>
      </c>
      <c r="BA11" s="2" t="str">
        <f ca="1">IFERROR(__xludf.DUMMYFUNCTION("""COMPUTED_VALUE"""),"")</f>
        <v/>
      </c>
      <c r="BB11" s="2" t="str">
        <f ca="1">IFERROR(__xludf.DUMMYFUNCTION("""COMPUTED_VALUE"""),"")</f>
        <v/>
      </c>
      <c r="BC11" s="2" t="str">
        <f ca="1">IFERROR(__xludf.DUMMYFUNCTION("""COMPUTED_VALUE"""),"")</f>
        <v/>
      </c>
      <c r="BD11" s="2" t="str">
        <f ca="1">IFERROR(__xludf.DUMMYFUNCTION("""COMPUTED_VALUE"""),"")</f>
        <v/>
      </c>
      <c r="BE11" s="2" t="str">
        <f ca="1">IFERROR(__xludf.DUMMYFUNCTION("""COMPUTED_VALUE"""),"")</f>
        <v/>
      </c>
      <c r="BF11" t="str">
        <f ca="1">IFERROR(__xludf.DUMMYFUNCTION("""COMPUTED_VALUE"""),"")</f>
        <v/>
      </c>
      <c r="BG11" t="str">
        <f ca="1">IFERROR(__xludf.DUMMYFUNCTION("""COMPUTED_VALUE"""),"")</f>
        <v/>
      </c>
      <c r="BH11" t="str">
        <f ca="1">IFERROR(__xludf.DUMMYFUNCTION("""COMPUTED_VALUE"""),"")</f>
        <v/>
      </c>
      <c r="BI11" t="str">
        <f ca="1">IFERROR(__xludf.DUMMYFUNCTION("""COMPUTED_VALUE"""),"")</f>
        <v/>
      </c>
      <c r="BJ11" s="3" t="str">
        <f ca="1">IFERROR(__xludf.DUMMYFUNCTION("""COMPUTED_VALUE"""),"")</f>
        <v/>
      </c>
    </row>
    <row r="12" spans="1:62" ht="15.75" customHeight="1" x14ac:dyDescent="0.25">
      <c r="A12" s="6">
        <f ca="1">IFERROR(__xludf.DUMMYFUNCTION("""COMPUTED_VALUE"""),43144.5914970023)</f>
        <v>43144.5914970023</v>
      </c>
      <c r="B12" s="2" t="str">
        <f ca="1">IFERROR(__xludf.DUMMYFUNCTION("""COMPUTED_VALUE"""),"Bay of Plenty")</f>
        <v>Bay of Plenty</v>
      </c>
      <c r="C12" s="2" t="str">
        <f ca="1">IFERROR(__xludf.DUMMYFUNCTION("""COMPUTED_VALUE"""),"Tx 17")</f>
        <v>Tx 17</v>
      </c>
      <c r="D12" s="10">
        <f ca="1">IFERROR(__xludf.DUMMYFUNCTION("""COMPUTED_VALUE"""),43144)</f>
        <v>43144</v>
      </c>
      <c r="E12" s="4">
        <f ca="1">IFERROR(__xludf.DUMMYFUNCTION("""COMPUTED_VALUE"""),0.476388888888323)</f>
        <v>0.47638888888832298</v>
      </c>
      <c r="F12" s="2" t="str">
        <f ca="1">IFERROR(__xludf.DUMMYFUNCTION("""COMPUTED_VALUE"""),"Cutwater road ")</f>
        <v xml:space="preserve">Cutwater road </v>
      </c>
      <c r="G12" s="2" t="str">
        <f ca="1">IFERROR(__xludf.DUMMYFUNCTION("""COMPUTED_VALUE"""),"VHF (triangulation): I triangulated the bird with at least three bearings")</f>
        <v>VHF (triangulation): I triangulated the bird with at least three bearings</v>
      </c>
      <c r="H12" s="2" t="str">
        <f ca="1">IFERROR(__xludf.DUMMYFUNCTION("""COMPUTED_VALUE"""),"")</f>
        <v/>
      </c>
      <c r="I12" s="2" t="str">
        <f ca="1">IFERROR(__xludf.DUMMYFUNCTION("""COMPUTED_VALUE"""),"")</f>
        <v/>
      </c>
      <c r="J12" s="2" t="str">
        <f ca="1">IFERROR(__xludf.DUMMYFUNCTION("""COMPUTED_VALUE"""),"")</f>
        <v/>
      </c>
      <c r="K12" s="2" t="str">
        <f ca="1">IFERROR(__xludf.DUMMYFUNCTION("""COMPUTED_VALUE"""),"")</f>
        <v/>
      </c>
      <c r="L12" s="2" t="str">
        <f ca="1">IFERROR(__xludf.DUMMYFUNCTION("""COMPUTED_VALUE"""),"")</f>
        <v/>
      </c>
      <c r="M12" s="5" t="str">
        <f ca="1">IFERROR(__xludf.DUMMYFUNCTION("""COMPUTED_VALUE"""),"")</f>
        <v/>
      </c>
      <c r="N12" s="5" t="str">
        <f ca="1">IFERROR(__xludf.DUMMYFUNCTION("""COMPUTED_VALUE"""),"")</f>
        <v/>
      </c>
      <c r="O12" s="2" t="str">
        <f ca="1">IFERROR(__xludf.DUMMYFUNCTION("""COMPUTED_VALUE"""),"")</f>
        <v/>
      </c>
      <c r="P12" s="2" t="str">
        <f ca="1">IFERROR(__xludf.DUMMYFUNCTION("""COMPUTED_VALUE"""),"")</f>
        <v/>
      </c>
      <c r="Q12" s="2" t="str">
        <f ca="1">IFERROR(__xludf.DUMMYFUNCTION("""COMPUTED_VALUE"""),"")</f>
        <v/>
      </c>
      <c r="R12" s="2" t="str">
        <f ca="1">IFERROR(__xludf.DUMMYFUNCTION("""COMPUTED_VALUE"""),"")</f>
        <v/>
      </c>
      <c r="S12" s="2" t="str">
        <f ca="1">IFERROR(__xludf.DUMMYFUNCTION("""COMPUTED_VALUE"""),"")</f>
        <v/>
      </c>
      <c r="T12" s="2" t="str">
        <f ca="1">IFERROR(__xludf.DUMMYFUNCTION("""COMPUTED_VALUE"""),"")</f>
        <v/>
      </c>
      <c r="U12" s="2" t="str">
        <f ca="1">IFERROR(__xludf.DUMMYFUNCTION("""COMPUTED_VALUE"""),"")</f>
        <v/>
      </c>
      <c r="V12" s="2" t="str">
        <f ca="1">IFERROR(__xludf.DUMMYFUNCTION("""COMPUTED_VALUE"""),"")</f>
        <v/>
      </c>
      <c r="W12" s="2" t="str">
        <f ca="1">IFERROR(__xludf.DUMMYFUNCTION("""COMPUTED_VALUE"""),"")</f>
        <v/>
      </c>
      <c r="X12" s="2" t="str">
        <f ca="1">IFERROR(__xludf.DUMMYFUNCTION("""COMPUTED_VALUE"""),"")</f>
        <v/>
      </c>
      <c r="Y12" s="2" t="str">
        <f ca="1">IFERROR(__xludf.DUMMYFUNCTION("""COMPUTED_VALUE"""),"")</f>
        <v/>
      </c>
      <c r="Z12" s="2" t="str">
        <f ca="1">IFERROR(__xludf.DUMMYFUNCTION("""COMPUTED_VALUE"""),"")</f>
        <v/>
      </c>
      <c r="AA12" s="2">
        <f ca="1">IFERROR(__xludf.DUMMYFUNCTION("""COMPUTED_VALUE"""),1907551)</f>
        <v>1907551</v>
      </c>
      <c r="AB12" s="2">
        <f ca="1">IFERROR(__xludf.DUMMYFUNCTION("""COMPUTED_VALUE"""),5812868)</f>
        <v>5812868</v>
      </c>
      <c r="AC12" s="2">
        <f ca="1">IFERROR(__xludf.DUMMYFUNCTION("""COMPUTED_VALUE"""),280)</f>
        <v>280</v>
      </c>
      <c r="AD12" s="2" t="str">
        <f ca="1">IFERROR(__xludf.DUMMYFUNCTION("""COMPUTED_VALUE"""),"Medium - Signal was good but bird was not close.")</f>
        <v>Medium - Signal was good but bird was not close.</v>
      </c>
      <c r="AE12" s="2">
        <f ca="1">IFERROR(__xludf.DUMMYFUNCTION("""COMPUTED_VALUE"""),1906992)</f>
        <v>1906992</v>
      </c>
      <c r="AF12" s="2">
        <f ca="1">IFERROR(__xludf.DUMMYFUNCTION("""COMPUTED_VALUE"""),5812967)</f>
        <v>5812967</v>
      </c>
      <c r="AG12" s="2">
        <f ca="1">IFERROR(__xludf.DUMMYFUNCTION("""COMPUTED_VALUE"""),290)</f>
        <v>290</v>
      </c>
      <c r="AH12" s="2" t="str">
        <f ca="1">IFERROR(__xludf.DUMMYFUNCTION("""COMPUTED_VALUE"""),"Strong - I got a lovely, clear, strong signal.")</f>
        <v>Strong - I got a lovely, clear, strong signal.</v>
      </c>
      <c r="AI12" s="2">
        <f ca="1">IFERROR(__xludf.DUMMYFUNCTION("""COMPUTED_VALUE"""),1906958)</f>
        <v>1906958</v>
      </c>
      <c r="AJ12" s="2">
        <f ca="1">IFERROR(__xludf.DUMMYFUNCTION("""COMPUTED_VALUE"""),5813105)</f>
        <v>5813105</v>
      </c>
      <c r="AK12" s="2">
        <f ca="1">IFERROR(__xludf.DUMMYFUNCTION("""COMPUTED_VALUE"""),250)</f>
        <v>250</v>
      </c>
      <c r="AL12" s="2" t="str">
        <f ca="1">IFERROR(__xludf.DUMMYFUNCTION("""COMPUTED_VALUE"""),"Strong - I got a lovely, clear, strong signal.")</f>
        <v>Strong - I got a lovely, clear, strong signal.</v>
      </c>
      <c r="AM12" s="2" t="str">
        <f ca="1">IFERROR(__xludf.DUMMYFUNCTION("""COMPUTED_VALUE"""),"")</f>
        <v/>
      </c>
      <c r="AN12" s="2" t="str">
        <f ca="1">IFERROR(__xludf.DUMMYFUNCTION("""COMPUTED_VALUE"""),"")</f>
        <v/>
      </c>
      <c r="AO12" s="2" t="str">
        <f ca="1">IFERROR(__xludf.DUMMYFUNCTION("""COMPUTED_VALUE"""),"")</f>
        <v/>
      </c>
      <c r="AP12" s="2" t="str">
        <f ca="1">IFERROR(__xludf.DUMMYFUNCTION("""COMPUTED_VALUE"""),"")</f>
        <v/>
      </c>
      <c r="AQ12" s="2" t="str">
        <f ca="1">IFERROR(__xludf.DUMMYFUNCTION("""COMPUTED_VALUE"""),"")</f>
        <v/>
      </c>
      <c r="AR12" s="2" t="str">
        <f ca="1">IFERROR(__xludf.DUMMYFUNCTION("""COMPUTED_VALUE"""),"")</f>
        <v/>
      </c>
      <c r="AS12" s="2" t="str">
        <f ca="1">IFERROR(__xludf.DUMMYFUNCTION("""COMPUTED_VALUE"""),"")</f>
        <v/>
      </c>
      <c r="AT12" s="2" t="str">
        <f ca="1">IFERROR(__xludf.DUMMYFUNCTION("""COMPUTED_VALUE"""),"")</f>
        <v/>
      </c>
      <c r="AU12" s="2" t="str">
        <f ca="1">IFERROR(__xludf.DUMMYFUNCTION("""COMPUTED_VALUE"""),"within western WMR")</f>
        <v>within western WMR</v>
      </c>
      <c r="AV12" s="2" t="str">
        <f ca="1">IFERROR(__xludf.DUMMYFUNCTION("""COMPUTED_VALUE"""),"")</f>
        <v/>
      </c>
      <c r="AW12" s="2" t="str">
        <f ca="1">IFERROR(__xludf.DUMMYFUNCTION("""COMPUTED_VALUE"""),"")</f>
        <v/>
      </c>
      <c r="AX12" s="2" t="str">
        <f ca="1">IFERROR(__xludf.DUMMYFUNCTION("""COMPUTED_VALUE"""),"")</f>
        <v/>
      </c>
      <c r="AY12" s="2" t="str">
        <f ca="1">IFERROR(__xludf.DUMMYFUNCTION("""COMPUTED_VALUE"""),"")</f>
        <v/>
      </c>
      <c r="AZ12" s="2" t="str">
        <f ca="1">IFERROR(__xludf.DUMMYFUNCTION("""COMPUTED_VALUE"""),"")</f>
        <v/>
      </c>
      <c r="BA12" s="2" t="str">
        <f ca="1">IFERROR(__xludf.DUMMYFUNCTION("""COMPUTED_VALUE"""),"")</f>
        <v/>
      </c>
      <c r="BB12" s="2" t="str">
        <f ca="1">IFERROR(__xludf.DUMMYFUNCTION("""COMPUTED_VALUE"""),"")</f>
        <v/>
      </c>
      <c r="BC12" s="2" t="str">
        <f ca="1">IFERROR(__xludf.DUMMYFUNCTION("""COMPUTED_VALUE"""),"")</f>
        <v/>
      </c>
      <c r="BD12" s="2" t="str">
        <f ca="1">IFERROR(__xludf.DUMMYFUNCTION("""COMPUTED_VALUE"""),"")</f>
        <v/>
      </c>
      <c r="BE12" s="2" t="str">
        <f ca="1">IFERROR(__xludf.DUMMYFUNCTION("""COMPUTED_VALUE"""),"")</f>
        <v/>
      </c>
      <c r="BF12" t="str">
        <f ca="1">IFERROR(__xludf.DUMMYFUNCTION("""COMPUTED_VALUE"""),"")</f>
        <v/>
      </c>
      <c r="BG12" t="str">
        <f ca="1">IFERROR(__xludf.DUMMYFUNCTION("""COMPUTED_VALUE"""),"")</f>
        <v/>
      </c>
      <c r="BH12" t="str">
        <f ca="1">IFERROR(__xludf.DUMMYFUNCTION("""COMPUTED_VALUE"""),"")</f>
        <v/>
      </c>
      <c r="BI12" t="str">
        <f ca="1">IFERROR(__xludf.DUMMYFUNCTION("""COMPUTED_VALUE"""),"")</f>
        <v/>
      </c>
      <c r="BJ12" s="3" t="str">
        <f ca="1">IFERROR(__xludf.DUMMYFUNCTION("""COMPUTED_VALUE"""),"")</f>
        <v/>
      </c>
    </row>
    <row r="13" spans="1:62" ht="15.75" customHeight="1" x14ac:dyDescent="0.25">
      <c r="A13" s="6">
        <f ca="1">IFERROR(__xludf.DUMMYFUNCTION("""COMPUTED_VALUE"""),43161.9138487152)</f>
        <v>43161.913848715201</v>
      </c>
      <c r="B13" s="2" t="str">
        <f ca="1">IFERROR(__xludf.DUMMYFUNCTION("""COMPUTED_VALUE"""),"Bay of Plenty")</f>
        <v>Bay of Plenty</v>
      </c>
      <c r="C13" s="2" t="str">
        <f ca="1">IFERROR(__xludf.DUMMYFUNCTION("""COMPUTED_VALUE"""),"Tx 38 - Pearl")</f>
        <v>Tx 38 - Pearl</v>
      </c>
      <c r="D13" s="10">
        <f ca="1">IFERROR(__xludf.DUMMYFUNCTION("""COMPUTED_VALUE"""),43158)</f>
        <v>43158</v>
      </c>
      <c r="E13" s="4">
        <f ca="1">IFERROR(__xludf.DUMMYFUNCTION("""COMPUTED_VALUE"""),0.65625)</f>
        <v>0.65625</v>
      </c>
      <c r="F13" s="2" t="str">
        <f ca="1">IFERROR(__xludf.DUMMYFUNCTION("""COMPUTED_VALUE"""),"Little Waihi")</f>
        <v>Little Waihi</v>
      </c>
      <c r="G13" s="2" t="str">
        <f ca="1">IFERROR(__xludf.DUMMYFUNCTION("""COMPUTED_VALUE"""),"VHF (close approach): I followed the signal until I got within 50 m of the bird")</f>
        <v>VHF (close approach): I followed the signal until I got within 50 m of the bird</v>
      </c>
      <c r="H13" s="2" t="str">
        <f ca="1">IFERROR(__xludf.DUMMYFUNCTION("""COMPUTED_VALUE"""),"")</f>
        <v/>
      </c>
      <c r="I13" s="2" t="str">
        <f ca="1">IFERROR(__xludf.DUMMYFUNCTION("""COMPUTED_VALUE"""),"")</f>
        <v/>
      </c>
      <c r="J13" s="2" t="str">
        <f ca="1">IFERROR(__xludf.DUMMYFUNCTION("""COMPUTED_VALUE"""),"")</f>
        <v/>
      </c>
      <c r="K13" s="2" t="str">
        <f ca="1">IFERROR(__xludf.DUMMYFUNCTION("""COMPUTED_VALUE"""),"")</f>
        <v/>
      </c>
      <c r="L13" s="2" t="str">
        <f ca="1">IFERROR(__xludf.DUMMYFUNCTION("""COMPUTED_VALUE"""),"Yes - it flushed")</f>
        <v>Yes - it flushed</v>
      </c>
      <c r="M13" s="5">
        <f ca="1">IFERROR(__xludf.DUMMYFUNCTION("""COMPUTED_VALUE"""),1907646)</f>
        <v>1907646</v>
      </c>
      <c r="N13" s="5">
        <f ca="1">IFERROR(__xludf.DUMMYFUNCTION("""COMPUTED_VALUE"""),5812471)</f>
        <v>5812471</v>
      </c>
      <c r="O13" s="2" t="str">
        <f ca="1">IFERROR(__xludf.DUMMYFUNCTION("""COMPUTED_VALUE"""),"")</f>
        <v/>
      </c>
      <c r="P13" s="2" t="str">
        <f ca="1">IFERROR(__xludf.DUMMYFUNCTION("""COMPUTED_VALUE"""),"No")</f>
        <v>No</v>
      </c>
      <c r="Q13" s="2" t="str">
        <f ca="1">IFERROR(__xludf.DUMMYFUNCTION("""COMPUTED_VALUE"""),"Wet")</f>
        <v>Wet</v>
      </c>
      <c r="R13" s="2" t="str">
        <f ca="1">IFERROR(__xludf.DUMMYFUNCTION("""COMPUTED_VALUE"""),"1")</f>
        <v>1</v>
      </c>
      <c r="S13" s="2" t="str">
        <f ca="1">IFERROR(__xludf.DUMMYFUNCTION("""COMPUTED_VALUE"""),"0")</f>
        <v>0</v>
      </c>
      <c r="T13" s="2" t="str">
        <f ca="1">IFERROR(__xludf.DUMMYFUNCTION("""COMPUTED_VALUE"""),"grassy ditch")</f>
        <v>grassy ditch</v>
      </c>
      <c r="U13" s="2" t="str">
        <f ca="1">IFERROR(__xludf.DUMMYFUNCTION("""COMPUTED_VALUE"""),"Bird flushed when I walked on the road within 3 metres of it.")</f>
        <v>Bird flushed when I walked on the road within 3 metres of it.</v>
      </c>
      <c r="V13" s="2" t="str">
        <f ca="1">IFERROR(__xludf.DUMMYFUNCTION("""COMPUTED_VALUE"""),"")</f>
        <v/>
      </c>
      <c r="W13" s="2" t="str">
        <f ca="1">IFERROR(__xludf.DUMMYFUNCTION("""COMPUTED_VALUE"""),"")</f>
        <v/>
      </c>
      <c r="X13" s="2" t="str">
        <f ca="1">IFERROR(__xludf.DUMMYFUNCTION("""COMPUTED_VALUE"""),"")</f>
        <v/>
      </c>
      <c r="Y13" s="2" t="str">
        <f ca="1">IFERROR(__xludf.DUMMYFUNCTION("""COMPUTED_VALUE"""),"")</f>
        <v/>
      </c>
      <c r="Z13" s="2" t="str">
        <f ca="1">IFERROR(__xludf.DUMMYFUNCTION("""COMPUTED_VALUE"""),"")</f>
        <v/>
      </c>
      <c r="AA13" s="2" t="str">
        <f ca="1">IFERROR(__xludf.DUMMYFUNCTION("""COMPUTED_VALUE"""),"")</f>
        <v/>
      </c>
      <c r="AB13" s="2" t="str">
        <f ca="1">IFERROR(__xludf.DUMMYFUNCTION("""COMPUTED_VALUE"""),"")</f>
        <v/>
      </c>
      <c r="AC13" s="2" t="str">
        <f ca="1">IFERROR(__xludf.DUMMYFUNCTION("""COMPUTED_VALUE"""),"")</f>
        <v/>
      </c>
      <c r="AD13" s="2" t="str">
        <f ca="1">IFERROR(__xludf.DUMMYFUNCTION("""COMPUTED_VALUE"""),"")</f>
        <v/>
      </c>
      <c r="AE13" s="2" t="str">
        <f ca="1">IFERROR(__xludf.DUMMYFUNCTION("""COMPUTED_VALUE"""),"")</f>
        <v/>
      </c>
      <c r="AF13" s="2" t="str">
        <f ca="1">IFERROR(__xludf.DUMMYFUNCTION("""COMPUTED_VALUE"""),"")</f>
        <v/>
      </c>
      <c r="AG13" s="2" t="str">
        <f ca="1">IFERROR(__xludf.DUMMYFUNCTION("""COMPUTED_VALUE"""),"")</f>
        <v/>
      </c>
      <c r="AH13" s="2" t="str">
        <f ca="1">IFERROR(__xludf.DUMMYFUNCTION("""COMPUTED_VALUE"""),"")</f>
        <v/>
      </c>
      <c r="AI13" s="2" t="str">
        <f ca="1">IFERROR(__xludf.DUMMYFUNCTION("""COMPUTED_VALUE"""),"")</f>
        <v/>
      </c>
      <c r="AJ13" s="2" t="str">
        <f ca="1">IFERROR(__xludf.DUMMYFUNCTION("""COMPUTED_VALUE"""),"")</f>
        <v/>
      </c>
      <c r="AK13" s="2" t="str">
        <f ca="1">IFERROR(__xludf.DUMMYFUNCTION("""COMPUTED_VALUE"""),"")</f>
        <v/>
      </c>
      <c r="AL13" s="2" t="str">
        <f ca="1">IFERROR(__xludf.DUMMYFUNCTION("""COMPUTED_VALUE"""),"")</f>
        <v/>
      </c>
      <c r="AM13" s="2" t="str">
        <f ca="1">IFERROR(__xludf.DUMMYFUNCTION("""COMPUTED_VALUE"""),"")</f>
        <v/>
      </c>
      <c r="AN13" s="2" t="str">
        <f ca="1">IFERROR(__xludf.DUMMYFUNCTION("""COMPUTED_VALUE"""),"")</f>
        <v/>
      </c>
      <c r="AO13" s="2" t="str">
        <f ca="1">IFERROR(__xludf.DUMMYFUNCTION("""COMPUTED_VALUE"""),"")</f>
        <v/>
      </c>
      <c r="AP13" s="2" t="str">
        <f ca="1">IFERROR(__xludf.DUMMYFUNCTION("""COMPUTED_VALUE"""),"")</f>
        <v/>
      </c>
      <c r="AQ13" s="2" t="str">
        <f ca="1">IFERROR(__xludf.DUMMYFUNCTION("""COMPUTED_VALUE"""),"")</f>
        <v/>
      </c>
      <c r="AR13" s="2" t="str">
        <f ca="1">IFERROR(__xludf.DUMMYFUNCTION("""COMPUTED_VALUE"""),"")</f>
        <v/>
      </c>
      <c r="AS13" s="2" t="str">
        <f ca="1">IFERROR(__xludf.DUMMYFUNCTION("""COMPUTED_VALUE"""),"")</f>
        <v/>
      </c>
      <c r="AT13" s="2" t="str">
        <f ca="1">IFERROR(__xludf.DUMMYFUNCTION("""COMPUTED_VALUE"""),"")</f>
        <v/>
      </c>
      <c r="AU13" s="2" t="str">
        <f ca="1">IFERROR(__xludf.DUMMYFUNCTION("""COMPUTED_VALUE"""),"")</f>
        <v/>
      </c>
      <c r="AV13" s="2" t="str">
        <f ca="1">IFERROR(__xludf.DUMMYFUNCTION("""COMPUTED_VALUE"""),"")</f>
        <v/>
      </c>
      <c r="AW13" s="2" t="str">
        <f ca="1">IFERROR(__xludf.DUMMYFUNCTION("""COMPUTED_VALUE"""),"")</f>
        <v/>
      </c>
      <c r="AX13" s="2" t="str">
        <f ca="1">IFERROR(__xludf.DUMMYFUNCTION("""COMPUTED_VALUE"""),"")</f>
        <v/>
      </c>
      <c r="AY13" s="2" t="str">
        <f ca="1">IFERROR(__xludf.DUMMYFUNCTION("""COMPUTED_VALUE"""),"")</f>
        <v/>
      </c>
      <c r="AZ13" s="2" t="str">
        <f ca="1">IFERROR(__xludf.DUMMYFUNCTION("""COMPUTED_VALUE"""),"")</f>
        <v/>
      </c>
      <c r="BA13" s="2" t="str">
        <f ca="1">IFERROR(__xludf.DUMMYFUNCTION("""COMPUTED_VALUE"""),"")</f>
        <v/>
      </c>
      <c r="BB13" s="2" t="str">
        <f ca="1">IFERROR(__xludf.DUMMYFUNCTION("""COMPUTED_VALUE"""),"")</f>
        <v/>
      </c>
      <c r="BC13" s="2" t="str">
        <f ca="1">IFERROR(__xludf.DUMMYFUNCTION("""COMPUTED_VALUE"""),"")</f>
        <v/>
      </c>
      <c r="BD13" s="2" t="str">
        <f ca="1">IFERROR(__xludf.DUMMYFUNCTION("""COMPUTED_VALUE"""),"")</f>
        <v/>
      </c>
      <c r="BE13" s="2" t="str">
        <f ca="1">IFERROR(__xludf.DUMMYFUNCTION("""COMPUTED_VALUE"""),"")</f>
        <v/>
      </c>
      <c r="BF13" t="str">
        <f ca="1">IFERROR(__xludf.DUMMYFUNCTION("""COMPUTED_VALUE"""),"")</f>
        <v/>
      </c>
      <c r="BG13" t="str">
        <f ca="1">IFERROR(__xludf.DUMMYFUNCTION("""COMPUTED_VALUE"""),"")</f>
        <v/>
      </c>
      <c r="BH13" t="str">
        <f ca="1">IFERROR(__xludf.DUMMYFUNCTION("""COMPUTED_VALUE"""),"")</f>
        <v/>
      </c>
      <c r="BI13" t="str">
        <f ca="1">IFERROR(__xludf.DUMMYFUNCTION("""COMPUTED_VALUE"""),"")</f>
        <v/>
      </c>
      <c r="BJ13" s="3" t="str">
        <f ca="1">IFERROR(__xludf.DUMMYFUNCTION("""COMPUTED_VALUE"""),"")</f>
        <v/>
      </c>
    </row>
    <row r="14" spans="1:62" ht="15.75" customHeight="1" x14ac:dyDescent="0.25">
      <c r="A14" s="6">
        <f ca="1">IFERROR(__xludf.DUMMYFUNCTION("""COMPUTED_VALUE"""),43161.9422774421)</f>
        <v>43161.942277442096</v>
      </c>
      <c r="B14" s="2" t="str">
        <f ca="1">IFERROR(__xludf.DUMMYFUNCTION("""COMPUTED_VALUE"""),"Bay of Plenty")</f>
        <v>Bay of Plenty</v>
      </c>
      <c r="C14" s="2" t="str">
        <f ca="1">IFERROR(__xludf.DUMMYFUNCTION("""COMPUTED_VALUE"""),"Tx 17")</f>
        <v>Tx 17</v>
      </c>
      <c r="D14" s="10">
        <f ca="1">IFERROR(__xludf.DUMMYFUNCTION("""COMPUTED_VALUE"""),43158)</f>
        <v>43158</v>
      </c>
      <c r="E14" s="4">
        <f ca="1">IFERROR(__xludf.DUMMYFUNCTION("""COMPUTED_VALUE"""),0.65625)</f>
        <v>0.65625</v>
      </c>
      <c r="F14" s="2" t="str">
        <f ca="1">IFERROR(__xludf.DUMMYFUNCTION("""COMPUTED_VALUE"""),"Little Waihi")</f>
        <v>Little Waihi</v>
      </c>
      <c r="G14" s="2" t="str">
        <f ca="1">IFERROR(__xludf.DUMMYFUNCTION("""COMPUTED_VALUE"""),"VHF (triangulation): I triangulated the bird with at least three bearings")</f>
        <v>VHF (triangulation): I triangulated the bird with at least three bearings</v>
      </c>
      <c r="H14" s="2" t="str">
        <f ca="1">IFERROR(__xludf.DUMMYFUNCTION("""COMPUTED_VALUE"""),"")</f>
        <v/>
      </c>
      <c r="I14" s="2" t="str">
        <f ca="1">IFERROR(__xludf.DUMMYFUNCTION("""COMPUTED_VALUE"""),"")</f>
        <v/>
      </c>
      <c r="J14" s="2" t="str">
        <f ca="1">IFERROR(__xludf.DUMMYFUNCTION("""COMPUTED_VALUE"""),"")</f>
        <v/>
      </c>
      <c r="K14" s="2" t="str">
        <f ca="1">IFERROR(__xludf.DUMMYFUNCTION("""COMPUTED_VALUE"""),"")</f>
        <v/>
      </c>
      <c r="L14" s="2" t="str">
        <f ca="1">IFERROR(__xludf.DUMMYFUNCTION("""COMPUTED_VALUE"""),"")</f>
        <v/>
      </c>
      <c r="M14" s="5" t="str">
        <f ca="1">IFERROR(__xludf.DUMMYFUNCTION("""COMPUTED_VALUE"""),"")</f>
        <v/>
      </c>
      <c r="N14" s="5" t="str">
        <f ca="1">IFERROR(__xludf.DUMMYFUNCTION("""COMPUTED_VALUE"""),"")</f>
        <v/>
      </c>
      <c r="O14" s="2" t="str">
        <f ca="1">IFERROR(__xludf.DUMMYFUNCTION("""COMPUTED_VALUE"""),"")</f>
        <v/>
      </c>
      <c r="P14" s="2" t="str">
        <f ca="1">IFERROR(__xludf.DUMMYFUNCTION("""COMPUTED_VALUE"""),"")</f>
        <v/>
      </c>
      <c r="Q14" s="2" t="str">
        <f ca="1">IFERROR(__xludf.DUMMYFUNCTION("""COMPUTED_VALUE"""),"")</f>
        <v/>
      </c>
      <c r="R14" s="2" t="str">
        <f ca="1">IFERROR(__xludf.DUMMYFUNCTION("""COMPUTED_VALUE"""),"")</f>
        <v/>
      </c>
      <c r="S14" s="2" t="str">
        <f ca="1">IFERROR(__xludf.DUMMYFUNCTION("""COMPUTED_VALUE"""),"")</f>
        <v/>
      </c>
      <c r="T14" s="2" t="str">
        <f ca="1">IFERROR(__xludf.DUMMYFUNCTION("""COMPUTED_VALUE"""),"")</f>
        <v/>
      </c>
      <c r="U14" s="2" t="str">
        <f ca="1">IFERROR(__xludf.DUMMYFUNCTION("""COMPUTED_VALUE"""),"")</f>
        <v/>
      </c>
      <c r="V14" s="2" t="str">
        <f ca="1">IFERROR(__xludf.DUMMYFUNCTION("""COMPUTED_VALUE"""),"")</f>
        <v/>
      </c>
      <c r="W14" s="2" t="str">
        <f ca="1">IFERROR(__xludf.DUMMYFUNCTION("""COMPUTED_VALUE"""),"")</f>
        <v/>
      </c>
      <c r="X14" s="2" t="str">
        <f ca="1">IFERROR(__xludf.DUMMYFUNCTION("""COMPUTED_VALUE"""),"")</f>
        <v/>
      </c>
      <c r="Y14" s="2" t="str">
        <f ca="1">IFERROR(__xludf.DUMMYFUNCTION("""COMPUTED_VALUE"""),"")</f>
        <v/>
      </c>
      <c r="Z14" s="2" t="str">
        <f ca="1">IFERROR(__xludf.DUMMYFUNCTION("""COMPUTED_VALUE"""),"")</f>
        <v/>
      </c>
      <c r="AA14" s="2">
        <f ca="1">IFERROR(__xludf.DUMMYFUNCTION("""COMPUTED_VALUE"""),1907024)</f>
        <v>1907024</v>
      </c>
      <c r="AB14" s="2">
        <f ca="1">IFERROR(__xludf.DUMMYFUNCTION("""COMPUTED_VALUE"""),5814859)</f>
        <v>5814859</v>
      </c>
      <c r="AC14" s="2">
        <f ca="1">IFERROR(__xludf.DUMMYFUNCTION("""COMPUTED_VALUE"""),280)</f>
        <v>280</v>
      </c>
      <c r="AD14" s="2" t="str">
        <f ca="1">IFERROR(__xludf.DUMMYFUNCTION("""COMPUTED_VALUE"""),"Weak - I could barely hear it.")</f>
        <v>Weak - I could barely hear it.</v>
      </c>
      <c r="AE14" s="2">
        <f ca="1">IFERROR(__xludf.DUMMYFUNCTION("""COMPUTED_VALUE"""),1907614)</f>
        <v>1907614</v>
      </c>
      <c r="AF14" s="2">
        <f ca="1">IFERROR(__xludf.DUMMYFUNCTION("""COMPUTED_VALUE"""),5812554)</f>
        <v>5812554</v>
      </c>
      <c r="AG14" s="2">
        <f ca="1">IFERROR(__xludf.DUMMYFUNCTION("""COMPUTED_VALUE"""),80)</f>
        <v>80</v>
      </c>
      <c r="AH14" s="2" t="str">
        <f ca="1">IFERROR(__xludf.DUMMYFUNCTION("""COMPUTED_VALUE"""),"Medium - Signal was good but bird was not close.")</f>
        <v>Medium - Signal was good but bird was not close.</v>
      </c>
      <c r="AI14" s="2">
        <f ca="1">IFERROR(__xludf.DUMMYFUNCTION("""COMPUTED_VALUE"""),1907545)</f>
        <v>1907545</v>
      </c>
      <c r="AJ14" s="2">
        <f ca="1">IFERROR(__xludf.DUMMYFUNCTION("""COMPUTED_VALUE"""),5812875)</f>
        <v>5812875</v>
      </c>
      <c r="AK14" s="2">
        <f ca="1">IFERROR(__xludf.DUMMYFUNCTION("""COMPUTED_VALUE"""),60)</f>
        <v>60</v>
      </c>
      <c r="AL14" s="2" t="str">
        <f ca="1">IFERROR(__xludf.DUMMYFUNCTION("""COMPUTED_VALUE"""),"Strong - I got a lovely, clear, strong signal.")</f>
        <v>Strong - I got a lovely, clear, strong signal.</v>
      </c>
      <c r="AM14" s="2">
        <f ca="1">IFERROR(__xludf.DUMMYFUNCTION("""COMPUTED_VALUE"""),1907650)</f>
        <v>1907650</v>
      </c>
      <c r="AN14" s="2">
        <f ca="1">IFERROR(__xludf.DUMMYFUNCTION("""COMPUTED_VALUE"""),5814156)</f>
        <v>5814156</v>
      </c>
      <c r="AO14" s="2">
        <f ca="1">IFERROR(__xludf.DUMMYFUNCTION("""COMPUTED_VALUE"""),200)</f>
        <v>200</v>
      </c>
      <c r="AP14" s="2" t="str">
        <f ca="1">IFERROR(__xludf.DUMMYFUNCTION("""COMPUTED_VALUE"""),"Weak - I could barely hear it.")</f>
        <v>Weak - I could barely hear it.</v>
      </c>
      <c r="AQ14" s="2" t="str">
        <f ca="1">IFERROR(__xludf.DUMMYFUNCTION("""COMPUTED_VALUE"""),"")</f>
        <v/>
      </c>
      <c r="AR14" s="2" t="str">
        <f ca="1">IFERROR(__xludf.DUMMYFUNCTION("""COMPUTED_VALUE"""),"")</f>
        <v/>
      </c>
      <c r="AS14" s="2" t="str">
        <f ca="1">IFERROR(__xludf.DUMMYFUNCTION("""COMPUTED_VALUE"""),"")</f>
        <v/>
      </c>
      <c r="AT14" s="2" t="str">
        <f ca="1">IFERROR(__xludf.DUMMYFUNCTION("""COMPUTED_VALUE"""),"")</f>
        <v/>
      </c>
      <c r="AU14" s="2" t="str">
        <f ca="1">IFERROR(__xludf.DUMMYFUNCTION("""COMPUTED_VALUE"""),"same raupo clump as last obs Karl")</f>
        <v>same raupo clump as last obs Karl</v>
      </c>
      <c r="AV14" s="2" t="str">
        <f ca="1">IFERROR(__xludf.DUMMYFUNCTION("""COMPUTED_VALUE"""),"")</f>
        <v/>
      </c>
      <c r="AW14" s="2" t="str">
        <f ca="1">IFERROR(__xludf.DUMMYFUNCTION("""COMPUTED_VALUE"""),"")</f>
        <v/>
      </c>
      <c r="AX14" s="2" t="str">
        <f ca="1">IFERROR(__xludf.DUMMYFUNCTION("""COMPUTED_VALUE"""),"")</f>
        <v/>
      </c>
      <c r="AY14" s="2" t="str">
        <f ca="1">IFERROR(__xludf.DUMMYFUNCTION("""COMPUTED_VALUE"""),"")</f>
        <v/>
      </c>
      <c r="AZ14" s="2" t="str">
        <f ca="1">IFERROR(__xludf.DUMMYFUNCTION("""COMPUTED_VALUE"""),"")</f>
        <v/>
      </c>
      <c r="BA14" s="2" t="str">
        <f ca="1">IFERROR(__xludf.DUMMYFUNCTION("""COMPUTED_VALUE"""),"")</f>
        <v/>
      </c>
      <c r="BB14" s="2" t="str">
        <f ca="1">IFERROR(__xludf.DUMMYFUNCTION("""COMPUTED_VALUE"""),"")</f>
        <v/>
      </c>
      <c r="BC14" s="2" t="str">
        <f ca="1">IFERROR(__xludf.DUMMYFUNCTION("""COMPUTED_VALUE"""),"")</f>
        <v/>
      </c>
      <c r="BD14" s="2" t="str">
        <f ca="1">IFERROR(__xludf.DUMMYFUNCTION("""COMPUTED_VALUE"""),"")</f>
        <v/>
      </c>
      <c r="BE14" s="2" t="str">
        <f ca="1">IFERROR(__xludf.DUMMYFUNCTION("""COMPUTED_VALUE"""),"")</f>
        <v/>
      </c>
      <c r="BF14" t="str">
        <f ca="1">IFERROR(__xludf.DUMMYFUNCTION("""COMPUTED_VALUE"""),"")</f>
        <v/>
      </c>
      <c r="BG14" t="str">
        <f ca="1">IFERROR(__xludf.DUMMYFUNCTION("""COMPUTED_VALUE"""),"")</f>
        <v/>
      </c>
      <c r="BH14" t="str">
        <f ca="1">IFERROR(__xludf.DUMMYFUNCTION("""COMPUTED_VALUE"""),"")</f>
        <v/>
      </c>
      <c r="BI14" t="str">
        <f ca="1">IFERROR(__xludf.DUMMYFUNCTION("""COMPUTED_VALUE"""),"")</f>
        <v/>
      </c>
      <c r="BJ14" s="3" t="str">
        <f ca="1">IFERROR(__xludf.DUMMYFUNCTION("""COMPUTED_VALUE"""),"")</f>
        <v/>
      </c>
    </row>
    <row r="15" spans="1:62" ht="15.75" customHeight="1" x14ac:dyDescent="0.25">
      <c r="A15" s="6">
        <f ca="1">IFERROR(__xludf.DUMMYFUNCTION("""COMPUTED_VALUE"""),43175.9262525347)</f>
        <v>43175.9262525347</v>
      </c>
      <c r="B15" s="2" t="str">
        <f ca="1">IFERROR(__xludf.DUMMYFUNCTION("""COMPUTED_VALUE"""),"Bay of Plenty")</f>
        <v>Bay of Plenty</v>
      </c>
      <c r="C15" s="2" t="str">
        <f ca="1">IFERROR(__xludf.DUMMYFUNCTION("""COMPUTED_VALUE"""),"Tx 17")</f>
        <v>Tx 17</v>
      </c>
      <c r="D15" s="10">
        <f ca="1">IFERROR(__xludf.DUMMYFUNCTION("""COMPUTED_VALUE"""),43175)</f>
        <v>43175</v>
      </c>
      <c r="E15" s="4">
        <f ca="1">IFERROR(__xludf.DUMMYFUNCTION("""COMPUTED_VALUE"""),0.8125)</f>
        <v>0.8125</v>
      </c>
      <c r="F15" s="2" t="str">
        <f ca="1">IFERROR(__xludf.DUMMYFUNCTION("""COMPUTED_VALUE"""),"Little Waihi")</f>
        <v>Little Waihi</v>
      </c>
      <c r="G15" s="2" t="str">
        <f ca="1">IFERROR(__xludf.DUMMYFUNCTION("""COMPUTED_VALUE"""),"VHF (triangulation): I triangulated the bird with at least three bearings")</f>
        <v>VHF (triangulation): I triangulated the bird with at least three bearings</v>
      </c>
      <c r="H15" s="2" t="str">
        <f ca="1">IFERROR(__xludf.DUMMYFUNCTION("""COMPUTED_VALUE"""),"")</f>
        <v/>
      </c>
      <c r="I15" s="2" t="str">
        <f ca="1">IFERROR(__xludf.DUMMYFUNCTION("""COMPUTED_VALUE"""),"")</f>
        <v/>
      </c>
      <c r="J15" s="2" t="str">
        <f ca="1">IFERROR(__xludf.DUMMYFUNCTION("""COMPUTED_VALUE"""),"")</f>
        <v/>
      </c>
      <c r="K15" s="2" t="str">
        <f ca="1">IFERROR(__xludf.DUMMYFUNCTION("""COMPUTED_VALUE"""),"")</f>
        <v/>
      </c>
      <c r="L15" s="2" t="str">
        <f ca="1">IFERROR(__xludf.DUMMYFUNCTION("""COMPUTED_VALUE"""),"")</f>
        <v/>
      </c>
      <c r="M15" s="5" t="str">
        <f ca="1">IFERROR(__xludf.DUMMYFUNCTION("""COMPUTED_VALUE"""),"")</f>
        <v/>
      </c>
      <c r="N15" s="5" t="str">
        <f ca="1">IFERROR(__xludf.DUMMYFUNCTION("""COMPUTED_VALUE"""),"")</f>
        <v/>
      </c>
      <c r="O15" s="2" t="str">
        <f ca="1">IFERROR(__xludf.DUMMYFUNCTION("""COMPUTED_VALUE"""),"")</f>
        <v/>
      </c>
      <c r="P15" s="2" t="str">
        <f ca="1">IFERROR(__xludf.DUMMYFUNCTION("""COMPUTED_VALUE"""),"")</f>
        <v/>
      </c>
      <c r="Q15" s="2" t="str">
        <f ca="1">IFERROR(__xludf.DUMMYFUNCTION("""COMPUTED_VALUE"""),"")</f>
        <v/>
      </c>
      <c r="R15" s="2" t="str">
        <f ca="1">IFERROR(__xludf.DUMMYFUNCTION("""COMPUTED_VALUE"""),"")</f>
        <v/>
      </c>
      <c r="S15" s="2" t="str">
        <f ca="1">IFERROR(__xludf.DUMMYFUNCTION("""COMPUTED_VALUE"""),"")</f>
        <v/>
      </c>
      <c r="T15" s="2" t="str">
        <f ca="1">IFERROR(__xludf.DUMMYFUNCTION("""COMPUTED_VALUE"""),"")</f>
        <v/>
      </c>
      <c r="U15" s="2" t="str">
        <f ca="1">IFERROR(__xludf.DUMMYFUNCTION("""COMPUTED_VALUE"""),"")</f>
        <v/>
      </c>
      <c r="V15" s="2" t="str">
        <f ca="1">IFERROR(__xludf.DUMMYFUNCTION("""COMPUTED_VALUE"""),"")</f>
        <v/>
      </c>
      <c r="W15" s="2" t="str">
        <f ca="1">IFERROR(__xludf.DUMMYFUNCTION("""COMPUTED_VALUE"""),"")</f>
        <v/>
      </c>
      <c r="X15" s="2" t="str">
        <f ca="1">IFERROR(__xludf.DUMMYFUNCTION("""COMPUTED_VALUE"""),"")</f>
        <v/>
      </c>
      <c r="Y15" s="2" t="str">
        <f ca="1">IFERROR(__xludf.DUMMYFUNCTION("""COMPUTED_VALUE"""),"")</f>
        <v/>
      </c>
      <c r="Z15" s="2" t="str">
        <f ca="1">IFERROR(__xludf.DUMMYFUNCTION("""COMPUTED_VALUE"""),"")</f>
        <v/>
      </c>
      <c r="AA15" s="2">
        <f ca="1">IFERROR(__xludf.DUMMYFUNCTION("""COMPUTED_VALUE"""),1907650)</f>
        <v>1907650</v>
      </c>
      <c r="AB15" s="2">
        <f ca="1">IFERROR(__xludf.DUMMYFUNCTION("""COMPUTED_VALUE"""),5814148)</f>
        <v>5814148</v>
      </c>
      <c r="AC15" s="2">
        <f ca="1">IFERROR(__xludf.DUMMYFUNCTION("""COMPUTED_VALUE"""),200)</f>
        <v>200</v>
      </c>
      <c r="AD15" s="2" t="str">
        <f ca="1">IFERROR(__xludf.DUMMYFUNCTION("""COMPUTED_VALUE"""),"Weak - I could barely hear it.")</f>
        <v>Weak - I could barely hear it.</v>
      </c>
      <c r="AE15" s="2">
        <f ca="1">IFERROR(__xludf.DUMMYFUNCTION("""COMPUTED_VALUE"""),1907614)</f>
        <v>1907614</v>
      </c>
      <c r="AF15" s="2">
        <f ca="1">IFERROR(__xludf.DUMMYFUNCTION("""COMPUTED_VALUE"""),5812554)</f>
        <v>5812554</v>
      </c>
      <c r="AG15" s="2">
        <f ca="1">IFERROR(__xludf.DUMMYFUNCTION("""COMPUTED_VALUE"""),300)</f>
        <v>300</v>
      </c>
      <c r="AH15" s="2" t="str">
        <f ca="1">IFERROR(__xludf.DUMMYFUNCTION("""COMPUTED_VALUE"""),"Medium - Signal was good but bird was not close.")</f>
        <v>Medium - Signal was good but bird was not close.</v>
      </c>
      <c r="AI15" s="2">
        <f ca="1">IFERROR(__xludf.DUMMYFUNCTION("""COMPUTED_VALUE"""),1907547)</f>
        <v>1907547</v>
      </c>
      <c r="AJ15" s="2">
        <f ca="1">IFERROR(__xludf.DUMMYFUNCTION("""COMPUTED_VALUE"""),5812875)</f>
        <v>5812875</v>
      </c>
      <c r="AK15" s="2">
        <f ca="1">IFERROR(__xludf.DUMMYFUNCTION("""COMPUTED_VALUE"""),280)</f>
        <v>280</v>
      </c>
      <c r="AL15" s="2" t="str">
        <f ca="1">IFERROR(__xludf.DUMMYFUNCTION("""COMPUTED_VALUE"""),"Strong - I got a lovely, clear, strong signal.")</f>
        <v>Strong - I got a lovely, clear, strong signal.</v>
      </c>
      <c r="AM15" s="2" t="str">
        <f ca="1">IFERROR(__xludf.DUMMYFUNCTION("""COMPUTED_VALUE"""),"")</f>
        <v/>
      </c>
      <c r="AN15" s="2" t="str">
        <f ca="1">IFERROR(__xludf.DUMMYFUNCTION("""COMPUTED_VALUE"""),"")</f>
        <v/>
      </c>
      <c r="AO15" s="2" t="str">
        <f ca="1">IFERROR(__xludf.DUMMYFUNCTION("""COMPUTED_VALUE"""),"")</f>
        <v/>
      </c>
      <c r="AP15" s="2" t="str">
        <f ca="1">IFERROR(__xludf.DUMMYFUNCTION("""COMPUTED_VALUE"""),"")</f>
        <v/>
      </c>
      <c r="AQ15" s="2" t="str">
        <f ca="1">IFERROR(__xludf.DUMMYFUNCTION("""COMPUTED_VALUE"""),"")</f>
        <v/>
      </c>
      <c r="AR15" s="2" t="str">
        <f ca="1">IFERROR(__xludf.DUMMYFUNCTION("""COMPUTED_VALUE"""),"")</f>
        <v/>
      </c>
      <c r="AS15" s="2" t="str">
        <f ca="1">IFERROR(__xludf.DUMMYFUNCTION("""COMPUTED_VALUE"""),"")</f>
        <v/>
      </c>
      <c r="AT15" s="2" t="str">
        <f ca="1">IFERROR(__xludf.DUMMYFUNCTION("""COMPUTED_VALUE"""),"")</f>
        <v/>
      </c>
      <c r="AU15" s="2" t="str">
        <f ca="1">IFERROR(__xludf.DUMMYFUNCTION("""COMPUTED_VALUE"""),"In the estuary margin West WMR")</f>
        <v>In the estuary margin West WMR</v>
      </c>
      <c r="AV15" s="2" t="str">
        <f ca="1">IFERROR(__xludf.DUMMYFUNCTION("""COMPUTED_VALUE"""),"")</f>
        <v/>
      </c>
      <c r="AW15" s="2" t="str">
        <f ca="1">IFERROR(__xludf.DUMMYFUNCTION("""COMPUTED_VALUE"""),"")</f>
        <v/>
      </c>
      <c r="AX15" s="2" t="str">
        <f ca="1">IFERROR(__xludf.DUMMYFUNCTION("""COMPUTED_VALUE"""),"")</f>
        <v/>
      </c>
      <c r="AY15" s="2" t="str">
        <f ca="1">IFERROR(__xludf.DUMMYFUNCTION("""COMPUTED_VALUE"""),"")</f>
        <v/>
      </c>
      <c r="AZ15" s="2" t="str">
        <f ca="1">IFERROR(__xludf.DUMMYFUNCTION("""COMPUTED_VALUE"""),"")</f>
        <v/>
      </c>
      <c r="BA15" s="2" t="str">
        <f ca="1">IFERROR(__xludf.DUMMYFUNCTION("""COMPUTED_VALUE"""),"")</f>
        <v/>
      </c>
      <c r="BB15" s="2" t="str">
        <f ca="1">IFERROR(__xludf.DUMMYFUNCTION("""COMPUTED_VALUE"""),"")</f>
        <v/>
      </c>
      <c r="BC15" s="2" t="str">
        <f ca="1">IFERROR(__xludf.DUMMYFUNCTION("""COMPUTED_VALUE"""),"")</f>
        <v/>
      </c>
      <c r="BD15" s="2" t="str">
        <f ca="1">IFERROR(__xludf.DUMMYFUNCTION("""COMPUTED_VALUE"""),"")</f>
        <v/>
      </c>
      <c r="BE15" s="2" t="str">
        <f ca="1">IFERROR(__xludf.DUMMYFUNCTION("""COMPUTED_VALUE"""),"")</f>
        <v/>
      </c>
      <c r="BF15" t="str">
        <f ca="1">IFERROR(__xludf.DUMMYFUNCTION("""COMPUTED_VALUE"""),"")</f>
        <v/>
      </c>
      <c r="BG15" t="str">
        <f ca="1">IFERROR(__xludf.DUMMYFUNCTION("""COMPUTED_VALUE"""),"")</f>
        <v/>
      </c>
      <c r="BH15" t="str">
        <f ca="1">IFERROR(__xludf.DUMMYFUNCTION("""COMPUTED_VALUE"""),"")</f>
        <v/>
      </c>
      <c r="BI15" t="str">
        <f ca="1">IFERROR(__xludf.DUMMYFUNCTION("""COMPUTED_VALUE"""),"")</f>
        <v/>
      </c>
      <c r="BJ15" s="3" t="str">
        <f ca="1">IFERROR(__xludf.DUMMYFUNCTION("""COMPUTED_VALUE"""),"")</f>
        <v/>
      </c>
    </row>
    <row r="16" spans="1:62" ht="15.75" customHeight="1" x14ac:dyDescent="0.25">
      <c r="A16" s="6">
        <f ca="1">IFERROR(__xludf.DUMMYFUNCTION("""COMPUTED_VALUE"""),43175.9289522569)</f>
        <v>43175.928952256902</v>
      </c>
      <c r="B16" s="2" t="str">
        <f ca="1">IFERROR(__xludf.DUMMYFUNCTION("""COMPUTED_VALUE"""),"Bay of Plenty")</f>
        <v>Bay of Plenty</v>
      </c>
      <c r="C16" s="2" t="str">
        <f ca="1">IFERROR(__xludf.DUMMYFUNCTION("""COMPUTED_VALUE"""),"Tx 38 - Pearl")</f>
        <v>Tx 38 - Pearl</v>
      </c>
      <c r="D16" s="10">
        <f ca="1">IFERROR(__xludf.DUMMYFUNCTION("""COMPUTED_VALUE"""),43175)</f>
        <v>43175</v>
      </c>
      <c r="E16" s="4">
        <f ca="1">IFERROR(__xludf.DUMMYFUNCTION("""COMPUTED_VALUE"""),0.8125)</f>
        <v>0.8125</v>
      </c>
      <c r="F16" s="2" t="str">
        <f ca="1">IFERROR(__xludf.DUMMYFUNCTION("""COMPUTED_VALUE"""),"Little Waihi")</f>
        <v>Little Waihi</v>
      </c>
      <c r="G16" s="2" t="str">
        <f ca="1">IFERROR(__xludf.DUMMYFUNCTION("""COMPUTED_VALUE"""),"VHF (triangulation): I triangulated the bird with at least three bearings")</f>
        <v>VHF (triangulation): I triangulated the bird with at least three bearings</v>
      </c>
      <c r="H16" s="2" t="str">
        <f ca="1">IFERROR(__xludf.DUMMYFUNCTION("""COMPUTED_VALUE"""),"")</f>
        <v/>
      </c>
      <c r="I16" s="2" t="str">
        <f ca="1">IFERROR(__xludf.DUMMYFUNCTION("""COMPUTED_VALUE"""),"")</f>
        <v/>
      </c>
      <c r="J16" s="2" t="str">
        <f ca="1">IFERROR(__xludf.DUMMYFUNCTION("""COMPUTED_VALUE"""),"")</f>
        <v/>
      </c>
      <c r="K16" s="2" t="str">
        <f ca="1">IFERROR(__xludf.DUMMYFUNCTION("""COMPUTED_VALUE"""),"")</f>
        <v/>
      </c>
      <c r="L16" s="2" t="str">
        <f ca="1">IFERROR(__xludf.DUMMYFUNCTION("""COMPUTED_VALUE"""),"")</f>
        <v/>
      </c>
      <c r="M16" s="5" t="str">
        <f ca="1">IFERROR(__xludf.DUMMYFUNCTION("""COMPUTED_VALUE"""),"")</f>
        <v/>
      </c>
      <c r="N16" s="5" t="str">
        <f ca="1">IFERROR(__xludf.DUMMYFUNCTION("""COMPUTED_VALUE"""),"")</f>
        <v/>
      </c>
      <c r="O16" s="2" t="str">
        <f ca="1">IFERROR(__xludf.DUMMYFUNCTION("""COMPUTED_VALUE"""),"")</f>
        <v/>
      </c>
      <c r="P16" s="2" t="str">
        <f ca="1">IFERROR(__xludf.DUMMYFUNCTION("""COMPUTED_VALUE"""),"")</f>
        <v/>
      </c>
      <c r="Q16" s="2" t="str">
        <f ca="1">IFERROR(__xludf.DUMMYFUNCTION("""COMPUTED_VALUE"""),"")</f>
        <v/>
      </c>
      <c r="R16" s="2" t="str">
        <f ca="1">IFERROR(__xludf.DUMMYFUNCTION("""COMPUTED_VALUE"""),"")</f>
        <v/>
      </c>
      <c r="S16" s="2" t="str">
        <f ca="1">IFERROR(__xludf.DUMMYFUNCTION("""COMPUTED_VALUE"""),"")</f>
        <v/>
      </c>
      <c r="T16" s="2" t="str">
        <f ca="1">IFERROR(__xludf.DUMMYFUNCTION("""COMPUTED_VALUE"""),"")</f>
        <v/>
      </c>
      <c r="U16" s="2" t="str">
        <f ca="1">IFERROR(__xludf.DUMMYFUNCTION("""COMPUTED_VALUE"""),"")</f>
        <v/>
      </c>
      <c r="V16" s="2" t="str">
        <f ca="1">IFERROR(__xludf.DUMMYFUNCTION("""COMPUTED_VALUE"""),"")</f>
        <v/>
      </c>
      <c r="W16" s="2" t="str">
        <f ca="1">IFERROR(__xludf.DUMMYFUNCTION("""COMPUTED_VALUE"""),"")</f>
        <v/>
      </c>
      <c r="X16" s="2" t="str">
        <f ca="1">IFERROR(__xludf.DUMMYFUNCTION("""COMPUTED_VALUE"""),"")</f>
        <v/>
      </c>
      <c r="Y16" s="2" t="str">
        <f ca="1">IFERROR(__xludf.DUMMYFUNCTION("""COMPUTED_VALUE"""),"")</f>
        <v/>
      </c>
      <c r="Z16" s="2" t="str">
        <f ca="1">IFERROR(__xludf.DUMMYFUNCTION("""COMPUTED_VALUE"""),"")</f>
        <v/>
      </c>
      <c r="AA16" s="2">
        <f ca="1">IFERROR(__xludf.DUMMYFUNCTION("""COMPUTED_VALUE"""),1907650)</f>
        <v>1907650</v>
      </c>
      <c r="AB16" s="2">
        <f ca="1">IFERROR(__xludf.DUMMYFUNCTION("""COMPUTED_VALUE"""),5814148)</f>
        <v>5814148</v>
      </c>
      <c r="AC16" s="2">
        <f ca="1">IFERROR(__xludf.DUMMYFUNCTION("""COMPUTED_VALUE"""),180)</f>
        <v>180</v>
      </c>
      <c r="AD16" s="2" t="str">
        <f ca="1">IFERROR(__xludf.DUMMYFUNCTION("""COMPUTED_VALUE"""),"Weak - I could barely hear it.")</f>
        <v>Weak - I could barely hear it.</v>
      </c>
      <c r="AE16" s="2">
        <f ca="1">IFERROR(__xludf.DUMMYFUNCTION("""COMPUTED_VALUE"""),1907614)</f>
        <v>1907614</v>
      </c>
      <c r="AF16" s="2">
        <f ca="1">IFERROR(__xludf.DUMMYFUNCTION("""COMPUTED_VALUE"""),5812554)</f>
        <v>5812554</v>
      </c>
      <c r="AG16" s="2">
        <f ca="1">IFERROR(__xludf.DUMMYFUNCTION("""COMPUTED_VALUE"""),350)</f>
        <v>350</v>
      </c>
      <c r="AH16" s="2" t="str">
        <f ca="1">IFERROR(__xludf.DUMMYFUNCTION("""COMPUTED_VALUE"""),"Medium - Signal was good but bird was not close.")</f>
        <v>Medium - Signal was good but bird was not close.</v>
      </c>
      <c r="AI16" s="2">
        <f ca="1">IFERROR(__xludf.DUMMYFUNCTION("""COMPUTED_VALUE"""),1907547)</f>
        <v>1907547</v>
      </c>
      <c r="AJ16" s="2">
        <f ca="1">IFERROR(__xludf.DUMMYFUNCTION("""COMPUTED_VALUE"""),5812875)</f>
        <v>5812875</v>
      </c>
      <c r="AK16" s="2">
        <f ca="1">IFERROR(__xludf.DUMMYFUNCTION("""COMPUTED_VALUE"""),50)</f>
        <v>50</v>
      </c>
      <c r="AL16" s="2" t="str">
        <f ca="1">IFERROR(__xludf.DUMMYFUNCTION("""COMPUTED_VALUE"""),"Strong - I got a lovely, clear, strong signal.")</f>
        <v>Strong - I got a lovely, clear, strong signal.</v>
      </c>
      <c r="AM16" s="2" t="str">
        <f ca="1">IFERROR(__xludf.DUMMYFUNCTION("""COMPUTED_VALUE"""),"")</f>
        <v/>
      </c>
      <c r="AN16" s="2" t="str">
        <f ca="1">IFERROR(__xludf.DUMMYFUNCTION("""COMPUTED_VALUE"""),"")</f>
        <v/>
      </c>
      <c r="AO16" s="2" t="str">
        <f ca="1">IFERROR(__xludf.DUMMYFUNCTION("""COMPUTED_VALUE"""),"")</f>
        <v/>
      </c>
      <c r="AP16" s="2" t="str">
        <f ca="1">IFERROR(__xludf.DUMMYFUNCTION("""COMPUTED_VALUE"""),"")</f>
        <v/>
      </c>
      <c r="AQ16" s="2" t="str">
        <f ca="1">IFERROR(__xludf.DUMMYFUNCTION("""COMPUTED_VALUE"""),"")</f>
        <v/>
      </c>
      <c r="AR16" s="2" t="str">
        <f ca="1">IFERROR(__xludf.DUMMYFUNCTION("""COMPUTED_VALUE"""),"")</f>
        <v/>
      </c>
      <c r="AS16" s="2" t="str">
        <f ca="1">IFERROR(__xludf.DUMMYFUNCTION("""COMPUTED_VALUE"""),"")</f>
        <v/>
      </c>
      <c r="AT16" s="2" t="str">
        <f ca="1">IFERROR(__xludf.DUMMYFUNCTION("""COMPUTED_VALUE"""),"")</f>
        <v/>
      </c>
      <c r="AU16" s="2" t="str">
        <f ca="1">IFERROR(__xludf.DUMMYFUNCTION("""COMPUTED_VALUE"""),"Estuary mergin East WMR (where she was nesting in December). Flying around")</f>
        <v>Estuary mergin East WMR (where she was nesting in December). Flying around</v>
      </c>
      <c r="AV16" s="2" t="str">
        <f ca="1">IFERROR(__xludf.DUMMYFUNCTION("""COMPUTED_VALUE"""),"")</f>
        <v/>
      </c>
      <c r="AW16" s="2" t="str">
        <f ca="1">IFERROR(__xludf.DUMMYFUNCTION("""COMPUTED_VALUE"""),"")</f>
        <v/>
      </c>
      <c r="AX16" s="2" t="str">
        <f ca="1">IFERROR(__xludf.DUMMYFUNCTION("""COMPUTED_VALUE"""),"")</f>
        <v/>
      </c>
      <c r="AY16" s="2" t="str">
        <f ca="1">IFERROR(__xludf.DUMMYFUNCTION("""COMPUTED_VALUE"""),"")</f>
        <v/>
      </c>
      <c r="AZ16" s="2" t="str">
        <f ca="1">IFERROR(__xludf.DUMMYFUNCTION("""COMPUTED_VALUE"""),"")</f>
        <v/>
      </c>
      <c r="BA16" s="2" t="str">
        <f ca="1">IFERROR(__xludf.DUMMYFUNCTION("""COMPUTED_VALUE"""),"")</f>
        <v/>
      </c>
      <c r="BB16" s="2" t="str">
        <f ca="1">IFERROR(__xludf.DUMMYFUNCTION("""COMPUTED_VALUE"""),"")</f>
        <v/>
      </c>
      <c r="BC16" s="2" t="str">
        <f ca="1">IFERROR(__xludf.DUMMYFUNCTION("""COMPUTED_VALUE"""),"")</f>
        <v/>
      </c>
      <c r="BD16" s="2" t="str">
        <f ca="1">IFERROR(__xludf.DUMMYFUNCTION("""COMPUTED_VALUE"""),"")</f>
        <v/>
      </c>
      <c r="BE16" s="2" t="str">
        <f ca="1">IFERROR(__xludf.DUMMYFUNCTION("""COMPUTED_VALUE"""),"")</f>
        <v/>
      </c>
      <c r="BF16" t="str">
        <f ca="1">IFERROR(__xludf.DUMMYFUNCTION("""COMPUTED_VALUE"""),"")</f>
        <v/>
      </c>
      <c r="BG16" t="str">
        <f ca="1">IFERROR(__xludf.DUMMYFUNCTION("""COMPUTED_VALUE"""),"")</f>
        <v/>
      </c>
      <c r="BH16" t="str">
        <f ca="1">IFERROR(__xludf.DUMMYFUNCTION("""COMPUTED_VALUE"""),"")</f>
        <v/>
      </c>
      <c r="BI16" t="str">
        <f ca="1">IFERROR(__xludf.DUMMYFUNCTION("""COMPUTED_VALUE"""),"")</f>
        <v/>
      </c>
      <c r="BJ16" s="3" t="str">
        <f ca="1">IFERROR(__xludf.DUMMYFUNCTION("""COMPUTED_VALUE"""),"")</f>
        <v/>
      </c>
    </row>
    <row r="17" spans="1:62" ht="15.75" customHeight="1" x14ac:dyDescent="0.25">
      <c r="A17" s="6">
        <f ca="1">IFERROR(__xludf.DUMMYFUNCTION("""COMPUTED_VALUE"""),43200.4668745486)</f>
        <v>43200.466874548598</v>
      </c>
      <c r="B17" s="2" t="str">
        <f ca="1">IFERROR(__xludf.DUMMYFUNCTION("""COMPUTED_VALUE"""),"Bay of Plenty")</f>
        <v>Bay of Plenty</v>
      </c>
      <c r="C17" s="2" t="str">
        <f ca="1">IFERROR(__xludf.DUMMYFUNCTION("""COMPUTED_VALUE"""),"Tx 38 - Pearl")</f>
        <v>Tx 38 - Pearl</v>
      </c>
      <c r="D17" s="10">
        <f ca="1">IFERROR(__xludf.DUMMYFUNCTION("""COMPUTED_VALUE"""),43198)</f>
        <v>43198</v>
      </c>
      <c r="E17" s="4">
        <f ca="1">IFERROR(__xludf.DUMMYFUNCTION("""COMPUTED_VALUE"""),0.6875)</f>
        <v>0.6875</v>
      </c>
      <c r="F17" s="2" t="str">
        <f ca="1">IFERROR(__xludf.DUMMYFUNCTION("""COMPUTED_VALUE"""),"Little Waihi")</f>
        <v>Little Waihi</v>
      </c>
      <c r="G17" s="2" t="str">
        <f ca="1">IFERROR(__xludf.DUMMYFUNCTION("""COMPUTED_VALUE"""),"VHF (close approach): I followed the signal until I got within 50 m of the bird")</f>
        <v>VHF (close approach): I followed the signal until I got within 50 m of the bird</v>
      </c>
      <c r="H17" s="2" t="str">
        <f ca="1">IFERROR(__xludf.DUMMYFUNCTION("""COMPUTED_VALUE"""),"")</f>
        <v/>
      </c>
      <c r="I17" s="2" t="str">
        <f ca="1">IFERROR(__xludf.DUMMYFUNCTION("""COMPUTED_VALUE"""),"")</f>
        <v/>
      </c>
      <c r="J17" s="2" t="str">
        <f ca="1">IFERROR(__xludf.DUMMYFUNCTION("""COMPUTED_VALUE"""),"")</f>
        <v/>
      </c>
      <c r="K17" s="2" t="str">
        <f ca="1">IFERROR(__xludf.DUMMYFUNCTION("""COMPUTED_VALUE"""),"")</f>
        <v/>
      </c>
      <c r="L17" s="2" t="str">
        <f ca="1">IFERROR(__xludf.DUMMYFUNCTION("""COMPUTED_VALUE"""),"No - I got very close to the bird but it was well hidden in the vegetation")</f>
        <v>No - I got very close to the bird but it was well hidden in the vegetation</v>
      </c>
      <c r="M17" s="5">
        <f ca="1">IFERROR(__xludf.DUMMYFUNCTION("""COMPUTED_VALUE"""),1906994)</f>
        <v>1906994</v>
      </c>
      <c r="N17" s="5">
        <f ca="1">IFERROR(__xludf.DUMMYFUNCTION("""COMPUTED_VALUE"""),5812967)</f>
        <v>5812967</v>
      </c>
      <c r="O17" s="2" t="str">
        <f ca="1">IFERROR(__xludf.DUMMYFUNCTION("""COMPUTED_VALUE"""),"")</f>
        <v/>
      </c>
      <c r="P17" s="2" t="str">
        <f ca="1">IFERROR(__xludf.DUMMYFUNCTION("""COMPUTED_VALUE"""),"Yes")</f>
        <v>Yes</v>
      </c>
      <c r="Q17" s="2" t="str">
        <f ca="1">IFERROR(__xludf.DUMMYFUNCTION("""COMPUTED_VALUE"""),"Dry")</f>
        <v>Dry</v>
      </c>
      <c r="R17" s="2" t="str">
        <f ca="1">IFERROR(__xludf.DUMMYFUNCTION("""COMPUTED_VALUE"""),"1")</f>
        <v>1</v>
      </c>
      <c r="S17" s="2" t="str">
        <f ca="1">IFERROR(__xludf.DUMMYFUNCTION("""COMPUTED_VALUE"""),"10")</f>
        <v>10</v>
      </c>
      <c r="T17" s="2" t="str">
        <f ca="1">IFERROR(__xludf.DUMMYFUNCTION("""COMPUTED_VALUE"""),"rushes")</f>
        <v>rushes</v>
      </c>
      <c r="U17" s="2" t="str">
        <f ca="1">IFERROR(__xludf.DUMMYFUNCTION("""COMPUTED_VALUE"""),"transmitter distance is now only about 100m")</f>
        <v>transmitter distance is now only about 100m</v>
      </c>
      <c r="V17" s="2" t="str">
        <f ca="1">IFERROR(__xludf.DUMMYFUNCTION("""COMPUTED_VALUE"""),"")</f>
        <v/>
      </c>
      <c r="W17" s="2" t="str">
        <f ca="1">IFERROR(__xludf.DUMMYFUNCTION("""COMPUTED_VALUE"""),"")</f>
        <v/>
      </c>
      <c r="X17" s="2" t="str">
        <f ca="1">IFERROR(__xludf.DUMMYFUNCTION("""COMPUTED_VALUE"""),"")</f>
        <v/>
      </c>
      <c r="Y17" s="2" t="str">
        <f ca="1">IFERROR(__xludf.DUMMYFUNCTION("""COMPUTED_VALUE"""),"")</f>
        <v/>
      </c>
      <c r="Z17" s="2" t="str">
        <f ca="1">IFERROR(__xludf.DUMMYFUNCTION("""COMPUTED_VALUE"""),"")</f>
        <v/>
      </c>
      <c r="AA17" s="2" t="str">
        <f ca="1">IFERROR(__xludf.DUMMYFUNCTION("""COMPUTED_VALUE"""),"")</f>
        <v/>
      </c>
      <c r="AB17" s="2" t="str">
        <f ca="1">IFERROR(__xludf.DUMMYFUNCTION("""COMPUTED_VALUE"""),"")</f>
        <v/>
      </c>
      <c r="AC17" s="2" t="str">
        <f ca="1">IFERROR(__xludf.DUMMYFUNCTION("""COMPUTED_VALUE"""),"")</f>
        <v/>
      </c>
      <c r="AD17" s="2" t="str">
        <f ca="1">IFERROR(__xludf.DUMMYFUNCTION("""COMPUTED_VALUE"""),"")</f>
        <v/>
      </c>
      <c r="AE17" s="2" t="str">
        <f ca="1">IFERROR(__xludf.DUMMYFUNCTION("""COMPUTED_VALUE"""),"")</f>
        <v/>
      </c>
      <c r="AF17" s="2" t="str">
        <f ca="1">IFERROR(__xludf.DUMMYFUNCTION("""COMPUTED_VALUE"""),"")</f>
        <v/>
      </c>
      <c r="AG17" s="2" t="str">
        <f ca="1">IFERROR(__xludf.DUMMYFUNCTION("""COMPUTED_VALUE"""),"")</f>
        <v/>
      </c>
      <c r="AH17" s="2" t="str">
        <f ca="1">IFERROR(__xludf.DUMMYFUNCTION("""COMPUTED_VALUE"""),"")</f>
        <v/>
      </c>
      <c r="AI17" s="2" t="str">
        <f ca="1">IFERROR(__xludf.DUMMYFUNCTION("""COMPUTED_VALUE"""),"")</f>
        <v/>
      </c>
      <c r="AJ17" s="2" t="str">
        <f ca="1">IFERROR(__xludf.DUMMYFUNCTION("""COMPUTED_VALUE"""),"")</f>
        <v/>
      </c>
      <c r="AK17" s="2" t="str">
        <f ca="1">IFERROR(__xludf.DUMMYFUNCTION("""COMPUTED_VALUE"""),"")</f>
        <v/>
      </c>
      <c r="AL17" s="2" t="str">
        <f ca="1">IFERROR(__xludf.DUMMYFUNCTION("""COMPUTED_VALUE"""),"")</f>
        <v/>
      </c>
      <c r="AM17" s="2" t="str">
        <f ca="1">IFERROR(__xludf.DUMMYFUNCTION("""COMPUTED_VALUE"""),"")</f>
        <v/>
      </c>
      <c r="AN17" s="2" t="str">
        <f ca="1">IFERROR(__xludf.DUMMYFUNCTION("""COMPUTED_VALUE"""),"")</f>
        <v/>
      </c>
      <c r="AO17" s="2" t="str">
        <f ca="1">IFERROR(__xludf.DUMMYFUNCTION("""COMPUTED_VALUE"""),"")</f>
        <v/>
      </c>
      <c r="AP17" s="2" t="str">
        <f ca="1">IFERROR(__xludf.DUMMYFUNCTION("""COMPUTED_VALUE"""),"")</f>
        <v/>
      </c>
      <c r="AQ17" s="2" t="str">
        <f ca="1">IFERROR(__xludf.DUMMYFUNCTION("""COMPUTED_VALUE"""),"")</f>
        <v/>
      </c>
      <c r="AR17" s="2" t="str">
        <f ca="1">IFERROR(__xludf.DUMMYFUNCTION("""COMPUTED_VALUE"""),"")</f>
        <v/>
      </c>
      <c r="AS17" s="2" t="str">
        <f ca="1">IFERROR(__xludf.DUMMYFUNCTION("""COMPUTED_VALUE"""),"")</f>
        <v/>
      </c>
      <c r="AT17" s="2" t="str">
        <f ca="1">IFERROR(__xludf.DUMMYFUNCTION("""COMPUTED_VALUE"""),"")</f>
        <v/>
      </c>
      <c r="AU17" s="2" t="str">
        <f ca="1">IFERROR(__xludf.DUMMYFUNCTION("""COMPUTED_VALUE"""),"")</f>
        <v/>
      </c>
      <c r="AV17" s="2" t="str">
        <f ca="1">IFERROR(__xludf.DUMMYFUNCTION("""COMPUTED_VALUE"""),"")</f>
        <v/>
      </c>
      <c r="AW17" s="2" t="str">
        <f ca="1">IFERROR(__xludf.DUMMYFUNCTION("""COMPUTED_VALUE"""),"")</f>
        <v/>
      </c>
      <c r="AX17" s="2" t="str">
        <f ca="1">IFERROR(__xludf.DUMMYFUNCTION("""COMPUTED_VALUE"""),"")</f>
        <v/>
      </c>
      <c r="AY17" s="2" t="str">
        <f ca="1">IFERROR(__xludf.DUMMYFUNCTION("""COMPUTED_VALUE"""),"")</f>
        <v/>
      </c>
      <c r="AZ17" s="2" t="str">
        <f ca="1">IFERROR(__xludf.DUMMYFUNCTION("""COMPUTED_VALUE"""),"")</f>
        <v/>
      </c>
      <c r="BA17" s="2" t="str">
        <f ca="1">IFERROR(__xludf.DUMMYFUNCTION("""COMPUTED_VALUE"""),"")</f>
        <v/>
      </c>
      <c r="BB17" s="2" t="str">
        <f ca="1">IFERROR(__xludf.DUMMYFUNCTION("""COMPUTED_VALUE"""),"")</f>
        <v/>
      </c>
      <c r="BC17" s="2" t="str">
        <f ca="1">IFERROR(__xludf.DUMMYFUNCTION("""COMPUTED_VALUE"""),"")</f>
        <v/>
      </c>
      <c r="BD17" s="2" t="str">
        <f ca="1">IFERROR(__xludf.DUMMYFUNCTION("""COMPUTED_VALUE"""),"")</f>
        <v/>
      </c>
      <c r="BE17" s="2" t="str">
        <f ca="1">IFERROR(__xludf.DUMMYFUNCTION("""COMPUTED_VALUE"""),"")</f>
        <v/>
      </c>
      <c r="BF17" t="str">
        <f ca="1">IFERROR(__xludf.DUMMYFUNCTION("""COMPUTED_VALUE"""),"")</f>
        <v/>
      </c>
      <c r="BG17" t="str">
        <f ca="1">IFERROR(__xludf.DUMMYFUNCTION("""COMPUTED_VALUE"""),"")</f>
        <v/>
      </c>
      <c r="BH17" t="str">
        <f ca="1">IFERROR(__xludf.DUMMYFUNCTION("""COMPUTED_VALUE"""),"")</f>
        <v/>
      </c>
      <c r="BI17" t="str">
        <f ca="1">IFERROR(__xludf.DUMMYFUNCTION("""COMPUTED_VALUE"""),"")</f>
        <v/>
      </c>
      <c r="BJ17" s="3" t="str">
        <f ca="1">IFERROR(__xludf.DUMMYFUNCTION("""COMPUTED_VALUE"""),"")</f>
        <v/>
      </c>
    </row>
    <row r="18" spans="1:62" ht="15.75" customHeight="1" x14ac:dyDescent="0.25">
      <c r="A18" s="6">
        <f ca="1">IFERROR(__xludf.DUMMYFUNCTION("""COMPUTED_VALUE"""),43200.4757694212)</f>
        <v>43200.475769421202</v>
      </c>
      <c r="B18" s="2" t="str">
        <f ca="1">IFERROR(__xludf.DUMMYFUNCTION("""COMPUTED_VALUE"""),"Bay of Plenty")</f>
        <v>Bay of Plenty</v>
      </c>
      <c r="C18" s="2" t="str">
        <f ca="1">IFERROR(__xludf.DUMMYFUNCTION("""COMPUTED_VALUE"""),"Tx 17")</f>
        <v>Tx 17</v>
      </c>
      <c r="D18" s="10">
        <f ca="1">IFERROR(__xludf.DUMMYFUNCTION("""COMPUTED_VALUE"""),43198)</f>
        <v>43198</v>
      </c>
      <c r="E18" s="4">
        <f ca="1">IFERROR(__xludf.DUMMYFUNCTION("""COMPUTED_VALUE"""),0.6875)</f>
        <v>0.6875</v>
      </c>
      <c r="F18" s="2" t="str">
        <f ca="1">IFERROR(__xludf.DUMMYFUNCTION("""COMPUTED_VALUE"""),"Little Waihi")</f>
        <v>Little Waihi</v>
      </c>
      <c r="G18" s="2" t="str">
        <f ca="1">IFERROR(__xludf.DUMMYFUNCTION("""COMPUTED_VALUE"""),"VHF (triangulation): I triangulated the bird with at least three bearings")</f>
        <v>VHF (triangulation): I triangulated the bird with at least three bearings</v>
      </c>
      <c r="H18" s="2" t="str">
        <f ca="1">IFERROR(__xludf.DUMMYFUNCTION("""COMPUTED_VALUE"""),"")</f>
        <v/>
      </c>
      <c r="I18" s="2" t="str">
        <f ca="1">IFERROR(__xludf.DUMMYFUNCTION("""COMPUTED_VALUE"""),"")</f>
        <v/>
      </c>
      <c r="J18" s="2" t="str">
        <f ca="1">IFERROR(__xludf.DUMMYFUNCTION("""COMPUTED_VALUE"""),"")</f>
        <v/>
      </c>
      <c r="K18" s="2" t="str">
        <f ca="1">IFERROR(__xludf.DUMMYFUNCTION("""COMPUTED_VALUE"""),"")</f>
        <v/>
      </c>
      <c r="L18" s="2" t="str">
        <f ca="1">IFERROR(__xludf.DUMMYFUNCTION("""COMPUTED_VALUE"""),"")</f>
        <v/>
      </c>
      <c r="M18" s="5" t="str">
        <f ca="1">IFERROR(__xludf.DUMMYFUNCTION("""COMPUTED_VALUE"""),"")</f>
        <v/>
      </c>
      <c r="N18" s="5" t="str">
        <f ca="1">IFERROR(__xludf.DUMMYFUNCTION("""COMPUTED_VALUE"""),"")</f>
        <v/>
      </c>
      <c r="O18" s="2" t="str">
        <f ca="1">IFERROR(__xludf.DUMMYFUNCTION("""COMPUTED_VALUE"""),"")</f>
        <v/>
      </c>
      <c r="P18" s="2" t="str">
        <f ca="1">IFERROR(__xludf.DUMMYFUNCTION("""COMPUTED_VALUE"""),"")</f>
        <v/>
      </c>
      <c r="Q18" s="2" t="str">
        <f ca="1">IFERROR(__xludf.DUMMYFUNCTION("""COMPUTED_VALUE"""),"")</f>
        <v/>
      </c>
      <c r="R18" s="2" t="str">
        <f ca="1">IFERROR(__xludf.DUMMYFUNCTION("""COMPUTED_VALUE"""),"")</f>
        <v/>
      </c>
      <c r="S18" s="2" t="str">
        <f ca="1">IFERROR(__xludf.DUMMYFUNCTION("""COMPUTED_VALUE"""),"")</f>
        <v/>
      </c>
      <c r="T18" s="2" t="str">
        <f ca="1">IFERROR(__xludf.DUMMYFUNCTION("""COMPUTED_VALUE"""),"")</f>
        <v/>
      </c>
      <c r="U18" s="2" t="str">
        <f ca="1">IFERROR(__xludf.DUMMYFUNCTION("""COMPUTED_VALUE"""),"")</f>
        <v/>
      </c>
      <c r="V18" s="2" t="str">
        <f ca="1">IFERROR(__xludf.DUMMYFUNCTION("""COMPUTED_VALUE"""),"")</f>
        <v/>
      </c>
      <c r="W18" s="2" t="str">
        <f ca="1">IFERROR(__xludf.DUMMYFUNCTION("""COMPUTED_VALUE"""),"")</f>
        <v/>
      </c>
      <c r="X18" s="2" t="str">
        <f ca="1">IFERROR(__xludf.DUMMYFUNCTION("""COMPUTED_VALUE"""),"")</f>
        <v/>
      </c>
      <c r="Y18" s="2" t="str">
        <f ca="1">IFERROR(__xludf.DUMMYFUNCTION("""COMPUTED_VALUE"""),"")</f>
        <v/>
      </c>
      <c r="Z18" s="2" t="str">
        <f ca="1">IFERROR(__xludf.DUMMYFUNCTION("""COMPUTED_VALUE"""),"")</f>
        <v/>
      </c>
      <c r="AA18" s="2">
        <f ca="1">IFERROR(__xludf.DUMMYFUNCTION("""COMPUTED_VALUE"""),1907650)</f>
        <v>1907650</v>
      </c>
      <c r="AB18" s="2">
        <f ca="1">IFERROR(__xludf.DUMMYFUNCTION("""COMPUTED_VALUE"""),5814148)</f>
        <v>5814148</v>
      </c>
      <c r="AC18" s="2">
        <f ca="1">IFERROR(__xludf.DUMMYFUNCTION("""COMPUTED_VALUE"""),220)</f>
        <v>220</v>
      </c>
      <c r="AD18" s="2" t="str">
        <f ca="1">IFERROR(__xludf.DUMMYFUNCTION("""COMPUTED_VALUE"""),"Weak - I could barely hear it.")</f>
        <v>Weak - I could barely hear it.</v>
      </c>
      <c r="AE18" s="2">
        <f ca="1">IFERROR(__xludf.DUMMYFUNCTION("""COMPUTED_VALUE"""),1907681)</f>
        <v>1907681</v>
      </c>
      <c r="AF18" s="2">
        <f ca="1">IFERROR(__xludf.DUMMYFUNCTION("""COMPUTED_VALUE"""),5812258)</f>
        <v>5812258</v>
      </c>
      <c r="AG18" s="2">
        <f ca="1">IFERROR(__xludf.DUMMYFUNCTION("""COMPUTED_VALUE"""),260)</f>
        <v>260</v>
      </c>
      <c r="AH18" s="2" t="str">
        <f ca="1">IFERROR(__xludf.DUMMYFUNCTION("""COMPUTED_VALUE"""),"Weak - I could barely hear it.")</f>
        <v>Weak - I could barely hear it.</v>
      </c>
      <c r="AI18" s="2">
        <f ca="1">IFERROR(__xludf.DUMMYFUNCTION("""COMPUTED_VALUE"""),1906994)</f>
        <v>1906994</v>
      </c>
      <c r="AJ18" s="2">
        <f ca="1">IFERROR(__xludf.DUMMYFUNCTION("""COMPUTED_VALUE"""),5812967)</f>
        <v>5812967</v>
      </c>
      <c r="AK18" s="2">
        <f ca="1">IFERROR(__xludf.DUMMYFUNCTION("""COMPUTED_VALUE"""),290)</f>
        <v>290</v>
      </c>
      <c r="AL18" s="2" t="str">
        <f ca="1">IFERROR(__xludf.DUMMYFUNCTION("""COMPUTED_VALUE"""),"Strong - I got a lovely, clear, strong signal.")</f>
        <v>Strong - I got a lovely, clear, strong signal.</v>
      </c>
      <c r="AM18" s="2" t="str">
        <f ca="1">IFERROR(__xludf.DUMMYFUNCTION("""COMPUTED_VALUE"""),"")</f>
        <v/>
      </c>
      <c r="AN18" s="2" t="str">
        <f ca="1">IFERROR(__xludf.DUMMYFUNCTION("""COMPUTED_VALUE"""),"")</f>
        <v/>
      </c>
      <c r="AO18" s="2" t="str">
        <f ca="1">IFERROR(__xludf.DUMMYFUNCTION("""COMPUTED_VALUE"""),"")</f>
        <v/>
      </c>
      <c r="AP18" s="2" t="str">
        <f ca="1">IFERROR(__xludf.DUMMYFUNCTION("""COMPUTED_VALUE"""),"")</f>
        <v/>
      </c>
      <c r="AQ18" s="2" t="str">
        <f ca="1">IFERROR(__xludf.DUMMYFUNCTION("""COMPUTED_VALUE"""),"")</f>
        <v/>
      </c>
      <c r="AR18" s="2" t="str">
        <f ca="1">IFERROR(__xludf.DUMMYFUNCTION("""COMPUTED_VALUE"""),"")</f>
        <v/>
      </c>
      <c r="AS18" s="2" t="str">
        <f ca="1">IFERROR(__xludf.DUMMYFUNCTION("""COMPUTED_VALUE"""),"")</f>
        <v/>
      </c>
      <c r="AT18" s="2" t="str">
        <f ca="1">IFERROR(__xludf.DUMMYFUNCTION("""COMPUTED_VALUE"""),"")</f>
        <v/>
      </c>
      <c r="AU18" s="2" t="str">
        <f ca="1">IFERROR(__xludf.DUMMYFUNCTION("""COMPUTED_VALUE"""),"Same spot in the western WMR")</f>
        <v>Same spot in the western WMR</v>
      </c>
      <c r="AV18" s="2" t="str">
        <f ca="1">IFERROR(__xludf.DUMMYFUNCTION("""COMPUTED_VALUE"""),"")</f>
        <v/>
      </c>
      <c r="AW18" s="2" t="str">
        <f ca="1">IFERROR(__xludf.DUMMYFUNCTION("""COMPUTED_VALUE"""),"")</f>
        <v/>
      </c>
      <c r="AX18" s="2" t="str">
        <f ca="1">IFERROR(__xludf.DUMMYFUNCTION("""COMPUTED_VALUE"""),"")</f>
        <v/>
      </c>
      <c r="AY18" s="2" t="str">
        <f ca="1">IFERROR(__xludf.DUMMYFUNCTION("""COMPUTED_VALUE"""),"")</f>
        <v/>
      </c>
      <c r="AZ18" s="2" t="str">
        <f ca="1">IFERROR(__xludf.DUMMYFUNCTION("""COMPUTED_VALUE"""),"")</f>
        <v/>
      </c>
      <c r="BA18" s="2" t="str">
        <f ca="1">IFERROR(__xludf.DUMMYFUNCTION("""COMPUTED_VALUE"""),"")</f>
        <v/>
      </c>
      <c r="BB18" s="2" t="str">
        <f ca="1">IFERROR(__xludf.DUMMYFUNCTION("""COMPUTED_VALUE"""),"")</f>
        <v/>
      </c>
      <c r="BC18" s="2" t="str">
        <f ca="1">IFERROR(__xludf.DUMMYFUNCTION("""COMPUTED_VALUE"""),"")</f>
        <v/>
      </c>
      <c r="BD18" s="2" t="str">
        <f ca="1">IFERROR(__xludf.DUMMYFUNCTION("""COMPUTED_VALUE"""),"")</f>
        <v/>
      </c>
      <c r="BE18" s="2" t="str">
        <f ca="1">IFERROR(__xludf.DUMMYFUNCTION("""COMPUTED_VALUE"""),"")</f>
        <v/>
      </c>
      <c r="BF18" t="str">
        <f ca="1">IFERROR(__xludf.DUMMYFUNCTION("""COMPUTED_VALUE"""),"")</f>
        <v/>
      </c>
      <c r="BG18" t="str">
        <f ca="1">IFERROR(__xludf.DUMMYFUNCTION("""COMPUTED_VALUE"""),"")</f>
        <v/>
      </c>
      <c r="BH18" t="str">
        <f ca="1">IFERROR(__xludf.DUMMYFUNCTION("""COMPUTED_VALUE"""),"")</f>
        <v/>
      </c>
      <c r="BI18" t="str">
        <f ca="1">IFERROR(__xludf.DUMMYFUNCTION("""COMPUTED_VALUE"""),"")</f>
        <v/>
      </c>
      <c r="BJ18" s="3" t="str">
        <f ca="1">IFERROR(__xludf.DUMMYFUNCTION("""COMPUTED_VALUE"""),"")</f>
        <v/>
      </c>
    </row>
    <row r="19" spans="1:62" ht="15.75" customHeight="1" x14ac:dyDescent="0.25">
      <c r="A19" s="6">
        <f ca="1">IFERROR(__xludf.DUMMYFUNCTION("""COMPUTED_VALUE"""),43221.4407473958)</f>
        <v>43221.440747395798</v>
      </c>
      <c r="B19" s="2" t="str">
        <f ca="1">IFERROR(__xludf.DUMMYFUNCTION("""COMPUTED_VALUE"""),"Bay of Plenty")</f>
        <v>Bay of Plenty</v>
      </c>
      <c r="C19" s="2" t="str">
        <f ca="1">IFERROR(__xludf.DUMMYFUNCTION("""COMPUTED_VALUE"""),"Tx 17")</f>
        <v>Tx 17</v>
      </c>
      <c r="D19" s="10">
        <f ca="1">IFERROR(__xludf.DUMMYFUNCTION("""COMPUTED_VALUE"""),43220)</f>
        <v>43220</v>
      </c>
      <c r="E19" s="4">
        <f ca="1">IFERROR(__xludf.DUMMYFUNCTION("""COMPUTED_VALUE"""),0.604166666667879)</f>
        <v>0.60416666666787899</v>
      </c>
      <c r="F19" s="2" t="str">
        <f ca="1">IFERROR(__xludf.DUMMYFUNCTION("""COMPUTED_VALUE"""),"Little Waihi")</f>
        <v>Little Waihi</v>
      </c>
      <c r="G19" s="2" t="str">
        <f ca="1">IFERROR(__xludf.DUMMYFUNCTION("""COMPUTED_VALUE"""),"VHF (triangulation): I triangulated the bird with at least three bearings")</f>
        <v>VHF (triangulation): I triangulated the bird with at least three bearings</v>
      </c>
      <c r="H19" s="2" t="str">
        <f ca="1">IFERROR(__xludf.DUMMYFUNCTION("""COMPUTED_VALUE"""),"")</f>
        <v/>
      </c>
      <c r="I19" s="2" t="str">
        <f ca="1">IFERROR(__xludf.DUMMYFUNCTION("""COMPUTED_VALUE"""),"")</f>
        <v/>
      </c>
      <c r="J19" s="2" t="str">
        <f ca="1">IFERROR(__xludf.DUMMYFUNCTION("""COMPUTED_VALUE"""),"")</f>
        <v/>
      </c>
      <c r="K19" s="2" t="str">
        <f ca="1">IFERROR(__xludf.DUMMYFUNCTION("""COMPUTED_VALUE"""),"")</f>
        <v/>
      </c>
      <c r="L19" s="2" t="str">
        <f ca="1">IFERROR(__xludf.DUMMYFUNCTION("""COMPUTED_VALUE"""),"")</f>
        <v/>
      </c>
      <c r="M19" s="5" t="str">
        <f ca="1">IFERROR(__xludf.DUMMYFUNCTION("""COMPUTED_VALUE"""),"")</f>
        <v/>
      </c>
      <c r="N19" s="5" t="str">
        <f ca="1">IFERROR(__xludf.DUMMYFUNCTION("""COMPUTED_VALUE"""),"")</f>
        <v/>
      </c>
      <c r="O19" s="2" t="str">
        <f ca="1">IFERROR(__xludf.DUMMYFUNCTION("""COMPUTED_VALUE"""),"")</f>
        <v/>
      </c>
      <c r="P19" s="2" t="str">
        <f ca="1">IFERROR(__xludf.DUMMYFUNCTION("""COMPUTED_VALUE"""),"")</f>
        <v/>
      </c>
      <c r="Q19" s="2" t="str">
        <f ca="1">IFERROR(__xludf.DUMMYFUNCTION("""COMPUTED_VALUE"""),"")</f>
        <v/>
      </c>
      <c r="R19" s="2" t="str">
        <f ca="1">IFERROR(__xludf.DUMMYFUNCTION("""COMPUTED_VALUE"""),"")</f>
        <v/>
      </c>
      <c r="S19" s="2" t="str">
        <f ca="1">IFERROR(__xludf.DUMMYFUNCTION("""COMPUTED_VALUE"""),"")</f>
        <v/>
      </c>
      <c r="T19" s="2" t="str">
        <f ca="1">IFERROR(__xludf.DUMMYFUNCTION("""COMPUTED_VALUE"""),"")</f>
        <v/>
      </c>
      <c r="U19" s="2" t="str">
        <f ca="1">IFERROR(__xludf.DUMMYFUNCTION("""COMPUTED_VALUE"""),"")</f>
        <v/>
      </c>
      <c r="V19" s="2" t="str">
        <f ca="1">IFERROR(__xludf.DUMMYFUNCTION("""COMPUTED_VALUE"""),"")</f>
        <v/>
      </c>
      <c r="W19" s="2" t="str">
        <f ca="1">IFERROR(__xludf.DUMMYFUNCTION("""COMPUTED_VALUE"""),"")</f>
        <v/>
      </c>
      <c r="X19" s="2" t="str">
        <f ca="1">IFERROR(__xludf.DUMMYFUNCTION("""COMPUTED_VALUE"""),"")</f>
        <v/>
      </c>
      <c r="Y19" s="2" t="str">
        <f ca="1">IFERROR(__xludf.DUMMYFUNCTION("""COMPUTED_VALUE"""),"")</f>
        <v/>
      </c>
      <c r="Z19" s="2" t="str">
        <f ca="1">IFERROR(__xludf.DUMMYFUNCTION("""COMPUTED_VALUE"""),"")</f>
        <v/>
      </c>
      <c r="AA19" s="2">
        <f ca="1">IFERROR(__xludf.DUMMYFUNCTION("""COMPUTED_VALUE"""),1907681)</f>
        <v>1907681</v>
      </c>
      <c r="AB19" s="2">
        <f ca="1">IFERROR(__xludf.DUMMYFUNCTION("""COMPUTED_VALUE"""),5812258)</f>
        <v>5812258</v>
      </c>
      <c r="AC19" s="2">
        <f ca="1">IFERROR(__xludf.DUMMYFUNCTION("""COMPUTED_VALUE"""),240)</f>
        <v>240</v>
      </c>
      <c r="AD19" s="2" t="str">
        <f ca="1">IFERROR(__xludf.DUMMYFUNCTION("""COMPUTED_VALUE"""),"Strong - I got a lovely, clear, strong signal.")</f>
        <v>Strong - I got a lovely, clear, strong signal.</v>
      </c>
      <c r="AE19" s="2">
        <f ca="1">IFERROR(__xludf.DUMMYFUNCTION("""COMPUTED_VALUE"""),1907547)</f>
        <v>1907547</v>
      </c>
      <c r="AF19" s="2">
        <f ca="1">IFERROR(__xludf.DUMMYFUNCTION("""COMPUTED_VALUE"""),5812875)</f>
        <v>5812875</v>
      </c>
      <c r="AG19" s="2">
        <f ca="1">IFERROR(__xludf.DUMMYFUNCTION("""COMPUTED_VALUE"""),190)</f>
        <v>190</v>
      </c>
      <c r="AH19" s="2" t="str">
        <f ca="1">IFERROR(__xludf.DUMMYFUNCTION("""COMPUTED_VALUE"""),"Medium - Signal was good but bird was not close.")</f>
        <v>Medium - Signal was good but bird was not close.</v>
      </c>
      <c r="AI19" s="2">
        <f ca="1">IFERROR(__xludf.DUMMYFUNCTION("""COMPUTED_VALUE"""),1906994)</f>
        <v>1906994</v>
      </c>
      <c r="AJ19" s="2">
        <f ca="1">IFERROR(__xludf.DUMMYFUNCTION("""COMPUTED_VALUE"""),5812967)</f>
        <v>5812967</v>
      </c>
      <c r="AK19" s="2">
        <f ca="1">IFERROR(__xludf.DUMMYFUNCTION("""COMPUTED_VALUE"""),210)</f>
        <v>210</v>
      </c>
      <c r="AL19" s="2" t="str">
        <f ca="1">IFERROR(__xludf.DUMMYFUNCTION("""COMPUTED_VALUE"""),"Strong - I got a lovely, clear, strong signal.")</f>
        <v>Strong - I got a lovely, clear, strong signal.</v>
      </c>
      <c r="AM19" s="2" t="str">
        <f ca="1">IFERROR(__xludf.DUMMYFUNCTION("""COMPUTED_VALUE"""),"")</f>
        <v/>
      </c>
      <c r="AN19" s="2" t="str">
        <f ca="1">IFERROR(__xludf.DUMMYFUNCTION("""COMPUTED_VALUE"""),"")</f>
        <v/>
      </c>
      <c r="AO19" s="2" t="str">
        <f ca="1">IFERROR(__xludf.DUMMYFUNCTION("""COMPUTED_VALUE"""),"")</f>
        <v/>
      </c>
      <c r="AP19" s="2" t="str">
        <f ca="1">IFERROR(__xludf.DUMMYFUNCTION("""COMPUTED_VALUE"""),"")</f>
        <v/>
      </c>
      <c r="AQ19" s="2" t="str">
        <f ca="1">IFERROR(__xludf.DUMMYFUNCTION("""COMPUTED_VALUE"""),"")</f>
        <v/>
      </c>
      <c r="AR19" s="2" t="str">
        <f ca="1">IFERROR(__xludf.DUMMYFUNCTION("""COMPUTED_VALUE"""),"")</f>
        <v/>
      </c>
      <c r="AS19" s="2" t="str">
        <f ca="1">IFERROR(__xludf.DUMMYFUNCTION("""COMPUTED_VALUE"""),"")</f>
        <v/>
      </c>
      <c r="AT19" s="2" t="str">
        <f ca="1">IFERROR(__xludf.DUMMYFUNCTION("""COMPUTED_VALUE"""),"")</f>
        <v/>
      </c>
      <c r="AU19" s="2" t="str">
        <f ca="1">IFERROR(__xludf.DUMMYFUNCTION("""COMPUTED_VALUE"""),"Observed another bittern feeding in a drain at close quarters, but got no signal. Photo sent by email. Heavy rain two days prior, and estuary levels elevated.")</f>
        <v>Observed another bittern feeding in a drain at close quarters, but got no signal. Photo sent by email. Heavy rain two days prior, and estuary levels elevated.</v>
      </c>
      <c r="AV19" s="2" t="str">
        <f ca="1">IFERROR(__xludf.DUMMYFUNCTION("""COMPUTED_VALUE"""),"")</f>
        <v/>
      </c>
      <c r="AW19" s="2" t="str">
        <f ca="1">IFERROR(__xludf.DUMMYFUNCTION("""COMPUTED_VALUE"""),"")</f>
        <v/>
      </c>
      <c r="AX19" s="2" t="str">
        <f ca="1">IFERROR(__xludf.DUMMYFUNCTION("""COMPUTED_VALUE"""),"")</f>
        <v/>
      </c>
      <c r="AY19" s="2" t="str">
        <f ca="1">IFERROR(__xludf.DUMMYFUNCTION("""COMPUTED_VALUE"""),"")</f>
        <v/>
      </c>
      <c r="AZ19" s="2" t="str">
        <f ca="1">IFERROR(__xludf.DUMMYFUNCTION("""COMPUTED_VALUE"""),"")</f>
        <v/>
      </c>
      <c r="BA19" s="2" t="str">
        <f ca="1">IFERROR(__xludf.DUMMYFUNCTION("""COMPUTED_VALUE"""),"")</f>
        <v/>
      </c>
      <c r="BB19" s="2" t="str">
        <f ca="1">IFERROR(__xludf.DUMMYFUNCTION("""COMPUTED_VALUE"""),"")</f>
        <v/>
      </c>
      <c r="BC19" s="2" t="str">
        <f ca="1">IFERROR(__xludf.DUMMYFUNCTION("""COMPUTED_VALUE"""),"")</f>
        <v/>
      </c>
      <c r="BD19" s="2" t="str">
        <f ca="1">IFERROR(__xludf.DUMMYFUNCTION("""COMPUTED_VALUE"""),"")</f>
        <v/>
      </c>
      <c r="BE19" s="2" t="str">
        <f ca="1">IFERROR(__xludf.DUMMYFUNCTION("""COMPUTED_VALUE"""),"")</f>
        <v/>
      </c>
      <c r="BF19" t="str">
        <f ca="1">IFERROR(__xludf.DUMMYFUNCTION("""COMPUTED_VALUE"""),"")</f>
        <v/>
      </c>
      <c r="BG19" t="str">
        <f ca="1">IFERROR(__xludf.DUMMYFUNCTION("""COMPUTED_VALUE"""),"")</f>
        <v/>
      </c>
      <c r="BH19" t="str">
        <f ca="1">IFERROR(__xludf.DUMMYFUNCTION("""COMPUTED_VALUE"""),"")</f>
        <v/>
      </c>
      <c r="BI19" t="str">
        <f ca="1">IFERROR(__xludf.DUMMYFUNCTION("""COMPUTED_VALUE"""),"")</f>
        <v/>
      </c>
      <c r="BJ19" s="3" t="str">
        <f ca="1">IFERROR(__xludf.DUMMYFUNCTION("""COMPUTED_VALUE"""),"")</f>
        <v/>
      </c>
    </row>
    <row r="20" spans="1:62" ht="15.75" customHeight="1" x14ac:dyDescent="0.25">
      <c r="A20" s="6">
        <f ca="1">IFERROR(__xludf.DUMMYFUNCTION("""COMPUTED_VALUE"""),43227.6504078935)</f>
        <v>43227.650407893503</v>
      </c>
      <c r="B20" s="2" t="str">
        <f ca="1">IFERROR(__xludf.DUMMYFUNCTION("""COMPUTED_VALUE"""),"Bay of Plenty")</f>
        <v>Bay of Plenty</v>
      </c>
      <c r="C20" s="2" t="str">
        <f ca="1">IFERROR(__xludf.DUMMYFUNCTION("""COMPUTED_VALUE"""),"Tx 17")</f>
        <v>Tx 17</v>
      </c>
      <c r="D20" s="10">
        <f ca="1">IFERROR(__xludf.DUMMYFUNCTION("""COMPUTED_VALUE"""),43214)</f>
        <v>43214</v>
      </c>
      <c r="E20" s="4">
        <f ca="1">IFERROR(__xludf.DUMMYFUNCTION("""COMPUTED_VALUE"""),0.848611111112404)</f>
        <v>0.84861111111240395</v>
      </c>
      <c r="F20" s="2" t="str">
        <f ca="1">IFERROR(__xludf.DUMMYFUNCTION("""COMPUTED_VALUE"""),"Little Waihi")</f>
        <v>Little Waihi</v>
      </c>
      <c r="G20" s="2" t="str">
        <f ca="1">IFERROR(__xludf.DUMMYFUNCTION("""COMPUTED_VALUE"""),"VHF (close approach): I followed the signal until I got within 50 m of the bird")</f>
        <v>VHF (close approach): I followed the signal until I got within 50 m of the bird</v>
      </c>
      <c r="H20" s="2" t="str">
        <f ca="1">IFERROR(__xludf.DUMMYFUNCTION("""COMPUTED_VALUE"""),"")</f>
        <v/>
      </c>
      <c r="I20" s="2" t="str">
        <f ca="1">IFERROR(__xludf.DUMMYFUNCTION("""COMPUTED_VALUE"""),"")</f>
        <v/>
      </c>
      <c r="J20" s="2" t="str">
        <f ca="1">IFERROR(__xludf.DUMMYFUNCTION("""COMPUTED_VALUE"""),"")</f>
        <v/>
      </c>
      <c r="K20" s="2" t="str">
        <f ca="1">IFERROR(__xludf.DUMMYFUNCTION("""COMPUTED_VALUE"""),"")</f>
        <v/>
      </c>
      <c r="L20" s="2" t="str">
        <f ca="1">IFERROR(__xludf.DUMMYFUNCTION("""COMPUTED_VALUE"""),"Yes - it flushed")</f>
        <v>Yes - it flushed</v>
      </c>
      <c r="M20" s="5">
        <f ca="1">IFERROR(__xludf.DUMMYFUNCTION("""COMPUTED_VALUE"""),1907488)</f>
        <v>1907488</v>
      </c>
      <c r="N20" s="5">
        <f ca="1">IFERROR(__xludf.DUMMYFUNCTION("""COMPUTED_VALUE"""),5812976)</f>
        <v>5812976</v>
      </c>
      <c r="O20" s="2" t="str">
        <f ca="1">IFERROR(__xludf.DUMMYFUNCTION("""COMPUTED_VALUE"""),"")</f>
        <v/>
      </c>
      <c r="P20" s="2" t="str">
        <f ca="1">IFERROR(__xludf.DUMMYFUNCTION("""COMPUTED_VALUE"""),"No")</f>
        <v>No</v>
      </c>
      <c r="Q20" s="2" t="str">
        <f ca="1">IFERROR(__xludf.DUMMYFUNCTION("""COMPUTED_VALUE"""),"Wet")</f>
        <v>Wet</v>
      </c>
      <c r="R20" s="2" t="str">
        <f ca="1">IFERROR(__xludf.DUMMYFUNCTION("""COMPUTED_VALUE"""),"10 cm")</f>
        <v>10 cm</v>
      </c>
      <c r="S20" s="2" t="str">
        <f ca="1">IFERROR(__xludf.DUMMYFUNCTION("""COMPUTED_VALUE"""),"0")</f>
        <v>0</v>
      </c>
      <c r="T20" s="2" t="str">
        <f ca="1">IFERROR(__xludf.DUMMYFUNCTION("""COMPUTED_VALUE"""),"Jointed rush")</f>
        <v>Jointed rush</v>
      </c>
      <c r="U20" s="2" t="str">
        <f ca="1">IFERROR(__xludf.DUMMYFUNCTION("""COMPUTED_VALUE"""),"Flushed on purpose while we were trialling handheld thermal imagery camera. A second (unmarked bird) flushed at the same time from within 20 m of Tx 17 (Participants: Karl McCarthy; Rhys Burns and myself)")</f>
        <v>Flushed on purpose while we were trialling handheld thermal imagery camera. A second (unmarked bird) flushed at the same time from within 20 m of Tx 17 (Participants: Karl McCarthy; Rhys Burns and myself)</v>
      </c>
      <c r="V20" s="2" t="str">
        <f ca="1">IFERROR(__xludf.DUMMYFUNCTION("""COMPUTED_VALUE"""),"")</f>
        <v/>
      </c>
      <c r="W20" s="2" t="str">
        <f ca="1">IFERROR(__xludf.DUMMYFUNCTION("""COMPUTED_VALUE"""),"")</f>
        <v/>
      </c>
      <c r="X20" s="2" t="str">
        <f ca="1">IFERROR(__xludf.DUMMYFUNCTION("""COMPUTED_VALUE"""),"")</f>
        <v/>
      </c>
      <c r="Y20" s="2" t="str">
        <f ca="1">IFERROR(__xludf.DUMMYFUNCTION("""COMPUTED_VALUE"""),"")</f>
        <v/>
      </c>
      <c r="Z20" s="2" t="str">
        <f ca="1">IFERROR(__xludf.DUMMYFUNCTION("""COMPUTED_VALUE"""),"")</f>
        <v/>
      </c>
      <c r="AA20" s="2" t="str">
        <f ca="1">IFERROR(__xludf.DUMMYFUNCTION("""COMPUTED_VALUE"""),"")</f>
        <v/>
      </c>
      <c r="AB20" s="2" t="str">
        <f ca="1">IFERROR(__xludf.DUMMYFUNCTION("""COMPUTED_VALUE"""),"")</f>
        <v/>
      </c>
      <c r="AC20" s="2" t="str">
        <f ca="1">IFERROR(__xludf.DUMMYFUNCTION("""COMPUTED_VALUE"""),"")</f>
        <v/>
      </c>
      <c r="AD20" s="2" t="str">
        <f ca="1">IFERROR(__xludf.DUMMYFUNCTION("""COMPUTED_VALUE"""),"")</f>
        <v/>
      </c>
      <c r="AE20" s="2" t="str">
        <f ca="1">IFERROR(__xludf.DUMMYFUNCTION("""COMPUTED_VALUE"""),"")</f>
        <v/>
      </c>
      <c r="AF20" s="2" t="str">
        <f ca="1">IFERROR(__xludf.DUMMYFUNCTION("""COMPUTED_VALUE"""),"")</f>
        <v/>
      </c>
      <c r="AG20" s="2" t="str">
        <f ca="1">IFERROR(__xludf.DUMMYFUNCTION("""COMPUTED_VALUE"""),"")</f>
        <v/>
      </c>
      <c r="AH20" s="2" t="str">
        <f ca="1">IFERROR(__xludf.DUMMYFUNCTION("""COMPUTED_VALUE"""),"")</f>
        <v/>
      </c>
      <c r="AI20" s="2" t="str">
        <f ca="1">IFERROR(__xludf.DUMMYFUNCTION("""COMPUTED_VALUE"""),"")</f>
        <v/>
      </c>
      <c r="AJ20" s="2" t="str">
        <f ca="1">IFERROR(__xludf.DUMMYFUNCTION("""COMPUTED_VALUE"""),"")</f>
        <v/>
      </c>
      <c r="AK20" s="2" t="str">
        <f ca="1">IFERROR(__xludf.DUMMYFUNCTION("""COMPUTED_VALUE"""),"")</f>
        <v/>
      </c>
      <c r="AL20" s="2" t="str">
        <f ca="1">IFERROR(__xludf.DUMMYFUNCTION("""COMPUTED_VALUE"""),"")</f>
        <v/>
      </c>
      <c r="AM20" s="2" t="str">
        <f ca="1">IFERROR(__xludf.DUMMYFUNCTION("""COMPUTED_VALUE"""),"")</f>
        <v/>
      </c>
      <c r="AN20" s="2" t="str">
        <f ca="1">IFERROR(__xludf.DUMMYFUNCTION("""COMPUTED_VALUE"""),"")</f>
        <v/>
      </c>
      <c r="AO20" s="2" t="str">
        <f ca="1">IFERROR(__xludf.DUMMYFUNCTION("""COMPUTED_VALUE"""),"")</f>
        <v/>
      </c>
      <c r="AP20" s="2" t="str">
        <f ca="1">IFERROR(__xludf.DUMMYFUNCTION("""COMPUTED_VALUE"""),"")</f>
        <v/>
      </c>
      <c r="AQ20" s="2" t="str">
        <f ca="1">IFERROR(__xludf.DUMMYFUNCTION("""COMPUTED_VALUE"""),"")</f>
        <v/>
      </c>
      <c r="AR20" s="2" t="str">
        <f ca="1">IFERROR(__xludf.DUMMYFUNCTION("""COMPUTED_VALUE"""),"")</f>
        <v/>
      </c>
      <c r="AS20" s="2" t="str">
        <f ca="1">IFERROR(__xludf.DUMMYFUNCTION("""COMPUTED_VALUE"""),"")</f>
        <v/>
      </c>
      <c r="AT20" s="2" t="str">
        <f ca="1">IFERROR(__xludf.DUMMYFUNCTION("""COMPUTED_VALUE"""),"")</f>
        <v/>
      </c>
      <c r="AU20" s="2" t="str">
        <f ca="1">IFERROR(__xludf.DUMMYFUNCTION("""COMPUTED_VALUE"""),"")</f>
        <v/>
      </c>
      <c r="AV20" s="2" t="str">
        <f ca="1">IFERROR(__xludf.DUMMYFUNCTION("""COMPUTED_VALUE"""),"")</f>
        <v/>
      </c>
      <c r="AW20" s="2" t="str">
        <f ca="1">IFERROR(__xludf.DUMMYFUNCTION("""COMPUTED_VALUE"""),"")</f>
        <v/>
      </c>
      <c r="AX20" s="2" t="str">
        <f ca="1">IFERROR(__xludf.DUMMYFUNCTION("""COMPUTED_VALUE"""),"")</f>
        <v/>
      </c>
      <c r="AY20" s="2" t="str">
        <f ca="1">IFERROR(__xludf.DUMMYFUNCTION("""COMPUTED_VALUE"""),"")</f>
        <v/>
      </c>
      <c r="AZ20" s="2" t="str">
        <f ca="1">IFERROR(__xludf.DUMMYFUNCTION("""COMPUTED_VALUE"""),"")</f>
        <v/>
      </c>
      <c r="BA20" s="2" t="str">
        <f ca="1">IFERROR(__xludf.DUMMYFUNCTION("""COMPUTED_VALUE"""),"")</f>
        <v/>
      </c>
      <c r="BB20" s="2" t="str">
        <f ca="1">IFERROR(__xludf.DUMMYFUNCTION("""COMPUTED_VALUE"""),"")</f>
        <v/>
      </c>
      <c r="BC20" s="2" t="str">
        <f ca="1">IFERROR(__xludf.DUMMYFUNCTION("""COMPUTED_VALUE"""),"")</f>
        <v/>
      </c>
      <c r="BD20" s="2" t="str">
        <f ca="1">IFERROR(__xludf.DUMMYFUNCTION("""COMPUTED_VALUE"""),"")</f>
        <v/>
      </c>
      <c r="BE20" s="2" t="str">
        <f ca="1">IFERROR(__xludf.DUMMYFUNCTION("""COMPUTED_VALUE"""),"")</f>
        <v/>
      </c>
      <c r="BF20" t="str">
        <f ca="1">IFERROR(__xludf.DUMMYFUNCTION("""COMPUTED_VALUE"""),"")</f>
        <v/>
      </c>
      <c r="BG20" t="str">
        <f ca="1">IFERROR(__xludf.DUMMYFUNCTION("""COMPUTED_VALUE"""),"")</f>
        <v/>
      </c>
      <c r="BH20" t="str">
        <f ca="1">IFERROR(__xludf.DUMMYFUNCTION("""COMPUTED_VALUE"""),"")</f>
        <v/>
      </c>
      <c r="BI20" t="str">
        <f ca="1">IFERROR(__xludf.DUMMYFUNCTION("""COMPUTED_VALUE"""),"")</f>
        <v/>
      </c>
      <c r="BJ20" s="3" t="str">
        <f ca="1">IFERROR(__xludf.DUMMYFUNCTION("""COMPUTED_VALUE"""),"")</f>
        <v/>
      </c>
    </row>
    <row r="21" spans="1:62" ht="15.75" customHeight="1" x14ac:dyDescent="0.25">
      <c r="A21" s="6">
        <f ca="1">IFERROR(__xludf.DUMMYFUNCTION("""COMPUTED_VALUE"""),43227.6548891435)</f>
        <v>43227.654889143501</v>
      </c>
      <c r="B21" s="2" t="str">
        <f ca="1">IFERROR(__xludf.DUMMYFUNCTION("""COMPUTED_VALUE"""),"Bay of Plenty")</f>
        <v>Bay of Plenty</v>
      </c>
      <c r="C21" s="2" t="str">
        <f ca="1">IFERROR(__xludf.DUMMYFUNCTION("""COMPUTED_VALUE"""),"Unmarked bird")</f>
        <v>Unmarked bird</v>
      </c>
      <c r="D21" s="10">
        <f ca="1">IFERROR(__xludf.DUMMYFUNCTION("""COMPUTED_VALUE"""),43214)</f>
        <v>43214</v>
      </c>
      <c r="E21" s="4">
        <f ca="1">IFERROR(__xludf.DUMMYFUNCTION("""COMPUTED_VALUE"""),0.848611111112404)</f>
        <v>0.84861111111240395</v>
      </c>
      <c r="F21" s="2" t="str">
        <f ca="1">IFERROR(__xludf.DUMMYFUNCTION("""COMPUTED_VALUE"""),"Little Waihi")</f>
        <v>Little Waihi</v>
      </c>
      <c r="G21" s="2" t="str">
        <f ca="1">IFERROR(__xludf.DUMMYFUNCTION("""COMPUTED_VALUE"""),"VHF (close approach): I followed the signal until I got within 50 m of the bird")</f>
        <v>VHF (close approach): I followed the signal until I got within 50 m of the bird</v>
      </c>
      <c r="H21" s="2" t="str">
        <f ca="1">IFERROR(__xludf.DUMMYFUNCTION("""COMPUTED_VALUE"""),"")</f>
        <v/>
      </c>
      <c r="I21" s="2" t="str">
        <f ca="1">IFERROR(__xludf.DUMMYFUNCTION("""COMPUTED_VALUE"""),"")</f>
        <v/>
      </c>
      <c r="J21" s="2" t="str">
        <f ca="1">IFERROR(__xludf.DUMMYFUNCTION("""COMPUTED_VALUE"""),"")</f>
        <v/>
      </c>
      <c r="K21" s="2" t="str">
        <f ca="1">IFERROR(__xludf.DUMMYFUNCTION("""COMPUTED_VALUE"""),"")</f>
        <v/>
      </c>
      <c r="L21" s="2" t="str">
        <f ca="1">IFERROR(__xludf.DUMMYFUNCTION("""COMPUTED_VALUE"""),"Yes - it flushed")</f>
        <v>Yes - it flushed</v>
      </c>
      <c r="M21" s="5">
        <f ca="1">IFERROR(__xludf.DUMMYFUNCTION("""COMPUTED_VALUE"""),1907486)</f>
        <v>1907486</v>
      </c>
      <c r="N21" s="5">
        <f ca="1">IFERROR(__xludf.DUMMYFUNCTION("""COMPUTED_VALUE"""),5812983)</f>
        <v>5812983</v>
      </c>
      <c r="O21" s="2" t="str">
        <f ca="1">IFERROR(__xludf.DUMMYFUNCTION("""COMPUTED_VALUE"""),"")</f>
        <v/>
      </c>
      <c r="P21" s="2" t="str">
        <f ca="1">IFERROR(__xludf.DUMMYFUNCTION("""COMPUTED_VALUE"""),"No")</f>
        <v>No</v>
      </c>
      <c r="Q21" s="2" t="str">
        <f ca="1">IFERROR(__xludf.DUMMYFUNCTION("""COMPUTED_VALUE"""),"Wet")</f>
        <v>Wet</v>
      </c>
      <c r="R21" s="2" t="str">
        <f ca="1">IFERROR(__xludf.DUMMYFUNCTION("""COMPUTED_VALUE"""),"10 cm")</f>
        <v>10 cm</v>
      </c>
      <c r="S21" s="2" t="str">
        <f ca="1">IFERROR(__xludf.DUMMYFUNCTION("""COMPUTED_VALUE"""),"0")</f>
        <v>0</v>
      </c>
      <c r="T21" s="2" t="str">
        <f ca="1">IFERROR(__xludf.DUMMYFUNCTION("""COMPUTED_VALUE"""),"Jointed rush")</f>
        <v>Jointed rush</v>
      </c>
      <c r="U21" s="2" t="str">
        <f ca="1">IFERROR(__xludf.DUMMYFUNCTION("""COMPUTED_VALUE"""),"Flushed while we were trialing handheld thermal imagery camera on Tx 17. A second (unmarked bird) flushed at the same time from within 20 m of Tx 17 (Participants: Karl McCarthy; Rhys Burns and myself)")</f>
        <v>Flushed while we were trialing handheld thermal imagery camera on Tx 17. A second (unmarked bird) flushed at the same time from within 20 m of Tx 17 (Participants: Karl McCarthy; Rhys Burns and myself)</v>
      </c>
      <c r="V21" s="2" t="str">
        <f ca="1">IFERROR(__xludf.DUMMYFUNCTION("""COMPUTED_VALUE"""),"")</f>
        <v/>
      </c>
      <c r="W21" s="2" t="str">
        <f ca="1">IFERROR(__xludf.DUMMYFUNCTION("""COMPUTED_VALUE"""),"")</f>
        <v/>
      </c>
      <c r="X21" s="2" t="str">
        <f ca="1">IFERROR(__xludf.DUMMYFUNCTION("""COMPUTED_VALUE"""),"")</f>
        <v/>
      </c>
      <c r="Y21" s="2" t="str">
        <f ca="1">IFERROR(__xludf.DUMMYFUNCTION("""COMPUTED_VALUE"""),"")</f>
        <v/>
      </c>
      <c r="Z21" s="2" t="str">
        <f ca="1">IFERROR(__xludf.DUMMYFUNCTION("""COMPUTED_VALUE"""),"")</f>
        <v/>
      </c>
      <c r="AA21" s="2" t="str">
        <f ca="1">IFERROR(__xludf.DUMMYFUNCTION("""COMPUTED_VALUE"""),"")</f>
        <v/>
      </c>
      <c r="AB21" s="2" t="str">
        <f ca="1">IFERROR(__xludf.DUMMYFUNCTION("""COMPUTED_VALUE"""),"")</f>
        <v/>
      </c>
      <c r="AC21" s="2" t="str">
        <f ca="1">IFERROR(__xludf.DUMMYFUNCTION("""COMPUTED_VALUE"""),"")</f>
        <v/>
      </c>
      <c r="AD21" s="2" t="str">
        <f ca="1">IFERROR(__xludf.DUMMYFUNCTION("""COMPUTED_VALUE"""),"")</f>
        <v/>
      </c>
      <c r="AE21" s="2" t="str">
        <f ca="1">IFERROR(__xludf.DUMMYFUNCTION("""COMPUTED_VALUE"""),"")</f>
        <v/>
      </c>
      <c r="AF21" s="2" t="str">
        <f ca="1">IFERROR(__xludf.DUMMYFUNCTION("""COMPUTED_VALUE"""),"")</f>
        <v/>
      </c>
      <c r="AG21" s="2" t="str">
        <f ca="1">IFERROR(__xludf.DUMMYFUNCTION("""COMPUTED_VALUE"""),"")</f>
        <v/>
      </c>
      <c r="AH21" s="2" t="str">
        <f ca="1">IFERROR(__xludf.DUMMYFUNCTION("""COMPUTED_VALUE"""),"")</f>
        <v/>
      </c>
      <c r="AI21" s="2" t="str">
        <f ca="1">IFERROR(__xludf.DUMMYFUNCTION("""COMPUTED_VALUE"""),"")</f>
        <v/>
      </c>
      <c r="AJ21" s="2" t="str">
        <f ca="1">IFERROR(__xludf.DUMMYFUNCTION("""COMPUTED_VALUE"""),"")</f>
        <v/>
      </c>
      <c r="AK21" s="2" t="str">
        <f ca="1">IFERROR(__xludf.DUMMYFUNCTION("""COMPUTED_VALUE"""),"")</f>
        <v/>
      </c>
      <c r="AL21" s="2" t="str">
        <f ca="1">IFERROR(__xludf.DUMMYFUNCTION("""COMPUTED_VALUE"""),"")</f>
        <v/>
      </c>
      <c r="AM21" s="2" t="str">
        <f ca="1">IFERROR(__xludf.DUMMYFUNCTION("""COMPUTED_VALUE"""),"")</f>
        <v/>
      </c>
      <c r="AN21" s="2" t="str">
        <f ca="1">IFERROR(__xludf.DUMMYFUNCTION("""COMPUTED_VALUE"""),"")</f>
        <v/>
      </c>
      <c r="AO21" s="2" t="str">
        <f ca="1">IFERROR(__xludf.DUMMYFUNCTION("""COMPUTED_VALUE"""),"")</f>
        <v/>
      </c>
      <c r="AP21" s="2" t="str">
        <f ca="1">IFERROR(__xludf.DUMMYFUNCTION("""COMPUTED_VALUE"""),"")</f>
        <v/>
      </c>
      <c r="AQ21" s="2" t="str">
        <f ca="1">IFERROR(__xludf.DUMMYFUNCTION("""COMPUTED_VALUE"""),"")</f>
        <v/>
      </c>
      <c r="AR21" s="2" t="str">
        <f ca="1">IFERROR(__xludf.DUMMYFUNCTION("""COMPUTED_VALUE"""),"")</f>
        <v/>
      </c>
      <c r="AS21" s="2" t="str">
        <f ca="1">IFERROR(__xludf.DUMMYFUNCTION("""COMPUTED_VALUE"""),"")</f>
        <v/>
      </c>
      <c r="AT21" s="2" t="str">
        <f ca="1">IFERROR(__xludf.DUMMYFUNCTION("""COMPUTED_VALUE"""),"")</f>
        <v/>
      </c>
      <c r="AU21" s="2" t="str">
        <f ca="1">IFERROR(__xludf.DUMMYFUNCTION("""COMPUTED_VALUE"""),"")</f>
        <v/>
      </c>
      <c r="AV21" s="2" t="str">
        <f ca="1">IFERROR(__xludf.DUMMYFUNCTION("""COMPUTED_VALUE"""),"")</f>
        <v/>
      </c>
      <c r="AW21" s="2" t="str">
        <f ca="1">IFERROR(__xludf.DUMMYFUNCTION("""COMPUTED_VALUE"""),"")</f>
        <v/>
      </c>
      <c r="AX21" s="2" t="str">
        <f ca="1">IFERROR(__xludf.DUMMYFUNCTION("""COMPUTED_VALUE"""),"")</f>
        <v/>
      </c>
      <c r="AY21" s="2" t="str">
        <f ca="1">IFERROR(__xludf.DUMMYFUNCTION("""COMPUTED_VALUE"""),"")</f>
        <v/>
      </c>
      <c r="AZ21" s="2" t="str">
        <f ca="1">IFERROR(__xludf.DUMMYFUNCTION("""COMPUTED_VALUE"""),"")</f>
        <v/>
      </c>
      <c r="BA21" s="2" t="str">
        <f ca="1">IFERROR(__xludf.DUMMYFUNCTION("""COMPUTED_VALUE"""),"")</f>
        <v/>
      </c>
      <c r="BB21" s="2" t="str">
        <f ca="1">IFERROR(__xludf.DUMMYFUNCTION("""COMPUTED_VALUE"""),"")</f>
        <v/>
      </c>
      <c r="BC21" s="2" t="str">
        <f ca="1">IFERROR(__xludf.DUMMYFUNCTION("""COMPUTED_VALUE"""),"")</f>
        <v/>
      </c>
      <c r="BD21" s="2" t="str">
        <f ca="1">IFERROR(__xludf.DUMMYFUNCTION("""COMPUTED_VALUE"""),"")</f>
        <v/>
      </c>
      <c r="BE21" s="2" t="str">
        <f ca="1">IFERROR(__xludf.DUMMYFUNCTION("""COMPUTED_VALUE"""),"")</f>
        <v/>
      </c>
      <c r="BF21" t="str">
        <f ca="1">IFERROR(__xludf.DUMMYFUNCTION("""COMPUTED_VALUE"""),"")</f>
        <v/>
      </c>
      <c r="BG21" t="str">
        <f ca="1">IFERROR(__xludf.DUMMYFUNCTION("""COMPUTED_VALUE"""),"")</f>
        <v/>
      </c>
      <c r="BH21" t="str">
        <f ca="1">IFERROR(__xludf.DUMMYFUNCTION("""COMPUTED_VALUE"""),"")</f>
        <v/>
      </c>
      <c r="BI21" t="str">
        <f ca="1">IFERROR(__xludf.DUMMYFUNCTION("""COMPUTED_VALUE"""),"")</f>
        <v/>
      </c>
      <c r="BJ21" s="3" t="str">
        <f ca="1">IFERROR(__xludf.DUMMYFUNCTION("""COMPUTED_VALUE"""),"")</f>
        <v/>
      </c>
    </row>
    <row r="22" spans="1:62" ht="15.75" customHeight="1" x14ac:dyDescent="0.25">
      <c r="A22" s="6">
        <f ca="1">IFERROR(__xludf.DUMMYFUNCTION("""COMPUTED_VALUE"""),43227.6608421759)</f>
        <v>43227.660842175901</v>
      </c>
      <c r="B22" s="2" t="str">
        <f ca="1">IFERROR(__xludf.DUMMYFUNCTION("""COMPUTED_VALUE"""),"Bay of Plenty")</f>
        <v>Bay of Plenty</v>
      </c>
      <c r="C22" s="2" t="str">
        <f ca="1">IFERROR(__xludf.DUMMYFUNCTION("""COMPUTED_VALUE"""),"Tx 38 - Pearl")</f>
        <v>Tx 38 - Pearl</v>
      </c>
      <c r="D22" s="10">
        <f ca="1">IFERROR(__xludf.DUMMYFUNCTION("""COMPUTED_VALUE"""),43214)</f>
        <v>43214</v>
      </c>
      <c r="E22" s="4">
        <f ca="1">IFERROR(__xludf.DUMMYFUNCTION("""COMPUTED_VALUE"""),0.83333333333212)</f>
        <v>0.83333333333212001</v>
      </c>
      <c r="F22" s="2" t="str">
        <f ca="1">IFERROR(__xludf.DUMMYFUNCTION("""COMPUTED_VALUE"""),"Little Waihi")</f>
        <v>Little Waihi</v>
      </c>
      <c r="G22" s="2" t="str">
        <f ca="1">IFERROR(__xludf.DUMMYFUNCTION("""COMPUTED_VALUE"""),"VHF (close approach): I followed the signal until I got within 50 m of the bird")</f>
        <v>VHF (close approach): I followed the signal until I got within 50 m of the bird</v>
      </c>
      <c r="H22" s="2" t="str">
        <f ca="1">IFERROR(__xludf.DUMMYFUNCTION("""COMPUTED_VALUE"""),"")</f>
        <v/>
      </c>
      <c r="I22" s="2" t="str">
        <f ca="1">IFERROR(__xludf.DUMMYFUNCTION("""COMPUTED_VALUE"""),"")</f>
        <v/>
      </c>
      <c r="J22" s="2" t="str">
        <f ca="1">IFERROR(__xludf.DUMMYFUNCTION("""COMPUTED_VALUE"""),"")</f>
        <v/>
      </c>
      <c r="K22" s="2" t="str">
        <f ca="1">IFERROR(__xludf.DUMMYFUNCTION("""COMPUTED_VALUE"""),"")</f>
        <v/>
      </c>
      <c r="L22" s="2" t="str">
        <f ca="1">IFERROR(__xludf.DUMMYFUNCTION("""COMPUTED_VALUE"""),"Yes - it flushed")</f>
        <v>Yes - it flushed</v>
      </c>
      <c r="M22" s="5">
        <f ca="1">IFERROR(__xludf.DUMMYFUNCTION("""COMPUTED_VALUE"""),1907585)</f>
        <v>1907585</v>
      </c>
      <c r="N22" s="5">
        <f ca="1">IFERROR(__xludf.DUMMYFUNCTION("""COMPUTED_VALUE"""),5812955)</f>
        <v>5812955</v>
      </c>
      <c r="O22" s="2" t="str">
        <f ca="1">IFERROR(__xludf.DUMMYFUNCTION("""COMPUTED_VALUE"""),"")</f>
        <v/>
      </c>
      <c r="P22" s="2" t="str">
        <f ca="1">IFERROR(__xludf.DUMMYFUNCTION("""COMPUTED_VALUE"""),"No")</f>
        <v>No</v>
      </c>
      <c r="Q22" s="2" t="str">
        <f ca="1">IFERROR(__xludf.DUMMYFUNCTION("""COMPUTED_VALUE"""),"Wet")</f>
        <v>Wet</v>
      </c>
      <c r="R22" s="2" t="str">
        <f ca="1">IFERROR(__xludf.DUMMYFUNCTION("""COMPUTED_VALUE"""),"10")</f>
        <v>10</v>
      </c>
      <c r="S22" s="2" t="str">
        <f ca="1">IFERROR(__xludf.DUMMYFUNCTION("""COMPUTED_VALUE"""),"0")</f>
        <v>0</v>
      </c>
      <c r="T22" s="2" t="str">
        <f ca="1">IFERROR(__xludf.DUMMYFUNCTION("""COMPUTED_VALUE"""),"Joined rush")</f>
        <v>Joined rush</v>
      </c>
      <c r="U22" s="2" t="str">
        <f ca="1">IFERROR(__xludf.DUMMYFUNCTION("""COMPUTED_VALUE"""),"Flushed on purpose while we were trialling handheld thermal imagery camera (Participants: Karl McCarthy; Rhys Burns and myself)")</f>
        <v>Flushed on purpose while we were trialling handheld thermal imagery camera (Participants: Karl McCarthy; Rhys Burns and myself)</v>
      </c>
      <c r="V22" s="2" t="str">
        <f ca="1">IFERROR(__xludf.DUMMYFUNCTION("""COMPUTED_VALUE"""),"")</f>
        <v/>
      </c>
      <c r="W22" s="2" t="str">
        <f ca="1">IFERROR(__xludf.DUMMYFUNCTION("""COMPUTED_VALUE"""),"")</f>
        <v/>
      </c>
      <c r="X22" s="2" t="str">
        <f ca="1">IFERROR(__xludf.DUMMYFUNCTION("""COMPUTED_VALUE"""),"")</f>
        <v/>
      </c>
      <c r="Y22" s="2" t="str">
        <f ca="1">IFERROR(__xludf.DUMMYFUNCTION("""COMPUTED_VALUE"""),"")</f>
        <v/>
      </c>
      <c r="Z22" s="2" t="str">
        <f ca="1">IFERROR(__xludf.DUMMYFUNCTION("""COMPUTED_VALUE"""),"")</f>
        <v/>
      </c>
      <c r="AA22" s="2" t="str">
        <f ca="1">IFERROR(__xludf.DUMMYFUNCTION("""COMPUTED_VALUE"""),"")</f>
        <v/>
      </c>
      <c r="AB22" s="2" t="str">
        <f ca="1">IFERROR(__xludf.DUMMYFUNCTION("""COMPUTED_VALUE"""),"")</f>
        <v/>
      </c>
      <c r="AC22" s="2" t="str">
        <f ca="1">IFERROR(__xludf.DUMMYFUNCTION("""COMPUTED_VALUE"""),"")</f>
        <v/>
      </c>
      <c r="AD22" s="2" t="str">
        <f ca="1">IFERROR(__xludf.DUMMYFUNCTION("""COMPUTED_VALUE"""),"")</f>
        <v/>
      </c>
      <c r="AE22" s="2" t="str">
        <f ca="1">IFERROR(__xludf.DUMMYFUNCTION("""COMPUTED_VALUE"""),"")</f>
        <v/>
      </c>
      <c r="AF22" s="2" t="str">
        <f ca="1">IFERROR(__xludf.DUMMYFUNCTION("""COMPUTED_VALUE"""),"")</f>
        <v/>
      </c>
      <c r="AG22" s="2" t="str">
        <f ca="1">IFERROR(__xludf.DUMMYFUNCTION("""COMPUTED_VALUE"""),"")</f>
        <v/>
      </c>
      <c r="AH22" s="2" t="str">
        <f ca="1">IFERROR(__xludf.DUMMYFUNCTION("""COMPUTED_VALUE"""),"")</f>
        <v/>
      </c>
      <c r="AI22" s="2" t="str">
        <f ca="1">IFERROR(__xludf.DUMMYFUNCTION("""COMPUTED_VALUE"""),"")</f>
        <v/>
      </c>
      <c r="AJ22" s="2" t="str">
        <f ca="1">IFERROR(__xludf.DUMMYFUNCTION("""COMPUTED_VALUE"""),"")</f>
        <v/>
      </c>
      <c r="AK22" s="2" t="str">
        <f ca="1">IFERROR(__xludf.DUMMYFUNCTION("""COMPUTED_VALUE"""),"")</f>
        <v/>
      </c>
      <c r="AL22" s="2" t="str">
        <f ca="1">IFERROR(__xludf.DUMMYFUNCTION("""COMPUTED_VALUE"""),"")</f>
        <v/>
      </c>
      <c r="AM22" s="2" t="str">
        <f ca="1">IFERROR(__xludf.DUMMYFUNCTION("""COMPUTED_VALUE"""),"")</f>
        <v/>
      </c>
      <c r="AN22" s="2" t="str">
        <f ca="1">IFERROR(__xludf.DUMMYFUNCTION("""COMPUTED_VALUE"""),"")</f>
        <v/>
      </c>
      <c r="AO22" s="2" t="str">
        <f ca="1">IFERROR(__xludf.DUMMYFUNCTION("""COMPUTED_VALUE"""),"")</f>
        <v/>
      </c>
      <c r="AP22" s="2" t="str">
        <f ca="1">IFERROR(__xludf.DUMMYFUNCTION("""COMPUTED_VALUE"""),"")</f>
        <v/>
      </c>
      <c r="AQ22" s="2" t="str">
        <f ca="1">IFERROR(__xludf.DUMMYFUNCTION("""COMPUTED_VALUE"""),"")</f>
        <v/>
      </c>
      <c r="AR22" s="2" t="str">
        <f ca="1">IFERROR(__xludf.DUMMYFUNCTION("""COMPUTED_VALUE"""),"")</f>
        <v/>
      </c>
      <c r="AS22" s="2" t="str">
        <f ca="1">IFERROR(__xludf.DUMMYFUNCTION("""COMPUTED_VALUE"""),"")</f>
        <v/>
      </c>
      <c r="AT22" s="2" t="str">
        <f ca="1">IFERROR(__xludf.DUMMYFUNCTION("""COMPUTED_VALUE"""),"")</f>
        <v/>
      </c>
      <c r="AU22" s="2" t="str">
        <f ca="1">IFERROR(__xludf.DUMMYFUNCTION("""COMPUTED_VALUE"""),"")</f>
        <v/>
      </c>
      <c r="AV22" s="2" t="str">
        <f ca="1">IFERROR(__xludf.DUMMYFUNCTION("""COMPUTED_VALUE"""),"")</f>
        <v/>
      </c>
      <c r="AW22" s="2" t="str">
        <f ca="1">IFERROR(__xludf.DUMMYFUNCTION("""COMPUTED_VALUE"""),"")</f>
        <v/>
      </c>
      <c r="AX22" s="2" t="str">
        <f ca="1">IFERROR(__xludf.DUMMYFUNCTION("""COMPUTED_VALUE"""),"")</f>
        <v/>
      </c>
      <c r="AY22" s="2" t="str">
        <f ca="1">IFERROR(__xludf.DUMMYFUNCTION("""COMPUTED_VALUE"""),"")</f>
        <v/>
      </c>
      <c r="AZ22" s="2" t="str">
        <f ca="1">IFERROR(__xludf.DUMMYFUNCTION("""COMPUTED_VALUE"""),"")</f>
        <v/>
      </c>
      <c r="BA22" s="2" t="str">
        <f ca="1">IFERROR(__xludf.DUMMYFUNCTION("""COMPUTED_VALUE"""),"")</f>
        <v/>
      </c>
      <c r="BB22" s="2" t="str">
        <f ca="1">IFERROR(__xludf.DUMMYFUNCTION("""COMPUTED_VALUE"""),"")</f>
        <v/>
      </c>
      <c r="BC22" s="2" t="str">
        <f ca="1">IFERROR(__xludf.DUMMYFUNCTION("""COMPUTED_VALUE"""),"")</f>
        <v/>
      </c>
      <c r="BD22" s="2" t="str">
        <f ca="1">IFERROR(__xludf.DUMMYFUNCTION("""COMPUTED_VALUE"""),"")</f>
        <v/>
      </c>
      <c r="BE22" s="2" t="str">
        <f ca="1">IFERROR(__xludf.DUMMYFUNCTION("""COMPUTED_VALUE"""),"")</f>
        <v/>
      </c>
      <c r="BF22" t="str">
        <f ca="1">IFERROR(__xludf.DUMMYFUNCTION("""COMPUTED_VALUE"""),"")</f>
        <v/>
      </c>
      <c r="BG22" t="str">
        <f ca="1">IFERROR(__xludf.DUMMYFUNCTION("""COMPUTED_VALUE"""),"")</f>
        <v/>
      </c>
      <c r="BH22" t="str">
        <f ca="1">IFERROR(__xludf.DUMMYFUNCTION("""COMPUTED_VALUE"""),"")</f>
        <v/>
      </c>
      <c r="BI22" t="str">
        <f ca="1">IFERROR(__xludf.DUMMYFUNCTION("""COMPUTED_VALUE"""),"")</f>
        <v/>
      </c>
      <c r="BJ22" s="3" t="str">
        <f ca="1">IFERROR(__xludf.DUMMYFUNCTION("""COMPUTED_VALUE"""),"")</f>
        <v/>
      </c>
    </row>
    <row r="23" spans="1:62" ht="15.75" customHeight="1" x14ac:dyDescent="0.25">
      <c r="A23" s="6">
        <f ca="1">IFERROR(__xludf.DUMMYFUNCTION("""COMPUTED_VALUE"""),43241.4836819444)</f>
        <v>43241.483681944403</v>
      </c>
      <c r="B23" s="2" t="str">
        <f ca="1">IFERROR(__xludf.DUMMYFUNCTION("""COMPUTED_VALUE"""),"Bay of Plenty")</f>
        <v>Bay of Plenty</v>
      </c>
      <c r="C23" s="2" t="str">
        <f ca="1">IFERROR(__xludf.DUMMYFUNCTION("""COMPUTED_VALUE"""),"Tx 17")</f>
        <v>Tx 17</v>
      </c>
      <c r="D23" s="10">
        <f ca="1">IFERROR(__xludf.DUMMYFUNCTION("""COMPUTED_VALUE"""),43240)</f>
        <v>43240</v>
      </c>
      <c r="E23" s="4">
        <f ca="1">IFERROR(__xludf.DUMMYFUNCTION("""COMPUTED_VALUE"""),0.447916666667879)</f>
        <v>0.44791666666787899</v>
      </c>
      <c r="F23" s="2" t="str">
        <f ca="1">IFERROR(__xludf.DUMMYFUNCTION("""COMPUTED_VALUE"""),"Little Waihi WMR ")</f>
        <v xml:space="preserve">Little Waihi WMR </v>
      </c>
      <c r="G23" s="2" t="str">
        <f ca="1">IFERROR(__xludf.DUMMYFUNCTION("""COMPUTED_VALUE"""),"VHF (close approach): I followed the signal until I got within 50 m of the bird")</f>
        <v>VHF (close approach): I followed the signal until I got within 50 m of the bird</v>
      </c>
      <c r="H23" s="2" t="str">
        <f ca="1">IFERROR(__xludf.DUMMYFUNCTION("""COMPUTED_VALUE"""),"")</f>
        <v/>
      </c>
      <c r="I23" s="2" t="str">
        <f ca="1">IFERROR(__xludf.DUMMYFUNCTION("""COMPUTED_VALUE"""),"")</f>
        <v/>
      </c>
      <c r="J23" s="2" t="str">
        <f ca="1">IFERROR(__xludf.DUMMYFUNCTION("""COMPUTED_VALUE"""),"")</f>
        <v/>
      </c>
      <c r="K23" s="2" t="str">
        <f ca="1">IFERROR(__xludf.DUMMYFUNCTION("""COMPUTED_VALUE"""),"")</f>
        <v/>
      </c>
      <c r="L23" s="2" t="str">
        <f ca="1">IFERROR(__xludf.DUMMYFUNCTION("""COMPUTED_VALUE"""),"Yes - it flushed")</f>
        <v>Yes - it flushed</v>
      </c>
      <c r="M23" s="5">
        <f ca="1">IFERROR(__xludf.DUMMYFUNCTION("""COMPUTED_VALUE"""),1906909.9)</f>
        <v>1906909.9</v>
      </c>
      <c r="N23" s="5">
        <f ca="1">IFERROR(__xludf.DUMMYFUNCTION("""COMPUTED_VALUE"""),5813053.81)</f>
        <v>5813053.8099999996</v>
      </c>
      <c r="O23" s="2" t="str">
        <f ca="1">IFERROR(__xludf.DUMMYFUNCTION("""COMPUTED_VALUE"""),"")</f>
        <v/>
      </c>
      <c r="P23" s="2" t="str">
        <f ca="1">IFERROR(__xludf.DUMMYFUNCTION("""COMPUTED_VALUE"""),"N/A - not grazed")</f>
        <v>N/A - not grazed</v>
      </c>
      <c r="Q23" s="2" t="str">
        <f ca="1">IFERROR(__xludf.DUMMYFUNCTION("""COMPUTED_VALUE"""),"Dry")</f>
        <v>Dry</v>
      </c>
      <c r="R23" s="2" t="str">
        <f ca="1">IFERROR(__xludf.DUMMYFUNCTION("""COMPUTED_VALUE"""),"Dont know")</f>
        <v>Dont know</v>
      </c>
      <c r="S23" s="2" t="str">
        <f ca="1">IFERROR(__xludf.DUMMYFUNCTION("""COMPUTED_VALUE"""),"Close... ")</f>
        <v xml:space="preserve">Close... </v>
      </c>
      <c r="T23" s="2" t="str">
        <f ca="1">IFERROR(__xludf.DUMMYFUNCTION("""COMPUTED_VALUE"""),"Flushed from area of reed sweet grass under old poisoned willow")</f>
        <v>Flushed from area of reed sweet grass under old poisoned willow</v>
      </c>
      <c r="U23" s="2" t="str">
        <f ca="1">IFERROR(__xludf.DUMMYFUNCTION("""COMPUTED_VALUE"""),"Ran out of words in 'habitat'.. see pics, bird flushed to rushland")</f>
        <v>Ran out of words in 'habitat'.. see pics, bird flushed to rushland</v>
      </c>
      <c r="V23" s="2" t="str">
        <f ca="1">IFERROR(__xludf.DUMMYFUNCTION("""COMPUTED_VALUE"""),"")</f>
        <v/>
      </c>
      <c r="W23" s="2" t="str">
        <f ca="1">IFERROR(__xludf.DUMMYFUNCTION("""COMPUTED_VALUE"""),"")</f>
        <v/>
      </c>
      <c r="X23" s="2" t="str">
        <f ca="1">IFERROR(__xludf.DUMMYFUNCTION("""COMPUTED_VALUE"""),"")</f>
        <v/>
      </c>
      <c r="Y23" s="2" t="str">
        <f ca="1">IFERROR(__xludf.DUMMYFUNCTION("""COMPUTED_VALUE"""),"")</f>
        <v/>
      </c>
      <c r="Z23" s="2" t="str">
        <f ca="1">IFERROR(__xludf.DUMMYFUNCTION("""COMPUTED_VALUE"""),"")</f>
        <v/>
      </c>
      <c r="AA23" s="2" t="str">
        <f ca="1">IFERROR(__xludf.DUMMYFUNCTION("""COMPUTED_VALUE"""),"")</f>
        <v/>
      </c>
      <c r="AB23" s="2" t="str">
        <f ca="1">IFERROR(__xludf.DUMMYFUNCTION("""COMPUTED_VALUE"""),"")</f>
        <v/>
      </c>
      <c r="AC23" s="2" t="str">
        <f ca="1">IFERROR(__xludf.DUMMYFUNCTION("""COMPUTED_VALUE"""),"")</f>
        <v/>
      </c>
      <c r="AD23" s="2" t="str">
        <f ca="1">IFERROR(__xludf.DUMMYFUNCTION("""COMPUTED_VALUE"""),"")</f>
        <v/>
      </c>
      <c r="AE23" s="2" t="str">
        <f ca="1">IFERROR(__xludf.DUMMYFUNCTION("""COMPUTED_VALUE"""),"")</f>
        <v/>
      </c>
      <c r="AF23" s="2" t="str">
        <f ca="1">IFERROR(__xludf.DUMMYFUNCTION("""COMPUTED_VALUE"""),"")</f>
        <v/>
      </c>
      <c r="AG23" s="2" t="str">
        <f ca="1">IFERROR(__xludf.DUMMYFUNCTION("""COMPUTED_VALUE"""),"")</f>
        <v/>
      </c>
      <c r="AH23" s="2" t="str">
        <f ca="1">IFERROR(__xludf.DUMMYFUNCTION("""COMPUTED_VALUE"""),"")</f>
        <v/>
      </c>
      <c r="AI23" s="2" t="str">
        <f ca="1">IFERROR(__xludf.DUMMYFUNCTION("""COMPUTED_VALUE"""),"")</f>
        <v/>
      </c>
      <c r="AJ23" s="2" t="str">
        <f ca="1">IFERROR(__xludf.DUMMYFUNCTION("""COMPUTED_VALUE"""),"")</f>
        <v/>
      </c>
      <c r="AK23" s="2" t="str">
        <f ca="1">IFERROR(__xludf.DUMMYFUNCTION("""COMPUTED_VALUE"""),"")</f>
        <v/>
      </c>
      <c r="AL23" s="2" t="str">
        <f ca="1">IFERROR(__xludf.DUMMYFUNCTION("""COMPUTED_VALUE"""),"")</f>
        <v/>
      </c>
      <c r="AM23" s="2" t="str">
        <f ca="1">IFERROR(__xludf.DUMMYFUNCTION("""COMPUTED_VALUE"""),"")</f>
        <v/>
      </c>
      <c r="AN23" s="2" t="str">
        <f ca="1">IFERROR(__xludf.DUMMYFUNCTION("""COMPUTED_VALUE"""),"")</f>
        <v/>
      </c>
      <c r="AO23" s="2" t="str">
        <f ca="1">IFERROR(__xludf.DUMMYFUNCTION("""COMPUTED_VALUE"""),"")</f>
        <v/>
      </c>
      <c r="AP23" s="2" t="str">
        <f ca="1">IFERROR(__xludf.DUMMYFUNCTION("""COMPUTED_VALUE"""),"")</f>
        <v/>
      </c>
      <c r="AQ23" s="2" t="str">
        <f ca="1">IFERROR(__xludf.DUMMYFUNCTION("""COMPUTED_VALUE"""),"")</f>
        <v/>
      </c>
      <c r="AR23" s="2" t="str">
        <f ca="1">IFERROR(__xludf.DUMMYFUNCTION("""COMPUTED_VALUE"""),"")</f>
        <v/>
      </c>
      <c r="AS23" s="2" t="str">
        <f ca="1">IFERROR(__xludf.DUMMYFUNCTION("""COMPUTED_VALUE"""),"")</f>
        <v/>
      </c>
      <c r="AT23" s="2" t="str">
        <f ca="1">IFERROR(__xludf.DUMMYFUNCTION("""COMPUTED_VALUE"""),"")</f>
        <v/>
      </c>
      <c r="AU23" s="2" t="str">
        <f ca="1">IFERROR(__xludf.DUMMYFUNCTION("""COMPUTED_VALUE"""),"")</f>
        <v/>
      </c>
      <c r="AV23" s="2" t="str">
        <f ca="1">IFERROR(__xludf.DUMMYFUNCTION("""COMPUTED_VALUE"""),"")</f>
        <v/>
      </c>
      <c r="AW23" s="2" t="str">
        <f ca="1">IFERROR(__xludf.DUMMYFUNCTION("""COMPUTED_VALUE"""),"")</f>
        <v/>
      </c>
      <c r="AX23" s="2" t="str">
        <f ca="1">IFERROR(__xludf.DUMMYFUNCTION("""COMPUTED_VALUE"""),"")</f>
        <v/>
      </c>
      <c r="AY23" s="2" t="str">
        <f ca="1">IFERROR(__xludf.DUMMYFUNCTION("""COMPUTED_VALUE"""),"")</f>
        <v/>
      </c>
      <c r="AZ23" s="2" t="str">
        <f ca="1">IFERROR(__xludf.DUMMYFUNCTION("""COMPUTED_VALUE"""),"")</f>
        <v/>
      </c>
      <c r="BA23" s="2" t="str">
        <f ca="1">IFERROR(__xludf.DUMMYFUNCTION("""COMPUTED_VALUE"""),"")</f>
        <v/>
      </c>
      <c r="BB23" s="2" t="str">
        <f ca="1">IFERROR(__xludf.DUMMYFUNCTION("""COMPUTED_VALUE"""),"")</f>
        <v/>
      </c>
      <c r="BC23" s="2" t="str">
        <f ca="1">IFERROR(__xludf.DUMMYFUNCTION("""COMPUTED_VALUE"""),"")</f>
        <v/>
      </c>
      <c r="BD23" s="2" t="str">
        <f ca="1">IFERROR(__xludf.DUMMYFUNCTION("""COMPUTED_VALUE"""),"")</f>
        <v/>
      </c>
      <c r="BE23" s="2" t="str">
        <f ca="1">IFERROR(__xludf.DUMMYFUNCTION("""COMPUTED_VALUE"""),"")</f>
        <v/>
      </c>
      <c r="BF23" t="str">
        <f ca="1">IFERROR(__xludf.DUMMYFUNCTION("""COMPUTED_VALUE"""),"")</f>
        <v/>
      </c>
      <c r="BG23" t="str">
        <f ca="1">IFERROR(__xludf.DUMMYFUNCTION("""COMPUTED_VALUE"""),"")</f>
        <v/>
      </c>
      <c r="BH23" t="str">
        <f ca="1">IFERROR(__xludf.DUMMYFUNCTION("""COMPUTED_VALUE"""),"")</f>
        <v/>
      </c>
      <c r="BI23" t="str">
        <f ca="1">IFERROR(__xludf.DUMMYFUNCTION("""COMPUTED_VALUE"""),"")</f>
        <v/>
      </c>
      <c r="BJ23" s="3" t="str">
        <f ca="1">IFERROR(__xludf.DUMMYFUNCTION("""COMPUTED_VALUE"""),"")</f>
        <v/>
      </c>
    </row>
    <row r="24" spans="1:62" ht="12.5" x14ac:dyDescent="0.25">
      <c r="A24" s="6">
        <f ca="1">IFERROR(__xludf.DUMMYFUNCTION("""COMPUTED_VALUE"""),43241.485678287)</f>
        <v>43241.485678286997</v>
      </c>
      <c r="B24" s="2" t="str">
        <f ca="1">IFERROR(__xludf.DUMMYFUNCTION("""COMPUTED_VALUE"""),"Bay of Plenty")</f>
        <v>Bay of Plenty</v>
      </c>
      <c r="C24" s="2" t="str">
        <f ca="1">IFERROR(__xludf.DUMMYFUNCTION("""COMPUTED_VALUE"""),"Tx 38 - Pearl")</f>
        <v>Tx 38 - Pearl</v>
      </c>
      <c r="D24" s="10">
        <f ca="1">IFERROR(__xludf.DUMMYFUNCTION("""COMPUTED_VALUE"""),43240)</f>
        <v>43240</v>
      </c>
      <c r="E24" s="4">
        <f ca="1">IFERROR(__xludf.DUMMYFUNCTION("""COMPUTED_VALUE"""),0.541666666667879)</f>
        <v>0.54166666666787899</v>
      </c>
      <c r="F24" s="2" t="str">
        <f ca="1">IFERROR(__xludf.DUMMYFUNCTION("""COMPUTED_VALUE"""),"Cutwater rd")</f>
        <v>Cutwater rd</v>
      </c>
      <c r="G24" s="2" t="str">
        <f ca="1">IFERROR(__xludf.DUMMYFUNCTION("""COMPUTED_VALUE"""),"None: I listened for the bird but was unable to find it")</f>
        <v>None: I listened for the bird but was unable to find it</v>
      </c>
      <c r="H24" s="2" t="str">
        <f ca="1">IFERROR(__xludf.DUMMYFUNCTION("""COMPUTED_VALUE"""),"")</f>
        <v/>
      </c>
      <c r="I24" s="2" t="str">
        <f ca="1">IFERROR(__xludf.DUMMYFUNCTION("""COMPUTED_VALUE"""),"")</f>
        <v/>
      </c>
      <c r="J24" s="2" t="str">
        <f ca="1">IFERROR(__xludf.DUMMYFUNCTION("""COMPUTED_VALUE"""),"")</f>
        <v/>
      </c>
      <c r="K24" s="2" t="str">
        <f ca="1">IFERROR(__xludf.DUMMYFUNCTION("""COMPUTED_VALUE"""),"")</f>
        <v/>
      </c>
      <c r="L24" s="2" t="str">
        <f ca="1">IFERROR(__xludf.DUMMYFUNCTION("""COMPUTED_VALUE"""),"")</f>
        <v/>
      </c>
      <c r="M24" s="5" t="str">
        <f ca="1">IFERROR(__xludf.DUMMYFUNCTION("""COMPUTED_VALUE"""),"")</f>
        <v/>
      </c>
      <c r="N24" s="5" t="str">
        <f ca="1">IFERROR(__xludf.DUMMYFUNCTION("""COMPUTED_VALUE"""),"")</f>
        <v/>
      </c>
      <c r="O24" s="2" t="str">
        <f ca="1">IFERROR(__xludf.DUMMYFUNCTION("""COMPUTED_VALUE"""),"")</f>
        <v/>
      </c>
      <c r="P24" s="2" t="str">
        <f ca="1">IFERROR(__xludf.DUMMYFUNCTION("""COMPUTED_VALUE"""),"")</f>
        <v/>
      </c>
      <c r="Q24" s="2" t="str">
        <f ca="1">IFERROR(__xludf.DUMMYFUNCTION("""COMPUTED_VALUE"""),"")</f>
        <v/>
      </c>
      <c r="R24" s="2" t="str">
        <f ca="1">IFERROR(__xludf.DUMMYFUNCTION("""COMPUTED_VALUE"""),"")</f>
        <v/>
      </c>
      <c r="S24" s="2" t="str">
        <f ca="1">IFERROR(__xludf.DUMMYFUNCTION("""COMPUTED_VALUE"""),"")</f>
        <v/>
      </c>
      <c r="T24" s="2" t="str">
        <f ca="1">IFERROR(__xludf.DUMMYFUNCTION("""COMPUTED_VALUE"""),"")</f>
        <v/>
      </c>
      <c r="U24" s="2" t="str">
        <f ca="1">IFERROR(__xludf.DUMMYFUNCTION("""COMPUTED_VALUE"""),"")</f>
        <v/>
      </c>
      <c r="V24" s="2" t="str">
        <f ca="1">IFERROR(__xludf.DUMMYFUNCTION("""COMPUTED_VALUE"""),"")</f>
        <v/>
      </c>
      <c r="W24" s="2" t="str">
        <f ca="1">IFERROR(__xludf.DUMMYFUNCTION("""COMPUTED_VALUE"""),"")</f>
        <v/>
      </c>
      <c r="X24" s="2" t="str">
        <f ca="1">IFERROR(__xludf.DUMMYFUNCTION("""COMPUTED_VALUE"""),"")</f>
        <v/>
      </c>
      <c r="Y24" s="2" t="str">
        <f ca="1">IFERROR(__xludf.DUMMYFUNCTION("""COMPUTED_VALUE"""),"")</f>
        <v/>
      </c>
      <c r="Z24" s="2" t="str">
        <f ca="1">IFERROR(__xludf.DUMMYFUNCTION("""COMPUTED_VALUE"""),"")</f>
        <v/>
      </c>
      <c r="AA24" s="2" t="str">
        <f ca="1">IFERROR(__xludf.DUMMYFUNCTION("""COMPUTED_VALUE"""),"")</f>
        <v/>
      </c>
      <c r="AB24" s="2" t="str">
        <f ca="1">IFERROR(__xludf.DUMMYFUNCTION("""COMPUTED_VALUE"""),"")</f>
        <v/>
      </c>
      <c r="AC24" s="2" t="str">
        <f ca="1">IFERROR(__xludf.DUMMYFUNCTION("""COMPUTED_VALUE"""),"")</f>
        <v/>
      </c>
      <c r="AD24" s="2" t="str">
        <f ca="1">IFERROR(__xludf.DUMMYFUNCTION("""COMPUTED_VALUE"""),"")</f>
        <v/>
      </c>
      <c r="AE24" s="2" t="str">
        <f ca="1">IFERROR(__xludf.DUMMYFUNCTION("""COMPUTED_VALUE"""),"")</f>
        <v/>
      </c>
      <c r="AF24" s="2" t="str">
        <f ca="1">IFERROR(__xludf.DUMMYFUNCTION("""COMPUTED_VALUE"""),"")</f>
        <v/>
      </c>
      <c r="AG24" s="2" t="str">
        <f ca="1">IFERROR(__xludf.DUMMYFUNCTION("""COMPUTED_VALUE"""),"")</f>
        <v/>
      </c>
      <c r="AH24" s="2" t="str">
        <f ca="1">IFERROR(__xludf.DUMMYFUNCTION("""COMPUTED_VALUE"""),"")</f>
        <v/>
      </c>
      <c r="AI24" s="2" t="str">
        <f ca="1">IFERROR(__xludf.DUMMYFUNCTION("""COMPUTED_VALUE"""),"")</f>
        <v/>
      </c>
      <c r="AJ24" s="2" t="str">
        <f ca="1">IFERROR(__xludf.DUMMYFUNCTION("""COMPUTED_VALUE"""),"")</f>
        <v/>
      </c>
      <c r="AK24" s="2" t="str">
        <f ca="1">IFERROR(__xludf.DUMMYFUNCTION("""COMPUTED_VALUE"""),"")</f>
        <v/>
      </c>
      <c r="AL24" s="2" t="str">
        <f ca="1">IFERROR(__xludf.DUMMYFUNCTION("""COMPUTED_VALUE"""),"")</f>
        <v/>
      </c>
      <c r="AM24" s="2" t="str">
        <f ca="1">IFERROR(__xludf.DUMMYFUNCTION("""COMPUTED_VALUE"""),"")</f>
        <v/>
      </c>
      <c r="AN24" s="2" t="str">
        <f ca="1">IFERROR(__xludf.DUMMYFUNCTION("""COMPUTED_VALUE"""),"")</f>
        <v/>
      </c>
      <c r="AO24" s="2" t="str">
        <f ca="1">IFERROR(__xludf.DUMMYFUNCTION("""COMPUTED_VALUE"""),"")</f>
        <v/>
      </c>
      <c r="AP24" s="2" t="str">
        <f ca="1">IFERROR(__xludf.DUMMYFUNCTION("""COMPUTED_VALUE"""),"")</f>
        <v/>
      </c>
      <c r="AQ24" s="2" t="str">
        <f ca="1">IFERROR(__xludf.DUMMYFUNCTION("""COMPUTED_VALUE"""),"")</f>
        <v/>
      </c>
      <c r="AR24" s="2" t="str">
        <f ca="1">IFERROR(__xludf.DUMMYFUNCTION("""COMPUTED_VALUE"""),"")</f>
        <v/>
      </c>
      <c r="AS24" s="2" t="str">
        <f ca="1">IFERROR(__xludf.DUMMYFUNCTION("""COMPUTED_VALUE"""),"")</f>
        <v/>
      </c>
      <c r="AT24" s="2" t="str">
        <f ca="1">IFERROR(__xludf.DUMMYFUNCTION("""COMPUTED_VALUE"""),"")</f>
        <v/>
      </c>
      <c r="AU24" s="2" t="str">
        <f ca="1">IFERROR(__xludf.DUMMYFUNCTION("""COMPUTED_VALUE"""),"")</f>
        <v/>
      </c>
      <c r="AV24" s="2" t="str">
        <f ca="1">IFERROR(__xludf.DUMMYFUNCTION("""COMPUTED_VALUE"""),"")</f>
        <v/>
      </c>
      <c r="AW24" s="2" t="str">
        <f ca="1">IFERROR(__xludf.DUMMYFUNCTION("""COMPUTED_VALUE"""),"")</f>
        <v/>
      </c>
      <c r="AX24" s="2" t="str">
        <f ca="1">IFERROR(__xludf.DUMMYFUNCTION("""COMPUTED_VALUE"""),"")</f>
        <v/>
      </c>
      <c r="AY24" s="2" t="str">
        <f ca="1">IFERROR(__xludf.DUMMYFUNCTION("""COMPUTED_VALUE"""),"")</f>
        <v/>
      </c>
      <c r="AZ24" s="2" t="str">
        <f ca="1">IFERROR(__xludf.DUMMYFUNCTION("""COMPUTED_VALUE"""),"")</f>
        <v/>
      </c>
      <c r="BA24" s="2" t="str">
        <f ca="1">IFERROR(__xludf.DUMMYFUNCTION("""COMPUTED_VALUE"""),"")</f>
        <v/>
      </c>
      <c r="BB24" s="2" t="str">
        <f ca="1">IFERROR(__xludf.DUMMYFUNCTION("""COMPUTED_VALUE"""),"")</f>
        <v/>
      </c>
      <c r="BC24" s="2" t="str">
        <f ca="1">IFERROR(__xludf.DUMMYFUNCTION("""COMPUTED_VALUE"""),"")</f>
        <v/>
      </c>
      <c r="BD24" s="2" t="str">
        <f ca="1">IFERROR(__xludf.DUMMYFUNCTION("""COMPUTED_VALUE"""),"Cutwater rd paddocks, Little Waihi WMR, oioi rushlands opposite cut water rd. ")</f>
        <v xml:space="preserve">Cutwater rd paddocks, Little Waihi WMR, oioi rushlands opposite cut water rd. </v>
      </c>
      <c r="BE24" s="2" t="str">
        <f ca="1">IFERROR(__xludf.DUMMYFUNCTION("""COMPUTED_VALUE"""),"no")</f>
        <v>no</v>
      </c>
      <c r="BF24" t="str">
        <f ca="1">IFERROR(__xludf.DUMMYFUNCTION("""COMPUTED_VALUE"""),"")</f>
        <v/>
      </c>
      <c r="BG24" t="str">
        <f ca="1">IFERROR(__xludf.DUMMYFUNCTION("""COMPUTED_VALUE"""),"")</f>
        <v/>
      </c>
      <c r="BH24" t="str">
        <f ca="1">IFERROR(__xludf.DUMMYFUNCTION("""COMPUTED_VALUE"""),"")</f>
        <v/>
      </c>
      <c r="BI24" t="str">
        <f ca="1">IFERROR(__xludf.DUMMYFUNCTION("""COMPUTED_VALUE"""),"")</f>
        <v/>
      </c>
      <c r="BJ24" s="3" t="str">
        <f ca="1">IFERROR(__xludf.DUMMYFUNCTION("""COMPUTED_VALUE"""),"")</f>
        <v/>
      </c>
    </row>
    <row r="25" spans="1:62" ht="12.5" x14ac:dyDescent="0.25">
      <c r="A25" s="6">
        <f ca="1">IFERROR(__xludf.DUMMYFUNCTION("""COMPUTED_VALUE"""),43241.4913183101)</f>
        <v>43241.491318310102</v>
      </c>
      <c r="B25" s="2" t="str">
        <f ca="1">IFERROR(__xludf.DUMMYFUNCTION("""COMPUTED_VALUE"""),"Bay of Plenty")</f>
        <v>Bay of Plenty</v>
      </c>
      <c r="C25" s="2" t="str">
        <f ca="1">IFERROR(__xludf.DUMMYFUNCTION("""COMPUTED_VALUE"""),"Tx 17")</f>
        <v>Tx 17</v>
      </c>
      <c r="D25" s="10">
        <f ca="1">IFERROR(__xludf.DUMMYFUNCTION("""COMPUTED_VALUE"""),43233)</f>
        <v>43233</v>
      </c>
      <c r="E25" s="4">
        <f ca="1">IFERROR(__xludf.DUMMYFUNCTION("""COMPUTED_VALUE"""),0.58333333333212)</f>
        <v>0.58333333333212001</v>
      </c>
      <c r="F25" s="2" t="str">
        <f ca="1">IFERROR(__xludf.DUMMYFUNCTION("""COMPUTED_VALUE"""),"Little Waihi WMR")</f>
        <v>Little Waihi WMR</v>
      </c>
      <c r="G25" s="2" t="str">
        <f ca="1">IFERROR(__xludf.DUMMYFUNCTION("""COMPUTED_VALUE"""),"VHF (close approach): I followed the signal until I got within 50 m of the bird")</f>
        <v>VHF (close approach): I followed the signal until I got within 50 m of the bird</v>
      </c>
      <c r="H25" s="2" t="str">
        <f ca="1">IFERROR(__xludf.DUMMYFUNCTION("""COMPUTED_VALUE"""),"")</f>
        <v/>
      </c>
      <c r="I25" s="2" t="str">
        <f ca="1">IFERROR(__xludf.DUMMYFUNCTION("""COMPUTED_VALUE"""),"")</f>
        <v/>
      </c>
      <c r="J25" s="2" t="str">
        <f ca="1">IFERROR(__xludf.DUMMYFUNCTION("""COMPUTED_VALUE"""),"")</f>
        <v/>
      </c>
      <c r="K25" s="2" t="str">
        <f ca="1">IFERROR(__xludf.DUMMYFUNCTION("""COMPUTED_VALUE"""),"")</f>
        <v/>
      </c>
      <c r="L25" s="2" t="str">
        <f ca="1">IFERROR(__xludf.DUMMYFUNCTION("""COMPUTED_VALUE"""),"No - I got very close to the bird but it was well hidden in the vegetation")</f>
        <v>No - I got very close to the bird but it was well hidden in the vegetation</v>
      </c>
      <c r="M25" s="5">
        <f ca="1">IFERROR(__xludf.DUMMYFUNCTION("""COMPUTED_VALUE"""),1906775.84)</f>
        <v>1906775.84</v>
      </c>
      <c r="N25" s="5">
        <f ca="1">IFERROR(__xludf.DUMMYFUNCTION("""COMPUTED_VALUE"""),5813119.79)</f>
        <v>5813119.79</v>
      </c>
      <c r="O25" s="2" t="str">
        <f ca="1">IFERROR(__xludf.DUMMYFUNCTION("""COMPUTED_VALUE"""),"")</f>
        <v/>
      </c>
      <c r="P25" s="2" t="str">
        <f ca="1">IFERROR(__xludf.DUMMYFUNCTION("""COMPUTED_VALUE"""),"")</f>
        <v/>
      </c>
      <c r="Q25" s="2" t="str">
        <f ca="1">IFERROR(__xludf.DUMMYFUNCTION("""COMPUTED_VALUE"""),"Don't know")</f>
        <v>Don't know</v>
      </c>
      <c r="R25" s="2" t="str">
        <f ca="1">IFERROR(__xludf.DUMMYFUNCTION("""COMPUTED_VALUE"""),"Dont know")</f>
        <v>Dont know</v>
      </c>
      <c r="S25" s="2" t="str">
        <f ca="1">IFERROR(__xludf.DUMMYFUNCTION("""COMPUTED_VALUE"""),"Close enough ..? ")</f>
        <v xml:space="preserve">Close enough ..? </v>
      </c>
      <c r="T25" s="2" t="str">
        <f ca="1">IFERROR(__xludf.DUMMYFUNCTION("""COMPUTED_VALUE"""),"Rushland ")</f>
        <v xml:space="preserve">Rushland </v>
      </c>
      <c r="U25" s="2" t="str">
        <f ca="1">IFERROR(__xludf.DUMMYFUNCTION("""COMPUTED_VALUE"""),"Entry made on phone ")</f>
        <v xml:space="preserve">Entry made on phone </v>
      </c>
      <c r="V25" s="2" t="str">
        <f ca="1">IFERROR(__xludf.DUMMYFUNCTION("""COMPUTED_VALUE"""),"")</f>
        <v/>
      </c>
      <c r="W25" s="2" t="str">
        <f ca="1">IFERROR(__xludf.DUMMYFUNCTION("""COMPUTED_VALUE"""),"")</f>
        <v/>
      </c>
      <c r="X25" s="2" t="str">
        <f ca="1">IFERROR(__xludf.DUMMYFUNCTION("""COMPUTED_VALUE"""),"")</f>
        <v/>
      </c>
      <c r="Y25" s="2" t="str">
        <f ca="1">IFERROR(__xludf.DUMMYFUNCTION("""COMPUTED_VALUE"""),"")</f>
        <v/>
      </c>
      <c r="Z25" s="2" t="str">
        <f ca="1">IFERROR(__xludf.DUMMYFUNCTION("""COMPUTED_VALUE"""),"")</f>
        <v/>
      </c>
      <c r="AA25" s="2" t="str">
        <f ca="1">IFERROR(__xludf.DUMMYFUNCTION("""COMPUTED_VALUE"""),"")</f>
        <v/>
      </c>
      <c r="AB25" s="2" t="str">
        <f ca="1">IFERROR(__xludf.DUMMYFUNCTION("""COMPUTED_VALUE"""),"")</f>
        <v/>
      </c>
      <c r="AC25" s="2" t="str">
        <f ca="1">IFERROR(__xludf.DUMMYFUNCTION("""COMPUTED_VALUE"""),"")</f>
        <v/>
      </c>
      <c r="AD25" s="2" t="str">
        <f ca="1">IFERROR(__xludf.DUMMYFUNCTION("""COMPUTED_VALUE"""),"")</f>
        <v/>
      </c>
      <c r="AE25" s="2" t="str">
        <f ca="1">IFERROR(__xludf.DUMMYFUNCTION("""COMPUTED_VALUE"""),"")</f>
        <v/>
      </c>
      <c r="AF25" s="2" t="str">
        <f ca="1">IFERROR(__xludf.DUMMYFUNCTION("""COMPUTED_VALUE"""),"")</f>
        <v/>
      </c>
      <c r="AG25" s="2" t="str">
        <f ca="1">IFERROR(__xludf.DUMMYFUNCTION("""COMPUTED_VALUE"""),"")</f>
        <v/>
      </c>
      <c r="AH25" s="2" t="str">
        <f ca="1">IFERROR(__xludf.DUMMYFUNCTION("""COMPUTED_VALUE"""),"")</f>
        <v/>
      </c>
      <c r="AI25" s="2" t="str">
        <f ca="1">IFERROR(__xludf.DUMMYFUNCTION("""COMPUTED_VALUE"""),"")</f>
        <v/>
      </c>
      <c r="AJ25" s="2" t="str">
        <f ca="1">IFERROR(__xludf.DUMMYFUNCTION("""COMPUTED_VALUE"""),"")</f>
        <v/>
      </c>
      <c r="AK25" s="2" t="str">
        <f ca="1">IFERROR(__xludf.DUMMYFUNCTION("""COMPUTED_VALUE"""),"")</f>
        <v/>
      </c>
      <c r="AL25" s="2" t="str">
        <f ca="1">IFERROR(__xludf.DUMMYFUNCTION("""COMPUTED_VALUE"""),"")</f>
        <v/>
      </c>
      <c r="AM25" s="2" t="str">
        <f ca="1">IFERROR(__xludf.DUMMYFUNCTION("""COMPUTED_VALUE"""),"")</f>
        <v/>
      </c>
      <c r="AN25" s="2" t="str">
        <f ca="1">IFERROR(__xludf.DUMMYFUNCTION("""COMPUTED_VALUE"""),"")</f>
        <v/>
      </c>
      <c r="AO25" s="2" t="str">
        <f ca="1">IFERROR(__xludf.DUMMYFUNCTION("""COMPUTED_VALUE"""),"")</f>
        <v/>
      </c>
      <c r="AP25" s="2" t="str">
        <f ca="1">IFERROR(__xludf.DUMMYFUNCTION("""COMPUTED_VALUE"""),"")</f>
        <v/>
      </c>
      <c r="AQ25" s="2" t="str">
        <f ca="1">IFERROR(__xludf.DUMMYFUNCTION("""COMPUTED_VALUE"""),"")</f>
        <v/>
      </c>
      <c r="AR25" s="2" t="str">
        <f ca="1">IFERROR(__xludf.DUMMYFUNCTION("""COMPUTED_VALUE"""),"")</f>
        <v/>
      </c>
      <c r="AS25" s="2" t="str">
        <f ca="1">IFERROR(__xludf.DUMMYFUNCTION("""COMPUTED_VALUE"""),"")</f>
        <v/>
      </c>
      <c r="AT25" s="2" t="str">
        <f ca="1">IFERROR(__xludf.DUMMYFUNCTION("""COMPUTED_VALUE"""),"")</f>
        <v/>
      </c>
      <c r="AU25" s="2" t="str">
        <f ca="1">IFERROR(__xludf.DUMMYFUNCTION("""COMPUTED_VALUE"""),"")</f>
        <v/>
      </c>
      <c r="AV25" s="2" t="str">
        <f ca="1">IFERROR(__xludf.DUMMYFUNCTION("""COMPUTED_VALUE"""),"")</f>
        <v/>
      </c>
      <c r="AW25" s="2" t="str">
        <f ca="1">IFERROR(__xludf.DUMMYFUNCTION("""COMPUTED_VALUE"""),"")</f>
        <v/>
      </c>
      <c r="AX25" s="2" t="str">
        <f ca="1">IFERROR(__xludf.DUMMYFUNCTION("""COMPUTED_VALUE"""),"")</f>
        <v/>
      </c>
      <c r="AY25" s="2" t="str">
        <f ca="1">IFERROR(__xludf.DUMMYFUNCTION("""COMPUTED_VALUE"""),"")</f>
        <v/>
      </c>
      <c r="AZ25" s="2" t="str">
        <f ca="1">IFERROR(__xludf.DUMMYFUNCTION("""COMPUTED_VALUE"""),"")</f>
        <v/>
      </c>
      <c r="BA25" s="2" t="str">
        <f ca="1">IFERROR(__xludf.DUMMYFUNCTION("""COMPUTED_VALUE"""),"")</f>
        <v/>
      </c>
      <c r="BB25" s="2" t="str">
        <f ca="1">IFERROR(__xludf.DUMMYFUNCTION("""COMPUTED_VALUE"""),"")</f>
        <v/>
      </c>
      <c r="BC25" s="2" t="str">
        <f ca="1">IFERROR(__xludf.DUMMYFUNCTION("""COMPUTED_VALUE"""),"")</f>
        <v/>
      </c>
      <c r="BD25" s="2" t="str">
        <f ca="1">IFERROR(__xludf.DUMMYFUNCTION("""COMPUTED_VALUE"""),"")</f>
        <v/>
      </c>
      <c r="BE25" s="2" t="str">
        <f ca="1">IFERROR(__xludf.DUMMYFUNCTION("""COMPUTED_VALUE"""),"")</f>
        <v/>
      </c>
      <c r="BF25" t="str">
        <f ca="1">IFERROR(__xludf.DUMMYFUNCTION("""COMPUTED_VALUE"""),"")</f>
        <v/>
      </c>
      <c r="BG25" t="str">
        <f ca="1">IFERROR(__xludf.DUMMYFUNCTION("""COMPUTED_VALUE"""),"")</f>
        <v/>
      </c>
      <c r="BH25" t="str">
        <f ca="1">IFERROR(__xludf.DUMMYFUNCTION("""COMPUTED_VALUE"""),"")</f>
        <v/>
      </c>
      <c r="BI25" t="str">
        <f ca="1">IFERROR(__xludf.DUMMYFUNCTION("""COMPUTED_VALUE"""),"")</f>
        <v/>
      </c>
      <c r="BJ25" s="3" t="str">
        <f ca="1">IFERROR(__xludf.DUMMYFUNCTION("""COMPUTED_VALUE"""),"")</f>
        <v/>
      </c>
    </row>
    <row r="26" spans="1:62" ht="12.5" x14ac:dyDescent="0.25">
      <c r="A26" s="6">
        <f ca="1">IFERROR(__xludf.DUMMYFUNCTION("""COMPUTED_VALUE"""),43254.4272604282)</f>
        <v>43254.427260428201</v>
      </c>
      <c r="B26" s="2" t="str">
        <f ca="1">IFERROR(__xludf.DUMMYFUNCTION("""COMPUTED_VALUE"""),"Bay of Plenty")</f>
        <v>Bay of Plenty</v>
      </c>
      <c r="C26" s="2" t="str">
        <f ca="1">IFERROR(__xludf.DUMMYFUNCTION("""COMPUTED_VALUE"""),"Tx 17")</f>
        <v>Tx 17</v>
      </c>
      <c r="D26" s="10">
        <f ca="1">IFERROR(__xludf.DUMMYFUNCTION("""COMPUTED_VALUE"""),43237)</f>
        <v>43237</v>
      </c>
      <c r="E26" s="4">
        <f ca="1">IFERROR(__xludf.DUMMYFUNCTION("""COMPUTED_VALUE"""),0.58333333333212)</f>
        <v>0.58333333333212001</v>
      </c>
      <c r="F26" s="2" t="str">
        <f ca="1">IFERROR(__xludf.DUMMYFUNCTION("""COMPUTED_VALUE"""),"Little Waihi")</f>
        <v>Little Waihi</v>
      </c>
      <c r="G26" s="2" t="str">
        <f ca="1">IFERROR(__xludf.DUMMYFUNCTION("""COMPUTED_VALUE"""),"VHF (triangulation): I triangulated the bird with at least three bearings")</f>
        <v>VHF (triangulation): I triangulated the bird with at least three bearings</v>
      </c>
      <c r="H26" s="2" t="str">
        <f ca="1">IFERROR(__xludf.DUMMYFUNCTION("""COMPUTED_VALUE"""),"")</f>
        <v/>
      </c>
      <c r="I26" s="2" t="str">
        <f ca="1">IFERROR(__xludf.DUMMYFUNCTION("""COMPUTED_VALUE"""),"")</f>
        <v/>
      </c>
      <c r="J26" s="2" t="str">
        <f ca="1">IFERROR(__xludf.DUMMYFUNCTION("""COMPUTED_VALUE"""),"")</f>
        <v/>
      </c>
      <c r="K26" s="2" t="str">
        <f ca="1">IFERROR(__xludf.DUMMYFUNCTION("""COMPUTED_VALUE"""),"")</f>
        <v/>
      </c>
      <c r="L26" s="2" t="str">
        <f ca="1">IFERROR(__xludf.DUMMYFUNCTION("""COMPUTED_VALUE"""),"")</f>
        <v/>
      </c>
      <c r="M26" s="5" t="str">
        <f ca="1">IFERROR(__xludf.DUMMYFUNCTION("""COMPUTED_VALUE"""),"")</f>
        <v/>
      </c>
      <c r="N26" s="5" t="str">
        <f ca="1">IFERROR(__xludf.DUMMYFUNCTION("""COMPUTED_VALUE"""),"")</f>
        <v/>
      </c>
      <c r="O26" s="2" t="str">
        <f ca="1">IFERROR(__xludf.DUMMYFUNCTION("""COMPUTED_VALUE"""),"")</f>
        <v/>
      </c>
      <c r="P26" s="2" t="str">
        <f ca="1">IFERROR(__xludf.DUMMYFUNCTION("""COMPUTED_VALUE"""),"")</f>
        <v/>
      </c>
      <c r="Q26" s="2" t="str">
        <f ca="1">IFERROR(__xludf.DUMMYFUNCTION("""COMPUTED_VALUE"""),"")</f>
        <v/>
      </c>
      <c r="R26" s="2" t="str">
        <f ca="1">IFERROR(__xludf.DUMMYFUNCTION("""COMPUTED_VALUE"""),"")</f>
        <v/>
      </c>
      <c r="S26" s="2" t="str">
        <f ca="1">IFERROR(__xludf.DUMMYFUNCTION("""COMPUTED_VALUE"""),"")</f>
        <v/>
      </c>
      <c r="T26" s="2" t="str">
        <f ca="1">IFERROR(__xludf.DUMMYFUNCTION("""COMPUTED_VALUE"""),"")</f>
        <v/>
      </c>
      <c r="U26" s="2" t="str">
        <f ca="1">IFERROR(__xludf.DUMMYFUNCTION("""COMPUTED_VALUE"""),"")</f>
        <v/>
      </c>
      <c r="V26" s="2" t="str">
        <f ca="1">IFERROR(__xludf.DUMMYFUNCTION("""COMPUTED_VALUE"""),"")</f>
        <v/>
      </c>
      <c r="W26" s="2" t="str">
        <f ca="1">IFERROR(__xludf.DUMMYFUNCTION("""COMPUTED_VALUE"""),"")</f>
        <v/>
      </c>
      <c r="X26" s="2" t="str">
        <f ca="1">IFERROR(__xludf.DUMMYFUNCTION("""COMPUTED_VALUE"""),"")</f>
        <v/>
      </c>
      <c r="Y26" s="2" t="str">
        <f ca="1">IFERROR(__xludf.DUMMYFUNCTION("""COMPUTED_VALUE"""),"")</f>
        <v/>
      </c>
      <c r="Z26" s="2" t="str">
        <f ca="1">IFERROR(__xludf.DUMMYFUNCTION("""COMPUTED_VALUE"""),"")</f>
        <v/>
      </c>
      <c r="AA26" s="2">
        <f ca="1">IFERROR(__xludf.DUMMYFUNCTION("""COMPUTED_VALUE"""),1907681)</f>
        <v>1907681</v>
      </c>
      <c r="AB26" s="2">
        <f ca="1">IFERROR(__xludf.DUMMYFUNCTION("""COMPUTED_VALUE"""),5812258)</f>
        <v>5812258</v>
      </c>
      <c r="AC26" s="2">
        <f ca="1">IFERROR(__xludf.DUMMYFUNCTION("""COMPUTED_VALUE"""),300)</f>
        <v>300</v>
      </c>
      <c r="AD26" s="2" t="str">
        <f ca="1">IFERROR(__xludf.DUMMYFUNCTION("""COMPUTED_VALUE"""),"Medium - Signal was good but bird was not close.")</f>
        <v>Medium - Signal was good but bird was not close.</v>
      </c>
      <c r="AE26" s="2">
        <f ca="1">IFERROR(__xludf.DUMMYFUNCTION("""COMPUTED_VALUE"""),1907547)</f>
        <v>1907547</v>
      </c>
      <c r="AF26" s="2">
        <f ca="1">IFERROR(__xludf.DUMMYFUNCTION("""COMPUTED_VALUE"""),5812875)</f>
        <v>5812875</v>
      </c>
      <c r="AG26" s="2">
        <f ca="1">IFERROR(__xludf.DUMMYFUNCTION("""COMPUTED_VALUE"""),290)</f>
        <v>290</v>
      </c>
      <c r="AH26" s="2" t="str">
        <f ca="1">IFERROR(__xludf.DUMMYFUNCTION("""COMPUTED_VALUE"""),"Strong - I got a lovely, clear, strong signal.")</f>
        <v>Strong - I got a lovely, clear, strong signal.</v>
      </c>
      <c r="AI26" s="2">
        <f ca="1">IFERROR(__xludf.DUMMYFUNCTION("""COMPUTED_VALUE"""),1906994)</f>
        <v>1906994</v>
      </c>
      <c r="AJ26" s="2">
        <f ca="1">IFERROR(__xludf.DUMMYFUNCTION("""COMPUTED_VALUE"""),5812967)</f>
        <v>5812967</v>
      </c>
      <c r="AK26" s="2">
        <f ca="1">IFERROR(__xludf.DUMMYFUNCTION("""COMPUTED_VALUE"""),280)</f>
        <v>280</v>
      </c>
      <c r="AL26" s="2" t="str">
        <f ca="1">IFERROR(__xludf.DUMMYFUNCTION("""COMPUTED_VALUE"""),"Strong - I got a lovely, clear, strong signal.")</f>
        <v>Strong - I got a lovely, clear, strong signal.</v>
      </c>
      <c r="AM26" s="2" t="str">
        <f ca="1">IFERROR(__xludf.DUMMYFUNCTION("""COMPUTED_VALUE"""),"")</f>
        <v/>
      </c>
      <c r="AN26" s="2" t="str">
        <f ca="1">IFERROR(__xludf.DUMMYFUNCTION("""COMPUTED_VALUE"""),"")</f>
        <v/>
      </c>
      <c r="AO26" s="2" t="str">
        <f ca="1">IFERROR(__xludf.DUMMYFUNCTION("""COMPUTED_VALUE"""),"")</f>
        <v/>
      </c>
      <c r="AP26" s="2" t="str">
        <f ca="1">IFERROR(__xludf.DUMMYFUNCTION("""COMPUTED_VALUE"""),"")</f>
        <v/>
      </c>
      <c r="AQ26" s="2" t="str">
        <f ca="1">IFERROR(__xludf.DUMMYFUNCTION("""COMPUTED_VALUE"""),"")</f>
        <v/>
      </c>
      <c r="AR26" s="2" t="str">
        <f ca="1">IFERROR(__xludf.DUMMYFUNCTION("""COMPUTED_VALUE"""),"")</f>
        <v/>
      </c>
      <c r="AS26" s="2" t="str">
        <f ca="1">IFERROR(__xludf.DUMMYFUNCTION("""COMPUTED_VALUE"""),"")</f>
        <v/>
      </c>
      <c r="AT26" s="2" t="str">
        <f ca="1">IFERROR(__xludf.DUMMYFUNCTION("""COMPUTED_VALUE"""),"")</f>
        <v/>
      </c>
      <c r="AU26" s="2" t="str">
        <f ca="1">IFERROR(__xludf.DUMMYFUNCTION("""COMPUTED_VALUE"""),"# 17 seems very glued to this spot in the western side of the WMR")</f>
        <v># 17 seems very glued to this spot in the western side of the WMR</v>
      </c>
      <c r="AV26" s="2" t="str">
        <f ca="1">IFERROR(__xludf.DUMMYFUNCTION("""COMPUTED_VALUE"""),"")</f>
        <v/>
      </c>
      <c r="AW26" s="2" t="str">
        <f ca="1">IFERROR(__xludf.DUMMYFUNCTION("""COMPUTED_VALUE"""),"")</f>
        <v/>
      </c>
      <c r="AX26" s="2" t="str">
        <f ca="1">IFERROR(__xludf.DUMMYFUNCTION("""COMPUTED_VALUE"""),"")</f>
        <v/>
      </c>
      <c r="AY26" s="2" t="str">
        <f ca="1">IFERROR(__xludf.DUMMYFUNCTION("""COMPUTED_VALUE"""),"")</f>
        <v/>
      </c>
      <c r="AZ26" s="2" t="str">
        <f ca="1">IFERROR(__xludf.DUMMYFUNCTION("""COMPUTED_VALUE"""),"")</f>
        <v/>
      </c>
      <c r="BA26" s="2" t="str">
        <f ca="1">IFERROR(__xludf.DUMMYFUNCTION("""COMPUTED_VALUE"""),"")</f>
        <v/>
      </c>
      <c r="BB26" s="2" t="str">
        <f ca="1">IFERROR(__xludf.DUMMYFUNCTION("""COMPUTED_VALUE"""),"")</f>
        <v/>
      </c>
      <c r="BC26" s="2" t="str">
        <f ca="1">IFERROR(__xludf.DUMMYFUNCTION("""COMPUTED_VALUE"""),"")</f>
        <v/>
      </c>
      <c r="BD26" s="2" t="str">
        <f ca="1">IFERROR(__xludf.DUMMYFUNCTION("""COMPUTED_VALUE"""),"")</f>
        <v/>
      </c>
      <c r="BE26" s="2" t="str">
        <f ca="1">IFERROR(__xludf.DUMMYFUNCTION("""COMPUTED_VALUE"""),"")</f>
        <v/>
      </c>
      <c r="BF26" t="str">
        <f ca="1">IFERROR(__xludf.DUMMYFUNCTION("""COMPUTED_VALUE"""),"")</f>
        <v/>
      </c>
      <c r="BG26" t="str">
        <f ca="1">IFERROR(__xludf.DUMMYFUNCTION("""COMPUTED_VALUE"""),"")</f>
        <v/>
      </c>
      <c r="BH26" t="str">
        <f ca="1">IFERROR(__xludf.DUMMYFUNCTION("""COMPUTED_VALUE"""),"")</f>
        <v/>
      </c>
      <c r="BI26" t="str">
        <f ca="1">IFERROR(__xludf.DUMMYFUNCTION("""COMPUTED_VALUE"""),"")</f>
        <v/>
      </c>
      <c r="BJ26" s="3" t="str">
        <f ca="1">IFERROR(__xludf.DUMMYFUNCTION("""COMPUTED_VALUE"""),"")</f>
        <v/>
      </c>
    </row>
    <row r="27" spans="1:62" ht="12.5" x14ac:dyDescent="0.25">
      <c r="A27" s="6">
        <f ca="1">IFERROR(__xludf.DUMMYFUNCTION("""COMPUTED_VALUE"""),43254.4366247685)</f>
        <v>43254.436624768503</v>
      </c>
      <c r="B27" s="2" t="str">
        <f ca="1">IFERROR(__xludf.DUMMYFUNCTION("""COMPUTED_VALUE"""),"Bay of Plenty")</f>
        <v>Bay of Plenty</v>
      </c>
      <c r="C27" s="2" t="str">
        <f ca="1">IFERROR(__xludf.DUMMYFUNCTION("""COMPUTED_VALUE"""),"Tx 17")</f>
        <v>Tx 17</v>
      </c>
      <c r="D27" s="10">
        <f ca="1">IFERROR(__xludf.DUMMYFUNCTION("""COMPUTED_VALUE"""),43252)</f>
        <v>43252</v>
      </c>
      <c r="E27" s="4">
        <f ca="1">IFERROR(__xludf.DUMMYFUNCTION("""COMPUTED_VALUE"""),0.666666666667879)</f>
        <v>0.66666666666787899</v>
      </c>
      <c r="F27" s="2" t="str">
        <f ca="1">IFERROR(__xludf.DUMMYFUNCTION("""COMPUTED_VALUE"""),"Little Waihi")</f>
        <v>Little Waihi</v>
      </c>
      <c r="G27" s="2" t="str">
        <f ca="1">IFERROR(__xludf.DUMMYFUNCTION("""COMPUTED_VALUE"""),"VHF (triangulation): I triangulated the bird with at least three bearings")</f>
        <v>VHF (triangulation): I triangulated the bird with at least three bearings</v>
      </c>
      <c r="H27" s="2" t="str">
        <f ca="1">IFERROR(__xludf.DUMMYFUNCTION("""COMPUTED_VALUE"""),"")</f>
        <v/>
      </c>
      <c r="I27" s="2" t="str">
        <f ca="1">IFERROR(__xludf.DUMMYFUNCTION("""COMPUTED_VALUE"""),"")</f>
        <v/>
      </c>
      <c r="J27" s="2" t="str">
        <f ca="1">IFERROR(__xludf.DUMMYFUNCTION("""COMPUTED_VALUE"""),"")</f>
        <v/>
      </c>
      <c r="K27" s="2" t="str">
        <f ca="1">IFERROR(__xludf.DUMMYFUNCTION("""COMPUTED_VALUE"""),"")</f>
        <v/>
      </c>
      <c r="L27" s="2" t="str">
        <f ca="1">IFERROR(__xludf.DUMMYFUNCTION("""COMPUTED_VALUE"""),"")</f>
        <v/>
      </c>
      <c r="M27" s="5" t="str">
        <f ca="1">IFERROR(__xludf.DUMMYFUNCTION("""COMPUTED_VALUE"""),"")</f>
        <v/>
      </c>
      <c r="N27" s="5" t="str">
        <f ca="1">IFERROR(__xludf.DUMMYFUNCTION("""COMPUTED_VALUE"""),"")</f>
        <v/>
      </c>
      <c r="O27" s="2" t="str">
        <f ca="1">IFERROR(__xludf.DUMMYFUNCTION("""COMPUTED_VALUE"""),"")</f>
        <v/>
      </c>
      <c r="P27" s="2" t="str">
        <f ca="1">IFERROR(__xludf.DUMMYFUNCTION("""COMPUTED_VALUE"""),"")</f>
        <v/>
      </c>
      <c r="Q27" s="2" t="str">
        <f ca="1">IFERROR(__xludf.DUMMYFUNCTION("""COMPUTED_VALUE"""),"")</f>
        <v/>
      </c>
      <c r="R27" s="2" t="str">
        <f ca="1">IFERROR(__xludf.DUMMYFUNCTION("""COMPUTED_VALUE"""),"")</f>
        <v/>
      </c>
      <c r="S27" s="2" t="str">
        <f ca="1">IFERROR(__xludf.DUMMYFUNCTION("""COMPUTED_VALUE"""),"")</f>
        <v/>
      </c>
      <c r="T27" s="2" t="str">
        <f ca="1">IFERROR(__xludf.DUMMYFUNCTION("""COMPUTED_VALUE"""),"")</f>
        <v/>
      </c>
      <c r="U27" s="2" t="str">
        <f ca="1">IFERROR(__xludf.DUMMYFUNCTION("""COMPUTED_VALUE"""),"")</f>
        <v/>
      </c>
      <c r="V27" s="2" t="str">
        <f ca="1">IFERROR(__xludf.DUMMYFUNCTION("""COMPUTED_VALUE"""),"")</f>
        <v/>
      </c>
      <c r="W27" s="2" t="str">
        <f ca="1">IFERROR(__xludf.DUMMYFUNCTION("""COMPUTED_VALUE"""),"")</f>
        <v/>
      </c>
      <c r="X27" s="2" t="str">
        <f ca="1">IFERROR(__xludf.DUMMYFUNCTION("""COMPUTED_VALUE"""),"")</f>
        <v/>
      </c>
      <c r="Y27" s="2" t="str">
        <f ca="1">IFERROR(__xludf.DUMMYFUNCTION("""COMPUTED_VALUE"""),"")</f>
        <v/>
      </c>
      <c r="Z27" s="2" t="str">
        <f ca="1">IFERROR(__xludf.DUMMYFUNCTION("""COMPUTED_VALUE"""),"")</f>
        <v/>
      </c>
      <c r="AA27" s="2">
        <f ca="1">IFERROR(__xludf.DUMMYFUNCTION("""COMPUTED_VALUE"""),1907681)</f>
        <v>1907681</v>
      </c>
      <c r="AB27" s="2">
        <f ca="1">IFERROR(__xludf.DUMMYFUNCTION("""COMPUTED_VALUE"""),5812258)</f>
        <v>5812258</v>
      </c>
      <c r="AC27" s="2">
        <f ca="1">IFERROR(__xludf.DUMMYFUNCTION("""COMPUTED_VALUE"""),260)</f>
        <v>260</v>
      </c>
      <c r="AD27" s="2" t="str">
        <f ca="1">IFERROR(__xludf.DUMMYFUNCTION("""COMPUTED_VALUE"""),"Medium - Signal was good but bird was not close.")</f>
        <v>Medium - Signal was good but bird was not close.</v>
      </c>
      <c r="AE27" s="2">
        <f ca="1">IFERROR(__xludf.DUMMYFUNCTION("""COMPUTED_VALUE"""),1907547)</f>
        <v>1907547</v>
      </c>
      <c r="AF27" s="2">
        <f ca="1">IFERROR(__xludf.DUMMYFUNCTION("""COMPUTED_VALUE"""),5812876)</f>
        <v>5812876</v>
      </c>
      <c r="AG27" s="2">
        <f ca="1">IFERROR(__xludf.DUMMYFUNCTION("""COMPUTED_VALUE"""),250)</f>
        <v>250</v>
      </c>
      <c r="AH27" s="2" t="str">
        <f ca="1">IFERROR(__xludf.DUMMYFUNCTION("""COMPUTED_VALUE"""),"Medium - Signal was good but bird was not close.")</f>
        <v>Medium - Signal was good but bird was not close.</v>
      </c>
      <c r="AI27" s="2">
        <f ca="1">IFERROR(__xludf.DUMMYFUNCTION("""COMPUTED_VALUE"""),1906994)</f>
        <v>1906994</v>
      </c>
      <c r="AJ27" s="2">
        <f ca="1">IFERROR(__xludf.DUMMYFUNCTION("""COMPUTED_VALUE"""),5812967)</f>
        <v>5812967</v>
      </c>
      <c r="AK27" s="2">
        <f ca="1">IFERROR(__xludf.DUMMYFUNCTION("""COMPUTED_VALUE"""),290)</f>
        <v>290</v>
      </c>
      <c r="AL27" s="2" t="str">
        <f ca="1">IFERROR(__xludf.DUMMYFUNCTION("""COMPUTED_VALUE"""),"Strong - I got a lovely, clear, strong signal.")</f>
        <v>Strong - I got a lovely, clear, strong signal.</v>
      </c>
      <c r="AM27" s="2">
        <f ca="1">IFERROR(__xludf.DUMMYFUNCTION("""COMPUTED_VALUE"""),1907650)</f>
        <v>1907650</v>
      </c>
      <c r="AN27" s="2">
        <f ca="1">IFERROR(__xludf.DUMMYFUNCTION("""COMPUTED_VALUE"""),5814148)</f>
        <v>5814148</v>
      </c>
      <c r="AO27" s="2">
        <f ca="1">IFERROR(__xludf.DUMMYFUNCTION("""COMPUTED_VALUE"""),225)</f>
        <v>225</v>
      </c>
      <c r="AP27" s="2" t="str">
        <f ca="1">IFERROR(__xludf.DUMMYFUNCTION("""COMPUTED_VALUE"""),"Medium - Signal was good but bird was not close.")</f>
        <v>Medium - Signal was good but bird was not close.</v>
      </c>
      <c r="AQ27" s="2" t="str">
        <f ca="1">IFERROR(__xludf.DUMMYFUNCTION("""COMPUTED_VALUE"""),"")</f>
        <v/>
      </c>
      <c r="AR27" s="2" t="str">
        <f ca="1">IFERROR(__xludf.DUMMYFUNCTION("""COMPUTED_VALUE"""),"")</f>
        <v/>
      </c>
      <c r="AS27" s="2" t="str">
        <f ca="1">IFERROR(__xludf.DUMMYFUNCTION("""COMPUTED_VALUE"""),"")</f>
        <v/>
      </c>
      <c r="AT27" s="2" t="str">
        <f ca="1">IFERROR(__xludf.DUMMYFUNCTION("""COMPUTED_VALUE"""),"")</f>
        <v/>
      </c>
      <c r="AU27" s="2" t="str">
        <f ca="1">IFERROR(__xludf.DUMMYFUNCTION("""COMPUTED_VALUE"""),"Regular spot")</f>
        <v>Regular spot</v>
      </c>
      <c r="AV27" s="2" t="str">
        <f ca="1">IFERROR(__xludf.DUMMYFUNCTION("""COMPUTED_VALUE"""),"")</f>
        <v/>
      </c>
      <c r="AW27" s="2" t="str">
        <f ca="1">IFERROR(__xludf.DUMMYFUNCTION("""COMPUTED_VALUE"""),"")</f>
        <v/>
      </c>
      <c r="AX27" s="2" t="str">
        <f ca="1">IFERROR(__xludf.DUMMYFUNCTION("""COMPUTED_VALUE"""),"")</f>
        <v/>
      </c>
      <c r="AY27" s="2" t="str">
        <f ca="1">IFERROR(__xludf.DUMMYFUNCTION("""COMPUTED_VALUE"""),"")</f>
        <v/>
      </c>
      <c r="AZ27" s="2" t="str">
        <f ca="1">IFERROR(__xludf.DUMMYFUNCTION("""COMPUTED_VALUE"""),"")</f>
        <v/>
      </c>
      <c r="BA27" s="2" t="str">
        <f ca="1">IFERROR(__xludf.DUMMYFUNCTION("""COMPUTED_VALUE"""),"")</f>
        <v/>
      </c>
      <c r="BB27" s="2" t="str">
        <f ca="1">IFERROR(__xludf.DUMMYFUNCTION("""COMPUTED_VALUE"""),"")</f>
        <v/>
      </c>
      <c r="BC27" s="2" t="str">
        <f ca="1">IFERROR(__xludf.DUMMYFUNCTION("""COMPUTED_VALUE"""),"")</f>
        <v/>
      </c>
      <c r="BD27" s="2" t="str">
        <f ca="1">IFERROR(__xludf.DUMMYFUNCTION("""COMPUTED_VALUE"""),"")</f>
        <v/>
      </c>
      <c r="BE27" s="2" t="str">
        <f ca="1">IFERROR(__xludf.DUMMYFUNCTION("""COMPUTED_VALUE"""),"")</f>
        <v/>
      </c>
      <c r="BF27" t="str">
        <f ca="1">IFERROR(__xludf.DUMMYFUNCTION("""COMPUTED_VALUE"""),"")</f>
        <v/>
      </c>
      <c r="BG27" t="str">
        <f ca="1">IFERROR(__xludf.DUMMYFUNCTION("""COMPUTED_VALUE"""),"")</f>
        <v/>
      </c>
      <c r="BH27" t="str">
        <f ca="1">IFERROR(__xludf.DUMMYFUNCTION("""COMPUTED_VALUE"""),"")</f>
        <v/>
      </c>
      <c r="BI27" t="str">
        <f ca="1">IFERROR(__xludf.DUMMYFUNCTION("""COMPUTED_VALUE"""),"")</f>
        <v/>
      </c>
      <c r="BJ27" s="3" t="str">
        <f ca="1">IFERROR(__xludf.DUMMYFUNCTION("""COMPUTED_VALUE"""),"")</f>
        <v/>
      </c>
    </row>
    <row r="28" spans="1:62" ht="12.5" x14ac:dyDescent="0.25">
      <c r="A28" s="6">
        <f ca="1">IFERROR(__xludf.DUMMYFUNCTION("""COMPUTED_VALUE"""),43256.8495047106)</f>
        <v>43256.849504710597</v>
      </c>
      <c r="B28" s="2" t="str">
        <f ca="1">IFERROR(__xludf.DUMMYFUNCTION("""COMPUTED_VALUE"""),"Bay of Plenty")</f>
        <v>Bay of Plenty</v>
      </c>
      <c r="C28" s="2" t="str">
        <f ca="1">IFERROR(__xludf.DUMMYFUNCTION("""COMPUTED_VALUE"""),"Tx 17")</f>
        <v>Tx 17</v>
      </c>
      <c r="D28" s="10">
        <f ca="1">IFERROR(__xludf.DUMMYFUNCTION("""COMPUTED_VALUE"""),43256)</f>
        <v>43256</v>
      </c>
      <c r="E28" s="4">
        <f ca="1">IFERROR(__xludf.DUMMYFUNCTION("""COMPUTED_VALUE"""),0.52083333333212)</f>
        <v>0.52083333333212001</v>
      </c>
      <c r="F28" s="2" t="str">
        <f ca="1">IFERROR(__xludf.DUMMYFUNCTION("""COMPUTED_VALUE"""),"Cutwater rd")</f>
        <v>Cutwater rd</v>
      </c>
      <c r="G28" s="2" t="str">
        <f ca="1">IFERROR(__xludf.DUMMYFUNCTION("""COMPUTED_VALUE"""),"VHF (close approach): I followed the signal until I got within 50 m of the bird")</f>
        <v>VHF (close approach): I followed the signal until I got within 50 m of the bird</v>
      </c>
      <c r="H28" s="2" t="str">
        <f ca="1">IFERROR(__xludf.DUMMYFUNCTION("""COMPUTED_VALUE"""),"")</f>
        <v/>
      </c>
      <c r="I28" s="2" t="str">
        <f ca="1">IFERROR(__xludf.DUMMYFUNCTION("""COMPUTED_VALUE"""),"")</f>
        <v/>
      </c>
      <c r="J28" s="2" t="str">
        <f ca="1">IFERROR(__xludf.DUMMYFUNCTION("""COMPUTED_VALUE"""),"")</f>
        <v/>
      </c>
      <c r="K28" s="2" t="str">
        <f ca="1">IFERROR(__xludf.DUMMYFUNCTION("""COMPUTED_VALUE"""),"")</f>
        <v/>
      </c>
      <c r="L28" s="2" t="str">
        <f ca="1">IFERROR(__xludf.DUMMYFUNCTION("""COMPUTED_VALUE"""),"No - I got very close to the bird but it was well hidden in the vegetation")</f>
        <v>No - I got very close to the bird but it was well hidden in the vegetation</v>
      </c>
      <c r="M28" s="5">
        <f ca="1">IFERROR(__xludf.DUMMYFUNCTION("""COMPUTED_VALUE"""),1907057.59)</f>
        <v>1907057.59</v>
      </c>
      <c r="N28" s="5">
        <f ca="1">IFERROR(__xludf.DUMMYFUNCTION("""COMPUTED_VALUE"""),5812843.86)</f>
        <v>5812843.8600000003</v>
      </c>
      <c r="O28" s="2" t="str">
        <f ca="1">IFERROR(__xludf.DUMMYFUNCTION("""COMPUTED_VALUE"""),"")</f>
        <v/>
      </c>
      <c r="P28" s="2" t="str">
        <f ca="1">IFERROR(__xludf.DUMMYFUNCTION("""COMPUTED_VALUE"""),"")</f>
        <v/>
      </c>
      <c r="Q28" s="2" t="str">
        <f ca="1">IFERROR(__xludf.DUMMYFUNCTION("""COMPUTED_VALUE"""),"Wet")</f>
        <v>Wet</v>
      </c>
      <c r="R28" s="2" t="str">
        <f ca="1">IFERROR(__xludf.DUMMYFUNCTION("""COMPUTED_VALUE"""),"unknown")</f>
        <v>unknown</v>
      </c>
      <c r="S28" s="2" t="str">
        <f ca="1">IFERROR(__xludf.DUMMYFUNCTION("""COMPUTED_VALUE"""),"60-70m from old river bed")</f>
        <v>60-70m from old river bed</v>
      </c>
      <c r="T28" s="2" t="str">
        <f ca="1">IFERROR(__xludf.DUMMYFUNCTION("""COMPUTED_VALUE"""),"Farmland - Rushes ")</f>
        <v xml:space="preserve">Farmland - Rushes </v>
      </c>
      <c r="U28" s="2" t="str">
        <f ca="1">IFERROR(__xludf.DUMMYFUNCTION("""COMPUTED_VALUE"""),"heavy rain event- lots of surface flooding")</f>
        <v>heavy rain event- lots of surface flooding</v>
      </c>
      <c r="V28" s="2" t="str">
        <f ca="1">IFERROR(__xludf.DUMMYFUNCTION("""COMPUTED_VALUE"""),"")</f>
        <v/>
      </c>
      <c r="W28" s="2" t="str">
        <f ca="1">IFERROR(__xludf.DUMMYFUNCTION("""COMPUTED_VALUE"""),"")</f>
        <v/>
      </c>
      <c r="X28" s="2" t="str">
        <f ca="1">IFERROR(__xludf.DUMMYFUNCTION("""COMPUTED_VALUE"""),"")</f>
        <v/>
      </c>
      <c r="Y28" s="2" t="str">
        <f ca="1">IFERROR(__xludf.DUMMYFUNCTION("""COMPUTED_VALUE"""),"")</f>
        <v/>
      </c>
      <c r="Z28" s="2" t="str">
        <f ca="1">IFERROR(__xludf.DUMMYFUNCTION("""COMPUTED_VALUE"""),"")</f>
        <v/>
      </c>
      <c r="AA28" s="2" t="str">
        <f ca="1">IFERROR(__xludf.DUMMYFUNCTION("""COMPUTED_VALUE"""),"")</f>
        <v/>
      </c>
      <c r="AB28" s="2" t="str">
        <f ca="1">IFERROR(__xludf.DUMMYFUNCTION("""COMPUTED_VALUE"""),"")</f>
        <v/>
      </c>
      <c r="AC28" s="2" t="str">
        <f ca="1">IFERROR(__xludf.DUMMYFUNCTION("""COMPUTED_VALUE"""),"")</f>
        <v/>
      </c>
      <c r="AD28" s="2" t="str">
        <f ca="1">IFERROR(__xludf.DUMMYFUNCTION("""COMPUTED_VALUE"""),"")</f>
        <v/>
      </c>
      <c r="AE28" s="2" t="str">
        <f ca="1">IFERROR(__xludf.DUMMYFUNCTION("""COMPUTED_VALUE"""),"")</f>
        <v/>
      </c>
      <c r="AF28" s="2" t="str">
        <f ca="1">IFERROR(__xludf.DUMMYFUNCTION("""COMPUTED_VALUE"""),"")</f>
        <v/>
      </c>
      <c r="AG28" s="2" t="str">
        <f ca="1">IFERROR(__xludf.DUMMYFUNCTION("""COMPUTED_VALUE"""),"")</f>
        <v/>
      </c>
      <c r="AH28" s="2" t="str">
        <f ca="1">IFERROR(__xludf.DUMMYFUNCTION("""COMPUTED_VALUE"""),"")</f>
        <v/>
      </c>
      <c r="AI28" s="2" t="str">
        <f ca="1">IFERROR(__xludf.DUMMYFUNCTION("""COMPUTED_VALUE"""),"")</f>
        <v/>
      </c>
      <c r="AJ28" s="2" t="str">
        <f ca="1">IFERROR(__xludf.DUMMYFUNCTION("""COMPUTED_VALUE"""),"")</f>
        <v/>
      </c>
      <c r="AK28" s="2" t="str">
        <f ca="1">IFERROR(__xludf.DUMMYFUNCTION("""COMPUTED_VALUE"""),"")</f>
        <v/>
      </c>
      <c r="AL28" s="2" t="str">
        <f ca="1">IFERROR(__xludf.DUMMYFUNCTION("""COMPUTED_VALUE"""),"")</f>
        <v/>
      </c>
      <c r="AM28" s="2" t="str">
        <f ca="1">IFERROR(__xludf.DUMMYFUNCTION("""COMPUTED_VALUE"""),"")</f>
        <v/>
      </c>
      <c r="AN28" s="2" t="str">
        <f ca="1">IFERROR(__xludf.DUMMYFUNCTION("""COMPUTED_VALUE"""),"")</f>
        <v/>
      </c>
      <c r="AO28" s="2" t="str">
        <f ca="1">IFERROR(__xludf.DUMMYFUNCTION("""COMPUTED_VALUE"""),"")</f>
        <v/>
      </c>
      <c r="AP28" s="2" t="str">
        <f ca="1">IFERROR(__xludf.DUMMYFUNCTION("""COMPUTED_VALUE"""),"")</f>
        <v/>
      </c>
      <c r="AQ28" s="2" t="str">
        <f ca="1">IFERROR(__xludf.DUMMYFUNCTION("""COMPUTED_VALUE"""),"")</f>
        <v/>
      </c>
      <c r="AR28" s="2" t="str">
        <f ca="1">IFERROR(__xludf.DUMMYFUNCTION("""COMPUTED_VALUE"""),"")</f>
        <v/>
      </c>
      <c r="AS28" s="2" t="str">
        <f ca="1">IFERROR(__xludf.DUMMYFUNCTION("""COMPUTED_VALUE"""),"")</f>
        <v/>
      </c>
      <c r="AT28" s="2" t="str">
        <f ca="1">IFERROR(__xludf.DUMMYFUNCTION("""COMPUTED_VALUE"""),"")</f>
        <v/>
      </c>
      <c r="AU28" s="2" t="str">
        <f ca="1">IFERROR(__xludf.DUMMYFUNCTION("""COMPUTED_VALUE"""),"")</f>
        <v/>
      </c>
      <c r="AV28" s="2" t="str">
        <f ca="1">IFERROR(__xludf.DUMMYFUNCTION("""COMPUTED_VALUE"""),"")</f>
        <v/>
      </c>
      <c r="AW28" s="2" t="str">
        <f ca="1">IFERROR(__xludf.DUMMYFUNCTION("""COMPUTED_VALUE"""),"")</f>
        <v/>
      </c>
      <c r="AX28" s="2" t="str">
        <f ca="1">IFERROR(__xludf.DUMMYFUNCTION("""COMPUTED_VALUE"""),"")</f>
        <v/>
      </c>
      <c r="AY28" s="2" t="str">
        <f ca="1">IFERROR(__xludf.DUMMYFUNCTION("""COMPUTED_VALUE"""),"")</f>
        <v/>
      </c>
      <c r="AZ28" s="2" t="str">
        <f ca="1">IFERROR(__xludf.DUMMYFUNCTION("""COMPUTED_VALUE"""),"")</f>
        <v/>
      </c>
      <c r="BA28" s="2" t="str">
        <f ca="1">IFERROR(__xludf.DUMMYFUNCTION("""COMPUTED_VALUE"""),"")</f>
        <v/>
      </c>
      <c r="BB28" s="2" t="str">
        <f ca="1">IFERROR(__xludf.DUMMYFUNCTION("""COMPUTED_VALUE"""),"")</f>
        <v/>
      </c>
      <c r="BC28" s="2" t="str">
        <f ca="1">IFERROR(__xludf.DUMMYFUNCTION("""COMPUTED_VALUE"""),"")</f>
        <v/>
      </c>
      <c r="BD28" s="2" t="str">
        <f ca="1">IFERROR(__xludf.DUMMYFUNCTION("""COMPUTED_VALUE"""),"")</f>
        <v/>
      </c>
      <c r="BE28" s="2" t="str">
        <f ca="1">IFERROR(__xludf.DUMMYFUNCTION("""COMPUTED_VALUE"""),"")</f>
        <v/>
      </c>
      <c r="BF28" t="str">
        <f ca="1">IFERROR(__xludf.DUMMYFUNCTION("""COMPUTED_VALUE"""),"")</f>
        <v/>
      </c>
      <c r="BG28" t="str">
        <f ca="1">IFERROR(__xludf.DUMMYFUNCTION("""COMPUTED_VALUE"""),"")</f>
        <v/>
      </c>
      <c r="BH28" t="str">
        <f ca="1">IFERROR(__xludf.DUMMYFUNCTION("""COMPUTED_VALUE"""),"")</f>
        <v/>
      </c>
      <c r="BI28" t="str">
        <f ca="1">IFERROR(__xludf.DUMMYFUNCTION("""COMPUTED_VALUE"""),"")</f>
        <v/>
      </c>
      <c r="BJ28" s="3" t="str">
        <f ca="1">IFERROR(__xludf.DUMMYFUNCTION("""COMPUTED_VALUE"""),"")</f>
        <v/>
      </c>
    </row>
    <row r="29" spans="1:62" ht="12.5" x14ac:dyDescent="0.25">
      <c r="A29" s="6">
        <f ca="1">IFERROR(__xludf.DUMMYFUNCTION("""COMPUTED_VALUE"""),43258.563774074)</f>
        <v>43258.563774073999</v>
      </c>
      <c r="B29" s="2" t="str">
        <f ca="1">IFERROR(__xludf.DUMMYFUNCTION("""COMPUTED_VALUE"""),"Bay of Plenty")</f>
        <v>Bay of Plenty</v>
      </c>
      <c r="C29" s="2" t="str">
        <f ca="1">IFERROR(__xludf.DUMMYFUNCTION("""COMPUTED_VALUE"""),"Tx 17")</f>
        <v>Tx 17</v>
      </c>
      <c r="D29" s="10">
        <f ca="1">IFERROR(__xludf.DUMMYFUNCTION("""COMPUTED_VALUE"""),43147)</f>
        <v>43147</v>
      </c>
      <c r="E29" s="4">
        <f ca="1">IFERROR(__xludf.DUMMYFUNCTION("""COMPUTED_VALUE"""),0.416666666667879)</f>
        <v>0.41666666666787899</v>
      </c>
      <c r="F29" s="2" t="str">
        <f ca="1">IFERROR(__xludf.DUMMYFUNCTION("""COMPUTED_VALUE"""),"Little Waihi")</f>
        <v>Little Waihi</v>
      </c>
      <c r="G29" s="2" t="str">
        <f ca="1">IFERROR(__xludf.DUMMYFUNCTION("""COMPUTED_VALUE"""),"GPS: I converted data downloaded from ARGOS using Pinpoint software")</f>
        <v>GPS: I converted data downloaded from ARGOS using Pinpoint software</v>
      </c>
      <c r="H29" s="2" t="str">
        <f ca="1">IFERROR(__xludf.DUMMYFUNCTION("""COMPUTED_VALUE"""),"")</f>
        <v/>
      </c>
      <c r="I29" s="2" t="str">
        <f ca="1">IFERROR(__xludf.DUMMYFUNCTION("""COMPUTED_VALUE"""),"")</f>
        <v/>
      </c>
      <c r="J29" s="2" t="str">
        <f ca="1">IFERROR(__xludf.DUMMYFUNCTION("""COMPUTED_VALUE"""),"")</f>
        <v/>
      </c>
      <c r="K29" s="2" t="str">
        <f ca="1">IFERROR(__xludf.DUMMYFUNCTION("""COMPUTED_VALUE"""),"")</f>
        <v/>
      </c>
      <c r="L29" s="2" t="str">
        <f ca="1">IFERROR(__xludf.DUMMYFUNCTION("""COMPUTED_VALUE"""),"")</f>
        <v/>
      </c>
      <c r="M29" s="5" t="str">
        <f ca="1">IFERROR(__xludf.DUMMYFUNCTION("""COMPUTED_VALUE"""),"")</f>
        <v/>
      </c>
      <c r="N29" s="5" t="str">
        <f ca="1">IFERROR(__xludf.DUMMYFUNCTION("""COMPUTED_VALUE"""),"")</f>
        <v/>
      </c>
      <c r="O29" s="2" t="str">
        <f ca="1">IFERROR(__xludf.DUMMYFUNCTION("""COMPUTED_VALUE"""),"")</f>
        <v/>
      </c>
      <c r="P29" s="2" t="str">
        <f ca="1">IFERROR(__xludf.DUMMYFUNCTION("""COMPUTED_VALUE"""),"")</f>
        <v/>
      </c>
      <c r="Q29" s="2" t="str">
        <f ca="1">IFERROR(__xludf.DUMMYFUNCTION("""COMPUTED_VALUE"""),"")</f>
        <v/>
      </c>
      <c r="R29" s="2" t="str">
        <f ca="1">IFERROR(__xludf.DUMMYFUNCTION("""COMPUTED_VALUE"""),"")</f>
        <v/>
      </c>
      <c r="S29" s="2" t="str">
        <f ca="1">IFERROR(__xludf.DUMMYFUNCTION("""COMPUTED_VALUE"""),"")</f>
        <v/>
      </c>
      <c r="T29" s="2" t="str">
        <f ca="1">IFERROR(__xludf.DUMMYFUNCTION("""COMPUTED_VALUE"""),"")</f>
        <v/>
      </c>
      <c r="U29" s="2" t="str">
        <f ca="1">IFERROR(__xludf.DUMMYFUNCTION("""COMPUTED_VALUE"""),"")</f>
        <v/>
      </c>
      <c r="V29" s="2" t="str">
        <f ca="1">IFERROR(__xludf.DUMMYFUNCTION("""COMPUTED_VALUE"""),"")</f>
        <v/>
      </c>
      <c r="W29" s="2" t="str">
        <f ca="1">IFERROR(__xludf.DUMMYFUNCTION("""COMPUTED_VALUE"""),"")</f>
        <v/>
      </c>
      <c r="X29" s="2" t="str">
        <f ca="1">IFERROR(__xludf.DUMMYFUNCTION("""COMPUTED_VALUE"""),"")</f>
        <v/>
      </c>
      <c r="Y29" s="2" t="str">
        <f ca="1">IFERROR(__xludf.DUMMYFUNCTION("""COMPUTED_VALUE"""),"")</f>
        <v/>
      </c>
      <c r="Z29" s="2" t="str">
        <f ca="1">IFERROR(__xludf.DUMMYFUNCTION("""COMPUTED_VALUE"""),"")</f>
        <v/>
      </c>
      <c r="AA29" s="2" t="str">
        <f ca="1">IFERROR(__xludf.DUMMYFUNCTION("""COMPUTED_VALUE"""),"")</f>
        <v/>
      </c>
      <c r="AB29" s="2" t="str">
        <f ca="1">IFERROR(__xludf.DUMMYFUNCTION("""COMPUTED_VALUE"""),"")</f>
        <v/>
      </c>
      <c r="AC29" s="2" t="str">
        <f ca="1">IFERROR(__xludf.DUMMYFUNCTION("""COMPUTED_VALUE"""),"")</f>
        <v/>
      </c>
      <c r="AD29" s="2" t="str">
        <f ca="1">IFERROR(__xludf.DUMMYFUNCTION("""COMPUTED_VALUE"""),"")</f>
        <v/>
      </c>
      <c r="AE29" s="2" t="str">
        <f ca="1">IFERROR(__xludf.DUMMYFUNCTION("""COMPUTED_VALUE"""),"")</f>
        <v/>
      </c>
      <c r="AF29" s="2" t="str">
        <f ca="1">IFERROR(__xludf.DUMMYFUNCTION("""COMPUTED_VALUE"""),"")</f>
        <v/>
      </c>
      <c r="AG29" s="2" t="str">
        <f ca="1">IFERROR(__xludf.DUMMYFUNCTION("""COMPUTED_VALUE"""),"")</f>
        <v/>
      </c>
      <c r="AH29" s="2" t="str">
        <f ca="1">IFERROR(__xludf.DUMMYFUNCTION("""COMPUTED_VALUE"""),"")</f>
        <v/>
      </c>
      <c r="AI29" s="2" t="str">
        <f ca="1">IFERROR(__xludf.DUMMYFUNCTION("""COMPUTED_VALUE"""),"")</f>
        <v/>
      </c>
      <c r="AJ29" s="2" t="str">
        <f ca="1">IFERROR(__xludf.DUMMYFUNCTION("""COMPUTED_VALUE"""),"")</f>
        <v/>
      </c>
      <c r="AK29" s="2" t="str">
        <f ca="1">IFERROR(__xludf.DUMMYFUNCTION("""COMPUTED_VALUE"""),"")</f>
        <v/>
      </c>
      <c r="AL29" s="2" t="str">
        <f ca="1">IFERROR(__xludf.DUMMYFUNCTION("""COMPUTED_VALUE"""),"")</f>
        <v/>
      </c>
      <c r="AM29" s="2" t="str">
        <f ca="1">IFERROR(__xludf.DUMMYFUNCTION("""COMPUTED_VALUE"""),"")</f>
        <v/>
      </c>
      <c r="AN29" s="2" t="str">
        <f ca="1">IFERROR(__xludf.DUMMYFUNCTION("""COMPUTED_VALUE"""),"")</f>
        <v/>
      </c>
      <c r="AO29" s="2" t="str">
        <f ca="1">IFERROR(__xludf.DUMMYFUNCTION("""COMPUTED_VALUE"""),"")</f>
        <v/>
      </c>
      <c r="AP29" s="2" t="str">
        <f ca="1">IFERROR(__xludf.DUMMYFUNCTION("""COMPUTED_VALUE"""),"")</f>
        <v/>
      </c>
      <c r="AQ29" s="2" t="str">
        <f ca="1">IFERROR(__xludf.DUMMYFUNCTION("""COMPUTED_VALUE"""),"")</f>
        <v/>
      </c>
      <c r="AR29" s="2" t="str">
        <f ca="1">IFERROR(__xludf.DUMMYFUNCTION("""COMPUTED_VALUE"""),"")</f>
        <v/>
      </c>
      <c r="AS29" s="2" t="str">
        <f ca="1">IFERROR(__xludf.DUMMYFUNCTION("""COMPUTED_VALUE"""),"")</f>
        <v/>
      </c>
      <c r="AT29" s="2" t="str">
        <f ca="1">IFERROR(__xludf.DUMMYFUNCTION("""COMPUTED_VALUE"""),"")</f>
        <v/>
      </c>
      <c r="AU29" s="2" t="str">
        <f ca="1">IFERROR(__xludf.DUMMYFUNCTION("""COMPUTED_VALUE"""),"")</f>
        <v/>
      </c>
      <c r="AV29" s="2" t="str">
        <f ca="1">IFERROR(__xludf.DUMMYFUNCTION("""COMPUTED_VALUE"""),"")</f>
        <v/>
      </c>
      <c r="AW29" s="2" t="str">
        <f ca="1">IFERROR(__xludf.DUMMYFUNCTION("""COMPUTED_VALUE"""),"")</f>
        <v/>
      </c>
      <c r="AX29" s="2" t="str">
        <f ca="1">IFERROR(__xludf.DUMMYFUNCTION("""COMPUTED_VALUE"""),"")</f>
        <v/>
      </c>
      <c r="AY29" s="2" t="str">
        <f ca="1">IFERROR(__xludf.DUMMYFUNCTION("""COMPUTED_VALUE"""),"")</f>
        <v/>
      </c>
      <c r="AZ29" s="2" t="str">
        <f ca="1">IFERROR(__xludf.DUMMYFUNCTION("""COMPUTED_VALUE"""),"3D")</f>
        <v>3D</v>
      </c>
      <c r="BA29" s="2">
        <f ca="1">IFERROR(__xludf.DUMMYFUNCTION("""COMPUTED_VALUE"""),1907159)</f>
        <v>1907159</v>
      </c>
      <c r="BB29" s="2">
        <f ca="1">IFERROR(__xludf.DUMMYFUNCTION("""COMPUTED_VALUE"""),5812871)</f>
        <v>5812871</v>
      </c>
      <c r="BC29" s="2" t="str">
        <f ca="1">IFERROR(__xludf.DUMMYFUNCTION("""COMPUTED_VALUE"""),"Original UK date and time: 15-02-2018; 21:00:48")</f>
        <v>Original UK date and time: 15-02-2018; 21:00:48</v>
      </c>
      <c r="BD29" s="2" t="str">
        <f ca="1">IFERROR(__xludf.DUMMYFUNCTION("""COMPUTED_VALUE"""),"")</f>
        <v/>
      </c>
      <c r="BE29" s="2" t="str">
        <f ca="1">IFERROR(__xludf.DUMMYFUNCTION("""COMPUTED_VALUE"""),"")</f>
        <v/>
      </c>
      <c r="BF29" t="str">
        <f ca="1">IFERROR(__xludf.DUMMYFUNCTION("""COMPUTED_VALUE"""),"")</f>
        <v/>
      </c>
      <c r="BG29" t="str">
        <f ca="1">IFERROR(__xludf.DUMMYFUNCTION("""COMPUTED_VALUE"""),"")</f>
        <v/>
      </c>
      <c r="BH29" t="str">
        <f ca="1">IFERROR(__xludf.DUMMYFUNCTION("""COMPUTED_VALUE"""),"")</f>
        <v/>
      </c>
      <c r="BI29" t="str">
        <f ca="1">IFERROR(__xludf.DUMMYFUNCTION("""COMPUTED_VALUE"""),"")</f>
        <v/>
      </c>
      <c r="BJ29" s="3" t="str">
        <f ca="1">IFERROR(__xludf.DUMMYFUNCTION("""COMPUTED_VALUE"""),"")</f>
        <v/>
      </c>
    </row>
    <row r="30" spans="1:62" ht="12.5" x14ac:dyDescent="0.25">
      <c r="A30" s="6">
        <f ca="1">IFERROR(__xludf.DUMMYFUNCTION("""COMPUTED_VALUE"""),43258.5652371875)</f>
        <v>43258.565237187497</v>
      </c>
      <c r="B30" s="2" t="str">
        <f ca="1">IFERROR(__xludf.DUMMYFUNCTION("""COMPUTED_VALUE"""),"Bay of Plenty")</f>
        <v>Bay of Plenty</v>
      </c>
      <c r="C30" s="2" t="str">
        <f ca="1">IFERROR(__xludf.DUMMYFUNCTION("""COMPUTED_VALUE"""),"Tx 17")</f>
        <v>Tx 17</v>
      </c>
      <c r="D30" s="10">
        <f ca="1">IFERROR(__xludf.DUMMYFUNCTION("""COMPUTED_VALUE"""),43154)</f>
        <v>43154</v>
      </c>
      <c r="E30" s="4">
        <f ca="1">IFERROR(__xludf.DUMMYFUNCTION("""COMPUTED_VALUE"""),0.415277777778101)</f>
        <v>0.41527777777810099</v>
      </c>
      <c r="F30" s="2" t="str">
        <f ca="1">IFERROR(__xludf.DUMMYFUNCTION("""COMPUTED_VALUE"""),"Little Waihi")</f>
        <v>Little Waihi</v>
      </c>
      <c r="G30" s="2" t="str">
        <f ca="1">IFERROR(__xludf.DUMMYFUNCTION("""COMPUTED_VALUE"""),"GPS: I converted data downloaded from ARGOS using Pinpoint software")</f>
        <v>GPS: I converted data downloaded from ARGOS using Pinpoint software</v>
      </c>
      <c r="H30" s="2" t="str">
        <f ca="1">IFERROR(__xludf.DUMMYFUNCTION("""COMPUTED_VALUE"""),"")</f>
        <v/>
      </c>
      <c r="I30" s="2" t="str">
        <f ca="1">IFERROR(__xludf.DUMMYFUNCTION("""COMPUTED_VALUE"""),"")</f>
        <v/>
      </c>
      <c r="J30" s="2" t="str">
        <f ca="1">IFERROR(__xludf.DUMMYFUNCTION("""COMPUTED_VALUE"""),"")</f>
        <v/>
      </c>
      <c r="K30" s="2" t="str">
        <f ca="1">IFERROR(__xludf.DUMMYFUNCTION("""COMPUTED_VALUE"""),"")</f>
        <v/>
      </c>
      <c r="L30" s="2" t="str">
        <f ca="1">IFERROR(__xludf.DUMMYFUNCTION("""COMPUTED_VALUE"""),"")</f>
        <v/>
      </c>
      <c r="M30" s="5" t="str">
        <f ca="1">IFERROR(__xludf.DUMMYFUNCTION("""COMPUTED_VALUE"""),"")</f>
        <v/>
      </c>
      <c r="N30" s="5" t="str">
        <f ca="1">IFERROR(__xludf.DUMMYFUNCTION("""COMPUTED_VALUE"""),"")</f>
        <v/>
      </c>
      <c r="O30" s="2" t="str">
        <f ca="1">IFERROR(__xludf.DUMMYFUNCTION("""COMPUTED_VALUE"""),"")</f>
        <v/>
      </c>
      <c r="P30" s="2" t="str">
        <f ca="1">IFERROR(__xludf.DUMMYFUNCTION("""COMPUTED_VALUE"""),"")</f>
        <v/>
      </c>
      <c r="Q30" s="2" t="str">
        <f ca="1">IFERROR(__xludf.DUMMYFUNCTION("""COMPUTED_VALUE"""),"")</f>
        <v/>
      </c>
      <c r="R30" s="2" t="str">
        <f ca="1">IFERROR(__xludf.DUMMYFUNCTION("""COMPUTED_VALUE"""),"")</f>
        <v/>
      </c>
      <c r="S30" s="2" t="str">
        <f ca="1">IFERROR(__xludf.DUMMYFUNCTION("""COMPUTED_VALUE"""),"")</f>
        <v/>
      </c>
      <c r="T30" s="2" t="str">
        <f ca="1">IFERROR(__xludf.DUMMYFUNCTION("""COMPUTED_VALUE"""),"")</f>
        <v/>
      </c>
      <c r="U30" s="2" t="str">
        <f ca="1">IFERROR(__xludf.DUMMYFUNCTION("""COMPUTED_VALUE"""),"")</f>
        <v/>
      </c>
      <c r="V30" s="2" t="str">
        <f ca="1">IFERROR(__xludf.DUMMYFUNCTION("""COMPUTED_VALUE"""),"")</f>
        <v/>
      </c>
      <c r="W30" s="2" t="str">
        <f ca="1">IFERROR(__xludf.DUMMYFUNCTION("""COMPUTED_VALUE"""),"")</f>
        <v/>
      </c>
      <c r="X30" s="2" t="str">
        <f ca="1">IFERROR(__xludf.DUMMYFUNCTION("""COMPUTED_VALUE"""),"")</f>
        <v/>
      </c>
      <c r="Y30" s="2" t="str">
        <f ca="1">IFERROR(__xludf.DUMMYFUNCTION("""COMPUTED_VALUE"""),"")</f>
        <v/>
      </c>
      <c r="Z30" s="2" t="str">
        <f ca="1">IFERROR(__xludf.DUMMYFUNCTION("""COMPUTED_VALUE"""),"")</f>
        <v/>
      </c>
      <c r="AA30" s="2" t="str">
        <f ca="1">IFERROR(__xludf.DUMMYFUNCTION("""COMPUTED_VALUE"""),"")</f>
        <v/>
      </c>
      <c r="AB30" s="2" t="str">
        <f ca="1">IFERROR(__xludf.DUMMYFUNCTION("""COMPUTED_VALUE"""),"")</f>
        <v/>
      </c>
      <c r="AC30" s="2" t="str">
        <f ca="1">IFERROR(__xludf.DUMMYFUNCTION("""COMPUTED_VALUE"""),"")</f>
        <v/>
      </c>
      <c r="AD30" s="2" t="str">
        <f ca="1">IFERROR(__xludf.DUMMYFUNCTION("""COMPUTED_VALUE"""),"")</f>
        <v/>
      </c>
      <c r="AE30" s="2" t="str">
        <f ca="1">IFERROR(__xludf.DUMMYFUNCTION("""COMPUTED_VALUE"""),"")</f>
        <v/>
      </c>
      <c r="AF30" s="2" t="str">
        <f ca="1">IFERROR(__xludf.DUMMYFUNCTION("""COMPUTED_VALUE"""),"")</f>
        <v/>
      </c>
      <c r="AG30" s="2" t="str">
        <f ca="1">IFERROR(__xludf.DUMMYFUNCTION("""COMPUTED_VALUE"""),"")</f>
        <v/>
      </c>
      <c r="AH30" s="2" t="str">
        <f ca="1">IFERROR(__xludf.DUMMYFUNCTION("""COMPUTED_VALUE"""),"")</f>
        <v/>
      </c>
      <c r="AI30" s="2" t="str">
        <f ca="1">IFERROR(__xludf.DUMMYFUNCTION("""COMPUTED_VALUE"""),"")</f>
        <v/>
      </c>
      <c r="AJ30" s="2" t="str">
        <f ca="1">IFERROR(__xludf.DUMMYFUNCTION("""COMPUTED_VALUE"""),"")</f>
        <v/>
      </c>
      <c r="AK30" s="2" t="str">
        <f ca="1">IFERROR(__xludf.DUMMYFUNCTION("""COMPUTED_VALUE"""),"")</f>
        <v/>
      </c>
      <c r="AL30" s="2" t="str">
        <f ca="1">IFERROR(__xludf.DUMMYFUNCTION("""COMPUTED_VALUE"""),"")</f>
        <v/>
      </c>
      <c r="AM30" s="2" t="str">
        <f ca="1">IFERROR(__xludf.DUMMYFUNCTION("""COMPUTED_VALUE"""),"")</f>
        <v/>
      </c>
      <c r="AN30" s="2" t="str">
        <f ca="1">IFERROR(__xludf.DUMMYFUNCTION("""COMPUTED_VALUE"""),"")</f>
        <v/>
      </c>
      <c r="AO30" s="2" t="str">
        <f ca="1">IFERROR(__xludf.DUMMYFUNCTION("""COMPUTED_VALUE"""),"")</f>
        <v/>
      </c>
      <c r="AP30" s="2" t="str">
        <f ca="1">IFERROR(__xludf.DUMMYFUNCTION("""COMPUTED_VALUE"""),"")</f>
        <v/>
      </c>
      <c r="AQ30" s="2" t="str">
        <f ca="1">IFERROR(__xludf.DUMMYFUNCTION("""COMPUTED_VALUE"""),"")</f>
        <v/>
      </c>
      <c r="AR30" s="2" t="str">
        <f ca="1">IFERROR(__xludf.DUMMYFUNCTION("""COMPUTED_VALUE"""),"")</f>
        <v/>
      </c>
      <c r="AS30" s="2" t="str">
        <f ca="1">IFERROR(__xludf.DUMMYFUNCTION("""COMPUTED_VALUE"""),"")</f>
        <v/>
      </c>
      <c r="AT30" s="2" t="str">
        <f ca="1">IFERROR(__xludf.DUMMYFUNCTION("""COMPUTED_VALUE"""),"")</f>
        <v/>
      </c>
      <c r="AU30" s="2" t="str">
        <f ca="1">IFERROR(__xludf.DUMMYFUNCTION("""COMPUTED_VALUE"""),"")</f>
        <v/>
      </c>
      <c r="AV30" s="2" t="str">
        <f ca="1">IFERROR(__xludf.DUMMYFUNCTION("""COMPUTED_VALUE"""),"")</f>
        <v/>
      </c>
      <c r="AW30" s="2" t="str">
        <f ca="1">IFERROR(__xludf.DUMMYFUNCTION("""COMPUTED_VALUE"""),"")</f>
        <v/>
      </c>
      <c r="AX30" s="2" t="str">
        <f ca="1">IFERROR(__xludf.DUMMYFUNCTION("""COMPUTED_VALUE"""),"")</f>
        <v/>
      </c>
      <c r="AY30" s="2" t="str">
        <f ca="1">IFERROR(__xludf.DUMMYFUNCTION("""COMPUTED_VALUE"""),"")</f>
        <v/>
      </c>
      <c r="AZ30" s="2" t="str">
        <f ca="1">IFERROR(__xludf.DUMMYFUNCTION("""COMPUTED_VALUE"""),"3D")</f>
        <v>3D</v>
      </c>
      <c r="BA30" s="2">
        <f ca="1">IFERROR(__xludf.DUMMYFUNCTION("""COMPUTED_VALUE"""),1906816)</f>
        <v>1906816</v>
      </c>
      <c r="BB30" s="2">
        <f ca="1">IFERROR(__xludf.DUMMYFUNCTION("""COMPUTED_VALUE"""),5813057)</f>
        <v>5813057</v>
      </c>
      <c r="BC30" s="2" t="str">
        <f ca="1">IFERROR(__xludf.DUMMYFUNCTION("""COMPUTED_VALUE"""),"No")</f>
        <v>No</v>
      </c>
      <c r="BD30" s="2" t="str">
        <f ca="1">IFERROR(__xludf.DUMMYFUNCTION("""COMPUTED_VALUE"""),"")</f>
        <v/>
      </c>
      <c r="BE30" s="2" t="str">
        <f ca="1">IFERROR(__xludf.DUMMYFUNCTION("""COMPUTED_VALUE"""),"")</f>
        <v/>
      </c>
      <c r="BF30" t="str">
        <f ca="1">IFERROR(__xludf.DUMMYFUNCTION("""COMPUTED_VALUE"""),"")</f>
        <v/>
      </c>
      <c r="BG30" t="str">
        <f ca="1">IFERROR(__xludf.DUMMYFUNCTION("""COMPUTED_VALUE"""),"")</f>
        <v/>
      </c>
      <c r="BH30" t="str">
        <f ca="1">IFERROR(__xludf.DUMMYFUNCTION("""COMPUTED_VALUE"""),"")</f>
        <v/>
      </c>
      <c r="BI30" t="str">
        <f ca="1">IFERROR(__xludf.DUMMYFUNCTION("""COMPUTED_VALUE"""),"")</f>
        <v/>
      </c>
      <c r="BJ30" s="3" t="str">
        <f ca="1">IFERROR(__xludf.DUMMYFUNCTION("""COMPUTED_VALUE"""),"")</f>
        <v/>
      </c>
    </row>
    <row r="31" spans="1:62" ht="12.5" x14ac:dyDescent="0.25">
      <c r="A31" s="6">
        <f ca="1">IFERROR(__xludf.DUMMYFUNCTION("""COMPUTED_VALUE"""),43258.5680272106)</f>
        <v>43258.568027210596</v>
      </c>
      <c r="B31" s="2" t="str">
        <f ca="1">IFERROR(__xludf.DUMMYFUNCTION("""COMPUTED_VALUE"""),"Bay of Plenty")</f>
        <v>Bay of Plenty</v>
      </c>
      <c r="C31" s="2" t="str">
        <f ca="1">IFERROR(__xludf.DUMMYFUNCTION("""COMPUTED_VALUE"""),"Tx 17")</f>
        <v>Tx 17</v>
      </c>
      <c r="D31" s="10">
        <f ca="1">IFERROR(__xludf.DUMMYFUNCTION("""COMPUTED_VALUE"""),43168)</f>
        <v>43168</v>
      </c>
      <c r="E31" s="4">
        <f ca="1">IFERROR(__xludf.DUMMYFUNCTION("""COMPUTED_VALUE"""),0.415277777778101)</f>
        <v>0.41527777777810099</v>
      </c>
      <c r="F31" s="2" t="str">
        <f ca="1">IFERROR(__xludf.DUMMYFUNCTION("""COMPUTED_VALUE"""),"Little Waihi")</f>
        <v>Little Waihi</v>
      </c>
      <c r="G31" s="2" t="str">
        <f ca="1">IFERROR(__xludf.DUMMYFUNCTION("""COMPUTED_VALUE"""),"GPS: I converted data downloaded from ARGOS using Pinpoint software")</f>
        <v>GPS: I converted data downloaded from ARGOS using Pinpoint software</v>
      </c>
      <c r="H31" s="2" t="str">
        <f ca="1">IFERROR(__xludf.DUMMYFUNCTION("""COMPUTED_VALUE"""),"")</f>
        <v/>
      </c>
      <c r="I31" s="2" t="str">
        <f ca="1">IFERROR(__xludf.DUMMYFUNCTION("""COMPUTED_VALUE"""),"")</f>
        <v/>
      </c>
      <c r="J31" s="2" t="str">
        <f ca="1">IFERROR(__xludf.DUMMYFUNCTION("""COMPUTED_VALUE"""),"")</f>
        <v/>
      </c>
      <c r="K31" s="2" t="str">
        <f ca="1">IFERROR(__xludf.DUMMYFUNCTION("""COMPUTED_VALUE"""),"")</f>
        <v/>
      </c>
      <c r="L31" s="2" t="str">
        <f ca="1">IFERROR(__xludf.DUMMYFUNCTION("""COMPUTED_VALUE"""),"")</f>
        <v/>
      </c>
      <c r="M31" s="5" t="str">
        <f ca="1">IFERROR(__xludf.DUMMYFUNCTION("""COMPUTED_VALUE"""),"")</f>
        <v/>
      </c>
      <c r="N31" s="5" t="str">
        <f ca="1">IFERROR(__xludf.DUMMYFUNCTION("""COMPUTED_VALUE"""),"")</f>
        <v/>
      </c>
      <c r="O31" s="2" t="str">
        <f ca="1">IFERROR(__xludf.DUMMYFUNCTION("""COMPUTED_VALUE"""),"")</f>
        <v/>
      </c>
      <c r="P31" s="2" t="str">
        <f ca="1">IFERROR(__xludf.DUMMYFUNCTION("""COMPUTED_VALUE"""),"")</f>
        <v/>
      </c>
      <c r="Q31" s="2" t="str">
        <f ca="1">IFERROR(__xludf.DUMMYFUNCTION("""COMPUTED_VALUE"""),"")</f>
        <v/>
      </c>
      <c r="R31" s="2" t="str">
        <f ca="1">IFERROR(__xludf.DUMMYFUNCTION("""COMPUTED_VALUE"""),"")</f>
        <v/>
      </c>
      <c r="S31" s="2" t="str">
        <f ca="1">IFERROR(__xludf.DUMMYFUNCTION("""COMPUTED_VALUE"""),"")</f>
        <v/>
      </c>
      <c r="T31" s="2" t="str">
        <f ca="1">IFERROR(__xludf.DUMMYFUNCTION("""COMPUTED_VALUE"""),"")</f>
        <v/>
      </c>
      <c r="U31" s="2" t="str">
        <f ca="1">IFERROR(__xludf.DUMMYFUNCTION("""COMPUTED_VALUE"""),"")</f>
        <v/>
      </c>
      <c r="V31" s="2" t="str">
        <f ca="1">IFERROR(__xludf.DUMMYFUNCTION("""COMPUTED_VALUE"""),"")</f>
        <v/>
      </c>
      <c r="W31" s="2" t="str">
        <f ca="1">IFERROR(__xludf.DUMMYFUNCTION("""COMPUTED_VALUE"""),"")</f>
        <v/>
      </c>
      <c r="X31" s="2" t="str">
        <f ca="1">IFERROR(__xludf.DUMMYFUNCTION("""COMPUTED_VALUE"""),"")</f>
        <v/>
      </c>
      <c r="Y31" s="2" t="str">
        <f ca="1">IFERROR(__xludf.DUMMYFUNCTION("""COMPUTED_VALUE"""),"")</f>
        <v/>
      </c>
      <c r="Z31" s="2" t="str">
        <f ca="1">IFERROR(__xludf.DUMMYFUNCTION("""COMPUTED_VALUE"""),"")</f>
        <v/>
      </c>
      <c r="AA31" s="2" t="str">
        <f ca="1">IFERROR(__xludf.DUMMYFUNCTION("""COMPUTED_VALUE"""),"")</f>
        <v/>
      </c>
      <c r="AB31" s="2" t="str">
        <f ca="1">IFERROR(__xludf.DUMMYFUNCTION("""COMPUTED_VALUE"""),"")</f>
        <v/>
      </c>
      <c r="AC31" s="2" t="str">
        <f ca="1">IFERROR(__xludf.DUMMYFUNCTION("""COMPUTED_VALUE"""),"")</f>
        <v/>
      </c>
      <c r="AD31" s="2" t="str">
        <f ca="1">IFERROR(__xludf.DUMMYFUNCTION("""COMPUTED_VALUE"""),"")</f>
        <v/>
      </c>
      <c r="AE31" s="2" t="str">
        <f ca="1">IFERROR(__xludf.DUMMYFUNCTION("""COMPUTED_VALUE"""),"")</f>
        <v/>
      </c>
      <c r="AF31" s="2" t="str">
        <f ca="1">IFERROR(__xludf.DUMMYFUNCTION("""COMPUTED_VALUE"""),"")</f>
        <v/>
      </c>
      <c r="AG31" s="2" t="str">
        <f ca="1">IFERROR(__xludf.DUMMYFUNCTION("""COMPUTED_VALUE"""),"")</f>
        <v/>
      </c>
      <c r="AH31" s="2" t="str">
        <f ca="1">IFERROR(__xludf.DUMMYFUNCTION("""COMPUTED_VALUE"""),"")</f>
        <v/>
      </c>
      <c r="AI31" s="2" t="str">
        <f ca="1">IFERROR(__xludf.DUMMYFUNCTION("""COMPUTED_VALUE"""),"")</f>
        <v/>
      </c>
      <c r="AJ31" s="2" t="str">
        <f ca="1">IFERROR(__xludf.DUMMYFUNCTION("""COMPUTED_VALUE"""),"")</f>
        <v/>
      </c>
      <c r="AK31" s="2" t="str">
        <f ca="1">IFERROR(__xludf.DUMMYFUNCTION("""COMPUTED_VALUE"""),"")</f>
        <v/>
      </c>
      <c r="AL31" s="2" t="str">
        <f ca="1">IFERROR(__xludf.DUMMYFUNCTION("""COMPUTED_VALUE"""),"")</f>
        <v/>
      </c>
      <c r="AM31" s="2" t="str">
        <f ca="1">IFERROR(__xludf.DUMMYFUNCTION("""COMPUTED_VALUE"""),"")</f>
        <v/>
      </c>
      <c r="AN31" s="2" t="str">
        <f ca="1">IFERROR(__xludf.DUMMYFUNCTION("""COMPUTED_VALUE"""),"")</f>
        <v/>
      </c>
      <c r="AO31" s="2" t="str">
        <f ca="1">IFERROR(__xludf.DUMMYFUNCTION("""COMPUTED_VALUE"""),"")</f>
        <v/>
      </c>
      <c r="AP31" s="2" t="str">
        <f ca="1">IFERROR(__xludf.DUMMYFUNCTION("""COMPUTED_VALUE"""),"")</f>
        <v/>
      </c>
      <c r="AQ31" s="2" t="str">
        <f ca="1">IFERROR(__xludf.DUMMYFUNCTION("""COMPUTED_VALUE"""),"")</f>
        <v/>
      </c>
      <c r="AR31" s="2" t="str">
        <f ca="1">IFERROR(__xludf.DUMMYFUNCTION("""COMPUTED_VALUE"""),"")</f>
        <v/>
      </c>
      <c r="AS31" s="2" t="str">
        <f ca="1">IFERROR(__xludf.DUMMYFUNCTION("""COMPUTED_VALUE"""),"")</f>
        <v/>
      </c>
      <c r="AT31" s="2" t="str">
        <f ca="1">IFERROR(__xludf.DUMMYFUNCTION("""COMPUTED_VALUE"""),"")</f>
        <v/>
      </c>
      <c r="AU31" s="2" t="str">
        <f ca="1">IFERROR(__xludf.DUMMYFUNCTION("""COMPUTED_VALUE"""),"")</f>
        <v/>
      </c>
      <c r="AV31" s="2" t="str">
        <f ca="1">IFERROR(__xludf.DUMMYFUNCTION("""COMPUTED_VALUE"""),"")</f>
        <v/>
      </c>
      <c r="AW31" s="2" t="str">
        <f ca="1">IFERROR(__xludf.DUMMYFUNCTION("""COMPUTED_VALUE"""),"")</f>
        <v/>
      </c>
      <c r="AX31" s="2" t="str">
        <f ca="1">IFERROR(__xludf.DUMMYFUNCTION("""COMPUTED_VALUE"""),"")</f>
        <v/>
      </c>
      <c r="AY31" s="2" t="str">
        <f ca="1">IFERROR(__xludf.DUMMYFUNCTION("""COMPUTED_VALUE"""),"")</f>
        <v/>
      </c>
      <c r="AZ31" s="2" t="str">
        <f ca="1">IFERROR(__xludf.DUMMYFUNCTION("""COMPUTED_VALUE"""),"3D")</f>
        <v>3D</v>
      </c>
      <c r="BA31" s="2">
        <f ca="1">IFERROR(__xludf.DUMMYFUNCTION("""COMPUTED_VALUE"""),1906832)</f>
        <v>1906832</v>
      </c>
      <c r="BB31" s="2">
        <f ca="1">IFERROR(__xludf.DUMMYFUNCTION("""COMPUTED_VALUE"""),5813114)</f>
        <v>5813114</v>
      </c>
      <c r="BC31" s="2" t="str">
        <f ca="1">IFERROR(__xludf.DUMMYFUNCTION("""COMPUTED_VALUE"""),"No")</f>
        <v>No</v>
      </c>
      <c r="BD31" s="2" t="str">
        <f ca="1">IFERROR(__xludf.DUMMYFUNCTION("""COMPUTED_VALUE"""),"")</f>
        <v/>
      </c>
      <c r="BE31" s="2" t="str">
        <f ca="1">IFERROR(__xludf.DUMMYFUNCTION("""COMPUTED_VALUE"""),"")</f>
        <v/>
      </c>
      <c r="BF31" t="str">
        <f ca="1">IFERROR(__xludf.DUMMYFUNCTION("""COMPUTED_VALUE"""),"")</f>
        <v/>
      </c>
      <c r="BG31" t="str">
        <f ca="1">IFERROR(__xludf.DUMMYFUNCTION("""COMPUTED_VALUE"""),"")</f>
        <v/>
      </c>
      <c r="BH31" t="str">
        <f ca="1">IFERROR(__xludf.DUMMYFUNCTION("""COMPUTED_VALUE"""),"")</f>
        <v/>
      </c>
      <c r="BI31" t="str">
        <f ca="1">IFERROR(__xludf.DUMMYFUNCTION("""COMPUTED_VALUE"""),"")</f>
        <v/>
      </c>
      <c r="BJ31" s="3" t="str">
        <f ca="1">IFERROR(__xludf.DUMMYFUNCTION("""COMPUTED_VALUE"""),"")</f>
        <v/>
      </c>
    </row>
    <row r="32" spans="1:62" ht="12.5" x14ac:dyDescent="0.25">
      <c r="A32" s="6">
        <f ca="1">IFERROR(__xludf.DUMMYFUNCTION("""COMPUTED_VALUE"""),43258.570460324)</f>
        <v>43258.570460324001</v>
      </c>
      <c r="B32" s="2" t="str">
        <f ca="1">IFERROR(__xludf.DUMMYFUNCTION("""COMPUTED_VALUE"""),"Bay of Plenty")</f>
        <v>Bay of Plenty</v>
      </c>
      <c r="C32" s="2" t="str">
        <f ca="1">IFERROR(__xludf.DUMMYFUNCTION("""COMPUTED_VALUE"""),"Tx 17")</f>
        <v>Tx 17</v>
      </c>
      <c r="D32" s="10">
        <f ca="1">IFERROR(__xludf.DUMMYFUNCTION("""COMPUTED_VALUE"""),43175)</f>
        <v>43175</v>
      </c>
      <c r="E32" s="4">
        <f ca="1">IFERROR(__xludf.DUMMYFUNCTION("""COMPUTED_VALUE"""),0.416666666667879)</f>
        <v>0.41666666666787899</v>
      </c>
      <c r="F32" s="2" t="str">
        <f ca="1">IFERROR(__xludf.DUMMYFUNCTION("""COMPUTED_VALUE"""),"Little Waihi")</f>
        <v>Little Waihi</v>
      </c>
      <c r="G32" s="2" t="str">
        <f ca="1">IFERROR(__xludf.DUMMYFUNCTION("""COMPUTED_VALUE"""),"GPS: I converted data downloaded from ARGOS using Pinpoint software")</f>
        <v>GPS: I converted data downloaded from ARGOS using Pinpoint software</v>
      </c>
      <c r="H32" s="2" t="str">
        <f ca="1">IFERROR(__xludf.DUMMYFUNCTION("""COMPUTED_VALUE"""),"")</f>
        <v/>
      </c>
      <c r="I32" s="2" t="str">
        <f ca="1">IFERROR(__xludf.DUMMYFUNCTION("""COMPUTED_VALUE"""),"")</f>
        <v/>
      </c>
      <c r="J32" s="2" t="str">
        <f ca="1">IFERROR(__xludf.DUMMYFUNCTION("""COMPUTED_VALUE"""),"")</f>
        <v/>
      </c>
      <c r="K32" s="2" t="str">
        <f ca="1">IFERROR(__xludf.DUMMYFUNCTION("""COMPUTED_VALUE"""),"")</f>
        <v/>
      </c>
      <c r="L32" s="2" t="str">
        <f ca="1">IFERROR(__xludf.DUMMYFUNCTION("""COMPUTED_VALUE"""),"")</f>
        <v/>
      </c>
      <c r="M32" s="5" t="str">
        <f ca="1">IFERROR(__xludf.DUMMYFUNCTION("""COMPUTED_VALUE"""),"")</f>
        <v/>
      </c>
      <c r="N32" s="5" t="str">
        <f ca="1">IFERROR(__xludf.DUMMYFUNCTION("""COMPUTED_VALUE"""),"")</f>
        <v/>
      </c>
      <c r="O32" s="2" t="str">
        <f ca="1">IFERROR(__xludf.DUMMYFUNCTION("""COMPUTED_VALUE"""),"")</f>
        <v/>
      </c>
      <c r="P32" s="2" t="str">
        <f ca="1">IFERROR(__xludf.DUMMYFUNCTION("""COMPUTED_VALUE"""),"")</f>
        <v/>
      </c>
      <c r="Q32" s="2" t="str">
        <f ca="1">IFERROR(__xludf.DUMMYFUNCTION("""COMPUTED_VALUE"""),"")</f>
        <v/>
      </c>
      <c r="R32" s="2" t="str">
        <f ca="1">IFERROR(__xludf.DUMMYFUNCTION("""COMPUTED_VALUE"""),"")</f>
        <v/>
      </c>
      <c r="S32" s="2" t="str">
        <f ca="1">IFERROR(__xludf.DUMMYFUNCTION("""COMPUTED_VALUE"""),"")</f>
        <v/>
      </c>
      <c r="T32" s="2" t="str">
        <f ca="1">IFERROR(__xludf.DUMMYFUNCTION("""COMPUTED_VALUE"""),"")</f>
        <v/>
      </c>
      <c r="U32" s="2" t="str">
        <f ca="1">IFERROR(__xludf.DUMMYFUNCTION("""COMPUTED_VALUE"""),"")</f>
        <v/>
      </c>
      <c r="V32" s="2" t="str">
        <f ca="1">IFERROR(__xludf.DUMMYFUNCTION("""COMPUTED_VALUE"""),"")</f>
        <v/>
      </c>
      <c r="W32" s="2" t="str">
        <f ca="1">IFERROR(__xludf.DUMMYFUNCTION("""COMPUTED_VALUE"""),"")</f>
        <v/>
      </c>
      <c r="X32" s="2" t="str">
        <f ca="1">IFERROR(__xludf.DUMMYFUNCTION("""COMPUTED_VALUE"""),"")</f>
        <v/>
      </c>
      <c r="Y32" s="2" t="str">
        <f ca="1">IFERROR(__xludf.DUMMYFUNCTION("""COMPUTED_VALUE"""),"")</f>
        <v/>
      </c>
      <c r="Z32" s="2" t="str">
        <f ca="1">IFERROR(__xludf.DUMMYFUNCTION("""COMPUTED_VALUE"""),"")</f>
        <v/>
      </c>
      <c r="AA32" s="2" t="str">
        <f ca="1">IFERROR(__xludf.DUMMYFUNCTION("""COMPUTED_VALUE"""),"")</f>
        <v/>
      </c>
      <c r="AB32" s="2" t="str">
        <f ca="1">IFERROR(__xludf.DUMMYFUNCTION("""COMPUTED_VALUE"""),"")</f>
        <v/>
      </c>
      <c r="AC32" s="2" t="str">
        <f ca="1">IFERROR(__xludf.DUMMYFUNCTION("""COMPUTED_VALUE"""),"")</f>
        <v/>
      </c>
      <c r="AD32" s="2" t="str">
        <f ca="1">IFERROR(__xludf.DUMMYFUNCTION("""COMPUTED_VALUE"""),"")</f>
        <v/>
      </c>
      <c r="AE32" s="2" t="str">
        <f ca="1">IFERROR(__xludf.DUMMYFUNCTION("""COMPUTED_VALUE"""),"")</f>
        <v/>
      </c>
      <c r="AF32" s="2" t="str">
        <f ca="1">IFERROR(__xludf.DUMMYFUNCTION("""COMPUTED_VALUE"""),"")</f>
        <v/>
      </c>
      <c r="AG32" s="2" t="str">
        <f ca="1">IFERROR(__xludf.DUMMYFUNCTION("""COMPUTED_VALUE"""),"")</f>
        <v/>
      </c>
      <c r="AH32" s="2" t="str">
        <f ca="1">IFERROR(__xludf.DUMMYFUNCTION("""COMPUTED_VALUE"""),"")</f>
        <v/>
      </c>
      <c r="AI32" s="2" t="str">
        <f ca="1">IFERROR(__xludf.DUMMYFUNCTION("""COMPUTED_VALUE"""),"")</f>
        <v/>
      </c>
      <c r="AJ32" s="2" t="str">
        <f ca="1">IFERROR(__xludf.DUMMYFUNCTION("""COMPUTED_VALUE"""),"")</f>
        <v/>
      </c>
      <c r="AK32" s="2" t="str">
        <f ca="1">IFERROR(__xludf.DUMMYFUNCTION("""COMPUTED_VALUE"""),"")</f>
        <v/>
      </c>
      <c r="AL32" s="2" t="str">
        <f ca="1">IFERROR(__xludf.DUMMYFUNCTION("""COMPUTED_VALUE"""),"")</f>
        <v/>
      </c>
      <c r="AM32" s="2" t="str">
        <f ca="1">IFERROR(__xludf.DUMMYFUNCTION("""COMPUTED_VALUE"""),"")</f>
        <v/>
      </c>
      <c r="AN32" s="2" t="str">
        <f ca="1">IFERROR(__xludf.DUMMYFUNCTION("""COMPUTED_VALUE"""),"")</f>
        <v/>
      </c>
      <c r="AO32" s="2" t="str">
        <f ca="1">IFERROR(__xludf.DUMMYFUNCTION("""COMPUTED_VALUE"""),"")</f>
        <v/>
      </c>
      <c r="AP32" s="2" t="str">
        <f ca="1">IFERROR(__xludf.DUMMYFUNCTION("""COMPUTED_VALUE"""),"")</f>
        <v/>
      </c>
      <c r="AQ32" s="2" t="str">
        <f ca="1">IFERROR(__xludf.DUMMYFUNCTION("""COMPUTED_VALUE"""),"")</f>
        <v/>
      </c>
      <c r="AR32" s="2" t="str">
        <f ca="1">IFERROR(__xludf.DUMMYFUNCTION("""COMPUTED_VALUE"""),"")</f>
        <v/>
      </c>
      <c r="AS32" s="2" t="str">
        <f ca="1">IFERROR(__xludf.DUMMYFUNCTION("""COMPUTED_VALUE"""),"")</f>
        <v/>
      </c>
      <c r="AT32" s="2" t="str">
        <f ca="1">IFERROR(__xludf.DUMMYFUNCTION("""COMPUTED_VALUE"""),"")</f>
        <v/>
      </c>
      <c r="AU32" s="2" t="str">
        <f ca="1">IFERROR(__xludf.DUMMYFUNCTION("""COMPUTED_VALUE"""),"")</f>
        <v/>
      </c>
      <c r="AV32" s="2" t="str">
        <f ca="1">IFERROR(__xludf.DUMMYFUNCTION("""COMPUTED_VALUE"""),"")</f>
        <v/>
      </c>
      <c r="AW32" s="2" t="str">
        <f ca="1">IFERROR(__xludf.DUMMYFUNCTION("""COMPUTED_VALUE"""),"")</f>
        <v/>
      </c>
      <c r="AX32" s="2" t="str">
        <f ca="1">IFERROR(__xludf.DUMMYFUNCTION("""COMPUTED_VALUE"""),"")</f>
        <v/>
      </c>
      <c r="AY32" s="2" t="str">
        <f ca="1">IFERROR(__xludf.DUMMYFUNCTION("""COMPUTED_VALUE"""),"")</f>
        <v/>
      </c>
      <c r="AZ32" s="2" t="str">
        <f ca="1">IFERROR(__xludf.DUMMYFUNCTION("""COMPUTED_VALUE"""),"3D")</f>
        <v>3D</v>
      </c>
      <c r="BA32" s="2">
        <f ca="1">IFERROR(__xludf.DUMMYFUNCTION("""COMPUTED_VALUE"""),1906819)</f>
        <v>1906819</v>
      </c>
      <c r="BB32" s="2">
        <f ca="1">IFERROR(__xludf.DUMMYFUNCTION("""COMPUTED_VALUE"""),5813123)</f>
        <v>5813123</v>
      </c>
      <c r="BC32" s="2" t="str">
        <f ca="1">IFERROR(__xludf.DUMMYFUNCTION("""COMPUTED_VALUE"""),"No")</f>
        <v>No</v>
      </c>
      <c r="BD32" s="2" t="str">
        <f ca="1">IFERROR(__xludf.DUMMYFUNCTION("""COMPUTED_VALUE"""),"")</f>
        <v/>
      </c>
      <c r="BE32" s="2" t="str">
        <f ca="1">IFERROR(__xludf.DUMMYFUNCTION("""COMPUTED_VALUE"""),"")</f>
        <v/>
      </c>
      <c r="BF32" t="str">
        <f ca="1">IFERROR(__xludf.DUMMYFUNCTION("""COMPUTED_VALUE"""),"")</f>
        <v/>
      </c>
      <c r="BG32" t="str">
        <f ca="1">IFERROR(__xludf.DUMMYFUNCTION("""COMPUTED_VALUE"""),"")</f>
        <v/>
      </c>
      <c r="BH32" t="str">
        <f ca="1">IFERROR(__xludf.DUMMYFUNCTION("""COMPUTED_VALUE"""),"")</f>
        <v/>
      </c>
      <c r="BI32" t="str">
        <f ca="1">IFERROR(__xludf.DUMMYFUNCTION("""COMPUTED_VALUE"""),"")</f>
        <v/>
      </c>
      <c r="BJ32" s="3" t="str">
        <f ca="1">IFERROR(__xludf.DUMMYFUNCTION("""COMPUTED_VALUE"""),"")</f>
        <v/>
      </c>
    </row>
    <row r="33" spans="1:62" ht="12.5" x14ac:dyDescent="0.25">
      <c r="A33" s="6">
        <f ca="1">IFERROR(__xludf.DUMMYFUNCTION("""COMPUTED_VALUE"""),43258.5727068055)</f>
        <v>43258.572706805498</v>
      </c>
      <c r="B33" s="2" t="str">
        <f ca="1">IFERROR(__xludf.DUMMYFUNCTION("""COMPUTED_VALUE"""),"Bay of Plenty")</f>
        <v>Bay of Plenty</v>
      </c>
      <c r="C33" s="2" t="str">
        <f ca="1">IFERROR(__xludf.DUMMYFUNCTION("""COMPUTED_VALUE"""),"Tx 17")</f>
        <v>Tx 17</v>
      </c>
      <c r="D33" s="10">
        <f ca="1">IFERROR(__xludf.DUMMYFUNCTION("""COMPUTED_VALUE"""),43182)</f>
        <v>43182</v>
      </c>
      <c r="E33" s="4">
        <f ca="1">IFERROR(__xludf.DUMMYFUNCTION("""COMPUTED_VALUE"""),0.415277777778101)</f>
        <v>0.41527777777810099</v>
      </c>
      <c r="F33" s="2" t="str">
        <f ca="1">IFERROR(__xludf.DUMMYFUNCTION("""COMPUTED_VALUE"""),"Little Waihi")</f>
        <v>Little Waihi</v>
      </c>
      <c r="G33" s="2" t="str">
        <f ca="1">IFERROR(__xludf.DUMMYFUNCTION("""COMPUTED_VALUE"""),"GPS: I converted data downloaded from ARGOS using Pinpoint software")</f>
        <v>GPS: I converted data downloaded from ARGOS using Pinpoint software</v>
      </c>
      <c r="H33" s="2" t="str">
        <f ca="1">IFERROR(__xludf.DUMMYFUNCTION("""COMPUTED_VALUE"""),"")</f>
        <v/>
      </c>
      <c r="I33" s="2" t="str">
        <f ca="1">IFERROR(__xludf.DUMMYFUNCTION("""COMPUTED_VALUE"""),"")</f>
        <v/>
      </c>
      <c r="J33" s="2" t="str">
        <f ca="1">IFERROR(__xludf.DUMMYFUNCTION("""COMPUTED_VALUE"""),"")</f>
        <v/>
      </c>
      <c r="K33" s="2" t="str">
        <f ca="1">IFERROR(__xludf.DUMMYFUNCTION("""COMPUTED_VALUE"""),"")</f>
        <v/>
      </c>
      <c r="L33" s="2" t="str">
        <f ca="1">IFERROR(__xludf.DUMMYFUNCTION("""COMPUTED_VALUE"""),"")</f>
        <v/>
      </c>
      <c r="M33" s="5" t="str">
        <f ca="1">IFERROR(__xludf.DUMMYFUNCTION("""COMPUTED_VALUE"""),"")</f>
        <v/>
      </c>
      <c r="N33" s="5" t="str">
        <f ca="1">IFERROR(__xludf.DUMMYFUNCTION("""COMPUTED_VALUE"""),"")</f>
        <v/>
      </c>
      <c r="O33" s="2" t="str">
        <f ca="1">IFERROR(__xludf.DUMMYFUNCTION("""COMPUTED_VALUE"""),"")</f>
        <v/>
      </c>
      <c r="P33" s="2" t="str">
        <f ca="1">IFERROR(__xludf.DUMMYFUNCTION("""COMPUTED_VALUE"""),"")</f>
        <v/>
      </c>
      <c r="Q33" s="2" t="str">
        <f ca="1">IFERROR(__xludf.DUMMYFUNCTION("""COMPUTED_VALUE"""),"")</f>
        <v/>
      </c>
      <c r="R33" s="2" t="str">
        <f ca="1">IFERROR(__xludf.DUMMYFUNCTION("""COMPUTED_VALUE"""),"")</f>
        <v/>
      </c>
      <c r="S33" s="2" t="str">
        <f ca="1">IFERROR(__xludf.DUMMYFUNCTION("""COMPUTED_VALUE"""),"")</f>
        <v/>
      </c>
      <c r="T33" s="2" t="str">
        <f ca="1">IFERROR(__xludf.DUMMYFUNCTION("""COMPUTED_VALUE"""),"")</f>
        <v/>
      </c>
      <c r="U33" s="2" t="str">
        <f ca="1">IFERROR(__xludf.DUMMYFUNCTION("""COMPUTED_VALUE"""),"")</f>
        <v/>
      </c>
      <c r="V33" s="2" t="str">
        <f ca="1">IFERROR(__xludf.DUMMYFUNCTION("""COMPUTED_VALUE"""),"")</f>
        <v/>
      </c>
      <c r="W33" s="2" t="str">
        <f ca="1">IFERROR(__xludf.DUMMYFUNCTION("""COMPUTED_VALUE"""),"")</f>
        <v/>
      </c>
      <c r="X33" s="2" t="str">
        <f ca="1">IFERROR(__xludf.DUMMYFUNCTION("""COMPUTED_VALUE"""),"")</f>
        <v/>
      </c>
      <c r="Y33" s="2" t="str">
        <f ca="1">IFERROR(__xludf.DUMMYFUNCTION("""COMPUTED_VALUE"""),"")</f>
        <v/>
      </c>
      <c r="Z33" s="2" t="str">
        <f ca="1">IFERROR(__xludf.DUMMYFUNCTION("""COMPUTED_VALUE"""),"")</f>
        <v/>
      </c>
      <c r="AA33" s="2" t="str">
        <f ca="1">IFERROR(__xludf.DUMMYFUNCTION("""COMPUTED_VALUE"""),"")</f>
        <v/>
      </c>
      <c r="AB33" s="2" t="str">
        <f ca="1">IFERROR(__xludf.DUMMYFUNCTION("""COMPUTED_VALUE"""),"")</f>
        <v/>
      </c>
      <c r="AC33" s="2" t="str">
        <f ca="1">IFERROR(__xludf.DUMMYFUNCTION("""COMPUTED_VALUE"""),"")</f>
        <v/>
      </c>
      <c r="AD33" s="2" t="str">
        <f ca="1">IFERROR(__xludf.DUMMYFUNCTION("""COMPUTED_VALUE"""),"")</f>
        <v/>
      </c>
      <c r="AE33" s="2" t="str">
        <f ca="1">IFERROR(__xludf.DUMMYFUNCTION("""COMPUTED_VALUE"""),"")</f>
        <v/>
      </c>
      <c r="AF33" s="2" t="str">
        <f ca="1">IFERROR(__xludf.DUMMYFUNCTION("""COMPUTED_VALUE"""),"")</f>
        <v/>
      </c>
      <c r="AG33" s="2" t="str">
        <f ca="1">IFERROR(__xludf.DUMMYFUNCTION("""COMPUTED_VALUE"""),"")</f>
        <v/>
      </c>
      <c r="AH33" s="2" t="str">
        <f ca="1">IFERROR(__xludf.DUMMYFUNCTION("""COMPUTED_VALUE"""),"")</f>
        <v/>
      </c>
      <c r="AI33" s="2" t="str">
        <f ca="1">IFERROR(__xludf.DUMMYFUNCTION("""COMPUTED_VALUE"""),"")</f>
        <v/>
      </c>
      <c r="AJ33" s="2" t="str">
        <f ca="1">IFERROR(__xludf.DUMMYFUNCTION("""COMPUTED_VALUE"""),"")</f>
        <v/>
      </c>
      <c r="AK33" s="2" t="str">
        <f ca="1">IFERROR(__xludf.DUMMYFUNCTION("""COMPUTED_VALUE"""),"")</f>
        <v/>
      </c>
      <c r="AL33" s="2" t="str">
        <f ca="1">IFERROR(__xludf.DUMMYFUNCTION("""COMPUTED_VALUE"""),"")</f>
        <v/>
      </c>
      <c r="AM33" s="2" t="str">
        <f ca="1">IFERROR(__xludf.DUMMYFUNCTION("""COMPUTED_VALUE"""),"")</f>
        <v/>
      </c>
      <c r="AN33" s="2" t="str">
        <f ca="1">IFERROR(__xludf.DUMMYFUNCTION("""COMPUTED_VALUE"""),"")</f>
        <v/>
      </c>
      <c r="AO33" s="2" t="str">
        <f ca="1">IFERROR(__xludf.DUMMYFUNCTION("""COMPUTED_VALUE"""),"")</f>
        <v/>
      </c>
      <c r="AP33" s="2" t="str">
        <f ca="1">IFERROR(__xludf.DUMMYFUNCTION("""COMPUTED_VALUE"""),"")</f>
        <v/>
      </c>
      <c r="AQ33" s="2" t="str">
        <f ca="1">IFERROR(__xludf.DUMMYFUNCTION("""COMPUTED_VALUE"""),"")</f>
        <v/>
      </c>
      <c r="AR33" s="2" t="str">
        <f ca="1">IFERROR(__xludf.DUMMYFUNCTION("""COMPUTED_VALUE"""),"")</f>
        <v/>
      </c>
      <c r="AS33" s="2" t="str">
        <f ca="1">IFERROR(__xludf.DUMMYFUNCTION("""COMPUTED_VALUE"""),"")</f>
        <v/>
      </c>
      <c r="AT33" s="2" t="str">
        <f ca="1">IFERROR(__xludf.DUMMYFUNCTION("""COMPUTED_VALUE"""),"")</f>
        <v/>
      </c>
      <c r="AU33" s="2" t="str">
        <f ca="1">IFERROR(__xludf.DUMMYFUNCTION("""COMPUTED_VALUE"""),"")</f>
        <v/>
      </c>
      <c r="AV33" s="2" t="str">
        <f ca="1">IFERROR(__xludf.DUMMYFUNCTION("""COMPUTED_VALUE"""),"")</f>
        <v/>
      </c>
      <c r="AW33" s="2" t="str">
        <f ca="1">IFERROR(__xludf.DUMMYFUNCTION("""COMPUTED_VALUE"""),"")</f>
        <v/>
      </c>
      <c r="AX33" s="2" t="str">
        <f ca="1">IFERROR(__xludf.DUMMYFUNCTION("""COMPUTED_VALUE"""),"")</f>
        <v/>
      </c>
      <c r="AY33" s="2" t="str">
        <f ca="1">IFERROR(__xludf.DUMMYFUNCTION("""COMPUTED_VALUE"""),"")</f>
        <v/>
      </c>
      <c r="AZ33" s="2" t="str">
        <f ca="1">IFERROR(__xludf.DUMMYFUNCTION("""COMPUTED_VALUE"""),"3D")</f>
        <v>3D</v>
      </c>
      <c r="BA33" s="2">
        <f ca="1">IFERROR(__xludf.DUMMYFUNCTION("""COMPUTED_VALUE"""),1906850)</f>
        <v>1906850</v>
      </c>
      <c r="BB33" s="2">
        <f ca="1">IFERROR(__xludf.DUMMYFUNCTION("""COMPUTED_VALUE"""),5813067)</f>
        <v>5813067</v>
      </c>
      <c r="BC33" s="2" t="str">
        <f ca="1">IFERROR(__xludf.DUMMYFUNCTION("""COMPUTED_VALUE"""),"No")</f>
        <v>No</v>
      </c>
      <c r="BD33" s="2" t="str">
        <f ca="1">IFERROR(__xludf.DUMMYFUNCTION("""COMPUTED_VALUE"""),"")</f>
        <v/>
      </c>
      <c r="BE33" s="2" t="str">
        <f ca="1">IFERROR(__xludf.DUMMYFUNCTION("""COMPUTED_VALUE"""),"")</f>
        <v/>
      </c>
      <c r="BF33" t="str">
        <f ca="1">IFERROR(__xludf.DUMMYFUNCTION("""COMPUTED_VALUE"""),"")</f>
        <v/>
      </c>
      <c r="BG33" t="str">
        <f ca="1">IFERROR(__xludf.DUMMYFUNCTION("""COMPUTED_VALUE"""),"")</f>
        <v/>
      </c>
      <c r="BH33" t="str">
        <f ca="1">IFERROR(__xludf.DUMMYFUNCTION("""COMPUTED_VALUE"""),"")</f>
        <v/>
      </c>
      <c r="BI33" t="str">
        <f ca="1">IFERROR(__xludf.DUMMYFUNCTION("""COMPUTED_VALUE"""),"")</f>
        <v/>
      </c>
      <c r="BJ33" s="3" t="str">
        <f ca="1">IFERROR(__xludf.DUMMYFUNCTION("""COMPUTED_VALUE"""),"")</f>
        <v/>
      </c>
    </row>
    <row r="34" spans="1:62" ht="12.5" x14ac:dyDescent="0.25">
      <c r="A34" s="6">
        <f ca="1">IFERROR(__xludf.DUMMYFUNCTION("""COMPUTED_VALUE"""),43258.5751524999)</f>
        <v>43258.5751524999</v>
      </c>
      <c r="B34" s="2" t="str">
        <f ca="1">IFERROR(__xludf.DUMMYFUNCTION("""COMPUTED_VALUE"""),"Bay of Plenty")</f>
        <v>Bay of Plenty</v>
      </c>
      <c r="C34" s="2" t="str">
        <f ca="1">IFERROR(__xludf.DUMMYFUNCTION("""COMPUTED_VALUE"""),"Tx 17")</f>
        <v>Tx 17</v>
      </c>
      <c r="D34" s="10">
        <f ca="1">IFERROR(__xludf.DUMMYFUNCTION("""COMPUTED_VALUE"""),43189)</f>
        <v>43189</v>
      </c>
      <c r="E34" s="4">
        <f ca="1">IFERROR(__xludf.DUMMYFUNCTION("""COMPUTED_VALUE"""),0.416666666667879)</f>
        <v>0.41666666666787899</v>
      </c>
      <c r="F34" s="2" t="str">
        <f ca="1">IFERROR(__xludf.DUMMYFUNCTION("""COMPUTED_VALUE"""),"Little Waihi")</f>
        <v>Little Waihi</v>
      </c>
      <c r="G34" s="2" t="str">
        <f ca="1">IFERROR(__xludf.DUMMYFUNCTION("""COMPUTED_VALUE"""),"GPS: I converted data downloaded from ARGOS using Pinpoint software")</f>
        <v>GPS: I converted data downloaded from ARGOS using Pinpoint software</v>
      </c>
      <c r="H34" s="2" t="str">
        <f ca="1">IFERROR(__xludf.DUMMYFUNCTION("""COMPUTED_VALUE"""),"")</f>
        <v/>
      </c>
      <c r="I34" s="2" t="str">
        <f ca="1">IFERROR(__xludf.DUMMYFUNCTION("""COMPUTED_VALUE"""),"")</f>
        <v/>
      </c>
      <c r="J34" s="2" t="str">
        <f ca="1">IFERROR(__xludf.DUMMYFUNCTION("""COMPUTED_VALUE"""),"")</f>
        <v/>
      </c>
      <c r="K34" s="2" t="str">
        <f ca="1">IFERROR(__xludf.DUMMYFUNCTION("""COMPUTED_VALUE"""),"")</f>
        <v/>
      </c>
      <c r="L34" s="2" t="str">
        <f ca="1">IFERROR(__xludf.DUMMYFUNCTION("""COMPUTED_VALUE"""),"")</f>
        <v/>
      </c>
      <c r="M34" s="5" t="str">
        <f ca="1">IFERROR(__xludf.DUMMYFUNCTION("""COMPUTED_VALUE"""),"")</f>
        <v/>
      </c>
      <c r="N34" s="5" t="str">
        <f ca="1">IFERROR(__xludf.DUMMYFUNCTION("""COMPUTED_VALUE"""),"")</f>
        <v/>
      </c>
      <c r="O34" s="2" t="str">
        <f ca="1">IFERROR(__xludf.DUMMYFUNCTION("""COMPUTED_VALUE"""),"")</f>
        <v/>
      </c>
      <c r="P34" s="2" t="str">
        <f ca="1">IFERROR(__xludf.DUMMYFUNCTION("""COMPUTED_VALUE"""),"")</f>
        <v/>
      </c>
      <c r="Q34" s="2" t="str">
        <f ca="1">IFERROR(__xludf.DUMMYFUNCTION("""COMPUTED_VALUE"""),"")</f>
        <v/>
      </c>
      <c r="R34" s="2" t="str">
        <f ca="1">IFERROR(__xludf.DUMMYFUNCTION("""COMPUTED_VALUE"""),"")</f>
        <v/>
      </c>
      <c r="S34" s="2" t="str">
        <f ca="1">IFERROR(__xludf.DUMMYFUNCTION("""COMPUTED_VALUE"""),"")</f>
        <v/>
      </c>
      <c r="T34" s="2" t="str">
        <f ca="1">IFERROR(__xludf.DUMMYFUNCTION("""COMPUTED_VALUE"""),"")</f>
        <v/>
      </c>
      <c r="U34" s="2" t="str">
        <f ca="1">IFERROR(__xludf.DUMMYFUNCTION("""COMPUTED_VALUE"""),"")</f>
        <v/>
      </c>
      <c r="V34" s="2" t="str">
        <f ca="1">IFERROR(__xludf.DUMMYFUNCTION("""COMPUTED_VALUE"""),"")</f>
        <v/>
      </c>
      <c r="W34" s="2" t="str">
        <f ca="1">IFERROR(__xludf.DUMMYFUNCTION("""COMPUTED_VALUE"""),"")</f>
        <v/>
      </c>
      <c r="X34" s="2" t="str">
        <f ca="1">IFERROR(__xludf.DUMMYFUNCTION("""COMPUTED_VALUE"""),"")</f>
        <v/>
      </c>
      <c r="Y34" s="2" t="str">
        <f ca="1">IFERROR(__xludf.DUMMYFUNCTION("""COMPUTED_VALUE"""),"")</f>
        <v/>
      </c>
      <c r="Z34" s="2" t="str">
        <f ca="1">IFERROR(__xludf.DUMMYFUNCTION("""COMPUTED_VALUE"""),"")</f>
        <v/>
      </c>
      <c r="AA34" s="2" t="str">
        <f ca="1">IFERROR(__xludf.DUMMYFUNCTION("""COMPUTED_VALUE"""),"")</f>
        <v/>
      </c>
      <c r="AB34" s="2" t="str">
        <f ca="1">IFERROR(__xludf.DUMMYFUNCTION("""COMPUTED_VALUE"""),"")</f>
        <v/>
      </c>
      <c r="AC34" s="2" t="str">
        <f ca="1">IFERROR(__xludf.DUMMYFUNCTION("""COMPUTED_VALUE"""),"")</f>
        <v/>
      </c>
      <c r="AD34" s="2" t="str">
        <f ca="1">IFERROR(__xludf.DUMMYFUNCTION("""COMPUTED_VALUE"""),"")</f>
        <v/>
      </c>
      <c r="AE34" s="2" t="str">
        <f ca="1">IFERROR(__xludf.DUMMYFUNCTION("""COMPUTED_VALUE"""),"")</f>
        <v/>
      </c>
      <c r="AF34" s="2" t="str">
        <f ca="1">IFERROR(__xludf.DUMMYFUNCTION("""COMPUTED_VALUE"""),"")</f>
        <v/>
      </c>
      <c r="AG34" s="2" t="str">
        <f ca="1">IFERROR(__xludf.DUMMYFUNCTION("""COMPUTED_VALUE"""),"")</f>
        <v/>
      </c>
      <c r="AH34" s="2" t="str">
        <f ca="1">IFERROR(__xludf.DUMMYFUNCTION("""COMPUTED_VALUE"""),"")</f>
        <v/>
      </c>
      <c r="AI34" s="2" t="str">
        <f ca="1">IFERROR(__xludf.DUMMYFUNCTION("""COMPUTED_VALUE"""),"")</f>
        <v/>
      </c>
      <c r="AJ34" s="2" t="str">
        <f ca="1">IFERROR(__xludf.DUMMYFUNCTION("""COMPUTED_VALUE"""),"")</f>
        <v/>
      </c>
      <c r="AK34" s="2" t="str">
        <f ca="1">IFERROR(__xludf.DUMMYFUNCTION("""COMPUTED_VALUE"""),"")</f>
        <v/>
      </c>
      <c r="AL34" s="2" t="str">
        <f ca="1">IFERROR(__xludf.DUMMYFUNCTION("""COMPUTED_VALUE"""),"")</f>
        <v/>
      </c>
      <c r="AM34" s="2" t="str">
        <f ca="1">IFERROR(__xludf.DUMMYFUNCTION("""COMPUTED_VALUE"""),"")</f>
        <v/>
      </c>
      <c r="AN34" s="2" t="str">
        <f ca="1">IFERROR(__xludf.DUMMYFUNCTION("""COMPUTED_VALUE"""),"")</f>
        <v/>
      </c>
      <c r="AO34" s="2" t="str">
        <f ca="1">IFERROR(__xludf.DUMMYFUNCTION("""COMPUTED_VALUE"""),"")</f>
        <v/>
      </c>
      <c r="AP34" s="2" t="str">
        <f ca="1">IFERROR(__xludf.DUMMYFUNCTION("""COMPUTED_VALUE"""),"")</f>
        <v/>
      </c>
      <c r="AQ34" s="2" t="str">
        <f ca="1">IFERROR(__xludf.DUMMYFUNCTION("""COMPUTED_VALUE"""),"")</f>
        <v/>
      </c>
      <c r="AR34" s="2" t="str">
        <f ca="1">IFERROR(__xludf.DUMMYFUNCTION("""COMPUTED_VALUE"""),"")</f>
        <v/>
      </c>
      <c r="AS34" s="2" t="str">
        <f ca="1">IFERROR(__xludf.DUMMYFUNCTION("""COMPUTED_VALUE"""),"")</f>
        <v/>
      </c>
      <c r="AT34" s="2" t="str">
        <f ca="1">IFERROR(__xludf.DUMMYFUNCTION("""COMPUTED_VALUE"""),"")</f>
        <v/>
      </c>
      <c r="AU34" s="2" t="str">
        <f ca="1">IFERROR(__xludf.DUMMYFUNCTION("""COMPUTED_VALUE"""),"")</f>
        <v/>
      </c>
      <c r="AV34" s="2" t="str">
        <f ca="1">IFERROR(__xludf.DUMMYFUNCTION("""COMPUTED_VALUE"""),"")</f>
        <v/>
      </c>
      <c r="AW34" s="2" t="str">
        <f ca="1">IFERROR(__xludf.DUMMYFUNCTION("""COMPUTED_VALUE"""),"")</f>
        <v/>
      </c>
      <c r="AX34" s="2" t="str">
        <f ca="1">IFERROR(__xludf.DUMMYFUNCTION("""COMPUTED_VALUE"""),"")</f>
        <v/>
      </c>
      <c r="AY34" s="2" t="str">
        <f ca="1">IFERROR(__xludf.DUMMYFUNCTION("""COMPUTED_VALUE"""),"")</f>
        <v/>
      </c>
      <c r="AZ34" s="2" t="str">
        <f ca="1">IFERROR(__xludf.DUMMYFUNCTION("""COMPUTED_VALUE"""),"3D")</f>
        <v>3D</v>
      </c>
      <c r="BA34" s="2">
        <f ca="1">IFERROR(__xludf.DUMMYFUNCTION("""COMPUTED_VALUE"""),1906786)</f>
        <v>1906786</v>
      </c>
      <c r="BB34" s="2">
        <f ca="1">IFERROR(__xludf.DUMMYFUNCTION("""COMPUTED_VALUE"""),5813089)</f>
        <v>5813089</v>
      </c>
      <c r="BC34" s="2" t="str">
        <f ca="1">IFERROR(__xludf.DUMMYFUNCTION("""COMPUTED_VALUE"""),"No")</f>
        <v>No</v>
      </c>
      <c r="BD34" s="2" t="str">
        <f ca="1">IFERROR(__xludf.DUMMYFUNCTION("""COMPUTED_VALUE"""),"")</f>
        <v/>
      </c>
      <c r="BE34" s="2" t="str">
        <f ca="1">IFERROR(__xludf.DUMMYFUNCTION("""COMPUTED_VALUE"""),"")</f>
        <v/>
      </c>
      <c r="BF34" t="str">
        <f ca="1">IFERROR(__xludf.DUMMYFUNCTION("""COMPUTED_VALUE"""),"")</f>
        <v/>
      </c>
      <c r="BG34" t="str">
        <f ca="1">IFERROR(__xludf.DUMMYFUNCTION("""COMPUTED_VALUE"""),"")</f>
        <v/>
      </c>
      <c r="BH34" t="str">
        <f ca="1">IFERROR(__xludf.DUMMYFUNCTION("""COMPUTED_VALUE"""),"")</f>
        <v/>
      </c>
      <c r="BI34" t="str">
        <f ca="1">IFERROR(__xludf.DUMMYFUNCTION("""COMPUTED_VALUE"""),"")</f>
        <v/>
      </c>
      <c r="BJ34" s="3" t="str">
        <f ca="1">IFERROR(__xludf.DUMMYFUNCTION("""COMPUTED_VALUE"""),"")</f>
        <v/>
      </c>
    </row>
    <row r="35" spans="1:62" ht="12.5" x14ac:dyDescent="0.25">
      <c r="A35" s="6">
        <f ca="1">IFERROR(__xludf.DUMMYFUNCTION("""COMPUTED_VALUE"""),43258.5764848379)</f>
        <v>43258.576484837897</v>
      </c>
      <c r="B35" s="2" t="str">
        <f ca="1">IFERROR(__xludf.DUMMYFUNCTION("""COMPUTED_VALUE"""),"Bay of Plenty")</f>
        <v>Bay of Plenty</v>
      </c>
      <c r="C35" s="2" t="str">
        <f ca="1">IFERROR(__xludf.DUMMYFUNCTION("""COMPUTED_VALUE"""),"Tx 17")</f>
        <v>Tx 17</v>
      </c>
      <c r="D35" s="10">
        <f ca="1">IFERROR(__xludf.DUMMYFUNCTION("""COMPUTED_VALUE"""),43196)</f>
        <v>43196</v>
      </c>
      <c r="E35" s="4">
        <f ca="1">IFERROR(__xludf.DUMMYFUNCTION("""COMPUTED_VALUE"""),0.415277777778101)</f>
        <v>0.41527777777810099</v>
      </c>
      <c r="F35" s="2" t="str">
        <f ca="1">IFERROR(__xludf.DUMMYFUNCTION("""COMPUTED_VALUE"""),"Little Waihi")</f>
        <v>Little Waihi</v>
      </c>
      <c r="G35" s="2" t="str">
        <f ca="1">IFERROR(__xludf.DUMMYFUNCTION("""COMPUTED_VALUE"""),"GPS: I converted data downloaded from ARGOS using Pinpoint software")</f>
        <v>GPS: I converted data downloaded from ARGOS using Pinpoint software</v>
      </c>
      <c r="H35" s="2" t="str">
        <f ca="1">IFERROR(__xludf.DUMMYFUNCTION("""COMPUTED_VALUE"""),"")</f>
        <v/>
      </c>
      <c r="I35" s="2" t="str">
        <f ca="1">IFERROR(__xludf.DUMMYFUNCTION("""COMPUTED_VALUE"""),"")</f>
        <v/>
      </c>
      <c r="J35" s="2" t="str">
        <f ca="1">IFERROR(__xludf.DUMMYFUNCTION("""COMPUTED_VALUE"""),"")</f>
        <v/>
      </c>
      <c r="K35" s="2" t="str">
        <f ca="1">IFERROR(__xludf.DUMMYFUNCTION("""COMPUTED_VALUE"""),"")</f>
        <v/>
      </c>
      <c r="L35" s="2" t="str">
        <f ca="1">IFERROR(__xludf.DUMMYFUNCTION("""COMPUTED_VALUE"""),"")</f>
        <v/>
      </c>
      <c r="M35" s="5" t="str">
        <f ca="1">IFERROR(__xludf.DUMMYFUNCTION("""COMPUTED_VALUE"""),"")</f>
        <v/>
      </c>
      <c r="N35" s="5" t="str">
        <f ca="1">IFERROR(__xludf.DUMMYFUNCTION("""COMPUTED_VALUE"""),"")</f>
        <v/>
      </c>
      <c r="O35" s="2" t="str">
        <f ca="1">IFERROR(__xludf.DUMMYFUNCTION("""COMPUTED_VALUE"""),"")</f>
        <v/>
      </c>
      <c r="P35" s="2" t="str">
        <f ca="1">IFERROR(__xludf.DUMMYFUNCTION("""COMPUTED_VALUE"""),"")</f>
        <v/>
      </c>
      <c r="Q35" s="2" t="str">
        <f ca="1">IFERROR(__xludf.DUMMYFUNCTION("""COMPUTED_VALUE"""),"")</f>
        <v/>
      </c>
      <c r="R35" s="2" t="str">
        <f ca="1">IFERROR(__xludf.DUMMYFUNCTION("""COMPUTED_VALUE"""),"")</f>
        <v/>
      </c>
      <c r="S35" s="2" t="str">
        <f ca="1">IFERROR(__xludf.DUMMYFUNCTION("""COMPUTED_VALUE"""),"")</f>
        <v/>
      </c>
      <c r="T35" s="2" t="str">
        <f ca="1">IFERROR(__xludf.DUMMYFUNCTION("""COMPUTED_VALUE"""),"")</f>
        <v/>
      </c>
      <c r="U35" s="2" t="str">
        <f ca="1">IFERROR(__xludf.DUMMYFUNCTION("""COMPUTED_VALUE"""),"")</f>
        <v/>
      </c>
      <c r="V35" s="2" t="str">
        <f ca="1">IFERROR(__xludf.DUMMYFUNCTION("""COMPUTED_VALUE"""),"")</f>
        <v/>
      </c>
      <c r="W35" s="2" t="str">
        <f ca="1">IFERROR(__xludf.DUMMYFUNCTION("""COMPUTED_VALUE"""),"")</f>
        <v/>
      </c>
      <c r="X35" s="2" t="str">
        <f ca="1">IFERROR(__xludf.DUMMYFUNCTION("""COMPUTED_VALUE"""),"")</f>
        <v/>
      </c>
      <c r="Y35" s="2" t="str">
        <f ca="1">IFERROR(__xludf.DUMMYFUNCTION("""COMPUTED_VALUE"""),"")</f>
        <v/>
      </c>
      <c r="Z35" s="2" t="str">
        <f ca="1">IFERROR(__xludf.DUMMYFUNCTION("""COMPUTED_VALUE"""),"")</f>
        <v/>
      </c>
      <c r="AA35" s="2" t="str">
        <f ca="1">IFERROR(__xludf.DUMMYFUNCTION("""COMPUTED_VALUE"""),"")</f>
        <v/>
      </c>
      <c r="AB35" s="2" t="str">
        <f ca="1">IFERROR(__xludf.DUMMYFUNCTION("""COMPUTED_VALUE"""),"")</f>
        <v/>
      </c>
      <c r="AC35" s="2" t="str">
        <f ca="1">IFERROR(__xludf.DUMMYFUNCTION("""COMPUTED_VALUE"""),"")</f>
        <v/>
      </c>
      <c r="AD35" s="2" t="str">
        <f ca="1">IFERROR(__xludf.DUMMYFUNCTION("""COMPUTED_VALUE"""),"")</f>
        <v/>
      </c>
      <c r="AE35" s="2" t="str">
        <f ca="1">IFERROR(__xludf.DUMMYFUNCTION("""COMPUTED_VALUE"""),"")</f>
        <v/>
      </c>
      <c r="AF35" s="2" t="str">
        <f ca="1">IFERROR(__xludf.DUMMYFUNCTION("""COMPUTED_VALUE"""),"")</f>
        <v/>
      </c>
      <c r="AG35" s="2" t="str">
        <f ca="1">IFERROR(__xludf.DUMMYFUNCTION("""COMPUTED_VALUE"""),"")</f>
        <v/>
      </c>
      <c r="AH35" s="2" t="str">
        <f ca="1">IFERROR(__xludf.DUMMYFUNCTION("""COMPUTED_VALUE"""),"")</f>
        <v/>
      </c>
      <c r="AI35" s="2" t="str">
        <f ca="1">IFERROR(__xludf.DUMMYFUNCTION("""COMPUTED_VALUE"""),"")</f>
        <v/>
      </c>
      <c r="AJ35" s="2" t="str">
        <f ca="1">IFERROR(__xludf.DUMMYFUNCTION("""COMPUTED_VALUE"""),"")</f>
        <v/>
      </c>
      <c r="AK35" s="2" t="str">
        <f ca="1">IFERROR(__xludf.DUMMYFUNCTION("""COMPUTED_VALUE"""),"")</f>
        <v/>
      </c>
      <c r="AL35" s="2" t="str">
        <f ca="1">IFERROR(__xludf.DUMMYFUNCTION("""COMPUTED_VALUE"""),"")</f>
        <v/>
      </c>
      <c r="AM35" s="2" t="str">
        <f ca="1">IFERROR(__xludf.DUMMYFUNCTION("""COMPUTED_VALUE"""),"")</f>
        <v/>
      </c>
      <c r="AN35" s="2" t="str">
        <f ca="1">IFERROR(__xludf.DUMMYFUNCTION("""COMPUTED_VALUE"""),"")</f>
        <v/>
      </c>
      <c r="AO35" s="2" t="str">
        <f ca="1">IFERROR(__xludf.DUMMYFUNCTION("""COMPUTED_VALUE"""),"")</f>
        <v/>
      </c>
      <c r="AP35" s="2" t="str">
        <f ca="1">IFERROR(__xludf.DUMMYFUNCTION("""COMPUTED_VALUE"""),"")</f>
        <v/>
      </c>
      <c r="AQ35" s="2" t="str">
        <f ca="1">IFERROR(__xludf.DUMMYFUNCTION("""COMPUTED_VALUE"""),"")</f>
        <v/>
      </c>
      <c r="AR35" s="2" t="str">
        <f ca="1">IFERROR(__xludf.DUMMYFUNCTION("""COMPUTED_VALUE"""),"")</f>
        <v/>
      </c>
      <c r="AS35" s="2" t="str">
        <f ca="1">IFERROR(__xludf.DUMMYFUNCTION("""COMPUTED_VALUE"""),"")</f>
        <v/>
      </c>
      <c r="AT35" s="2" t="str">
        <f ca="1">IFERROR(__xludf.DUMMYFUNCTION("""COMPUTED_VALUE"""),"")</f>
        <v/>
      </c>
      <c r="AU35" s="2" t="str">
        <f ca="1">IFERROR(__xludf.DUMMYFUNCTION("""COMPUTED_VALUE"""),"")</f>
        <v/>
      </c>
      <c r="AV35" s="2" t="str">
        <f ca="1">IFERROR(__xludf.DUMMYFUNCTION("""COMPUTED_VALUE"""),"")</f>
        <v/>
      </c>
      <c r="AW35" s="2" t="str">
        <f ca="1">IFERROR(__xludf.DUMMYFUNCTION("""COMPUTED_VALUE"""),"")</f>
        <v/>
      </c>
      <c r="AX35" s="2" t="str">
        <f ca="1">IFERROR(__xludf.DUMMYFUNCTION("""COMPUTED_VALUE"""),"")</f>
        <v/>
      </c>
      <c r="AY35" s="2" t="str">
        <f ca="1">IFERROR(__xludf.DUMMYFUNCTION("""COMPUTED_VALUE"""),"")</f>
        <v/>
      </c>
      <c r="AZ35" s="2" t="str">
        <f ca="1">IFERROR(__xludf.DUMMYFUNCTION("""COMPUTED_VALUE"""),"3D")</f>
        <v>3D</v>
      </c>
      <c r="BA35" s="2">
        <f ca="1">IFERROR(__xludf.DUMMYFUNCTION("""COMPUTED_VALUE"""),1906689)</f>
        <v>1906689</v>
      </c>
      <c r="BB35" s="2">
        <f ca="1">IFERROR(__xludf.DUMMYFUNCTION("""COMPUTED_VALUE"""),5813042)</f>
        <v>5813042</v>
      </c>
      <c r="BC35" s="2" t="str">
        <f ca="1">IFERROR(__xludf.DUMMYFUNCTION("""COMPUTED_VALUE"""),"No")</f>
        <v>No</v>
      </c>
      <c r="BD35" s="2" t="str">
        <f ca="1">IFERROR(__xludf.DUMMYFUNCTION("""COMPUTED_VALUE"""),"")</f>
        <v/>
      </c>
      <c r="BE35" s="2" t="str">
        <f ca="1">IFERROR(__xludf.DUMMYFUNCTION("""COMPUTED_VALUE"""),"")</f>
        <v/>
      </c>
      <c r="BF35" t="str">
        <f ca="1">IFERROR(__xludf.DUMMYFUNCTION("""COMPUTED_VALUE"""),"")</f>
        <v/>
      </c>
      <c r="BG35" t="str">
        <f ca="1">IFERROR(__xludf.DUMMYFUNCTION("""COMPUTED_VALUE"""),"")</f>
        <v/>
      </c>
      <c r="BH35" t="str">
        <f ca="1">IFERROR(__xludf.DUMMYFUNCTION("""COMPUTED_VALUE"""),"")</f>
        <v/>
      </c>
      <c r="BI35" t="str">
        <f ca="1">IFERROR(__xludf.DUMMYFUNCTION("""COMPUTED_VALUE"""),"")</f>
        <v/>
      </c>
      <c r="BJ35" s="3" t="str">
        <f ca="1">IFERROR(__xludf.DUMMYFUNCTION("""COMPUTED_VALUE"""),"")</f>
        <v/>
      </c>
    </row>
    <row r="36" spans="1:62" ht="12.5" x14ac:dyDescent="0.25">
      <c r="A36" s="6">
        <f ca="1">IFERROR(__xludf.DUMMYFUNCTION("""COMPUTED_VALUE"""),43258.5778944907)</f>
        <v>43258.5778944907</v>
      </c>
      <c r="B36" s="2" t="str">
        <f ca="1">IFERROR(__xludf.DUMMYFUNCTION("""COMPUTED_VALUE"""),"Bay of Plenty")</f>
        <v>Bay of Plenty</v>
      </c>
      <c r="C36" s="2" t="str">
        <f ca="1">IFERROR(__xludf.DUMMYFUNCTION("""COMPUTED_VALUE"""),"Tx 17")</f>
        <v>Tx 17</v>
      </c>
      <c r="D36" s="10">
        <f ca="1">IFERROR(__xludf.DUMMYFUNCTION("""COMPUTED_VALUE"""),43203)</f>
        <v>43203</v>
      </c>
      <c r="E36" s="4">
        <f ca="1">IFERROR(__xludf.DUMMYFUNCTION("""COMPUTED_VALUE"""),0.416666666667879)</f>
        <v>0.41666666666787899</v>
      </c>
      <c r="F36" s="2" t="str">
        <f ca="1">IFERROR(__xludf.DUMMYFUNCTION("""COMPUTED_VALUE"""),"Little Waihi")</f>
        <v>Little Waihi</v>
      </c>
      <c r="G36" s="2" t="str">
        <f ca="1">IFERROR(__xludf.DUMMYFUNCTION("""COMPUTED_VALUE"""),"GPS: I converted data downloaded from ARGOS using Pinpoint software")</f>
        <v>GPS: I converted data downloaded from ARGOS using Pinpoint software</v>
      </c>
      <c r="H36" s="2" t="str">
        <f ca="1">IFERROR(__xludf.DUMMYFUNCTION("""COMPUTED_VALUE"""),"")</f>
        <v/>
      </c>
      <c r="I36" s="2" t="str">
        <f ca="1">IFERROR(__xludf.DUMMYFUNCTION("""COMPUTED_VALUE"""),"")</f>
        <v/>
      </c>
      <c r="J36" s="2" t="str">
        <f ca="1">IFERROR(__xludf.DUMMYFUNCTION("""COMPUTED_VALUE"""),"")</f>
        <v/>
      </c>
      <c r="K36" s="2" t="str">
        <f ca="1">IFERROR(__xludf.DUMMYFUNCTION("""COMPUTED_VALUE"""),"")</f>
        <v/>
      </c>
      <c r="L36" s="2" t="str">
        <f ca="1">IFERROR(__xludf.DUMMYFUNCTION("""COMPUTED_VALUE"""),"")</f>
        <v/>
      </c>
      <c r="M36" s="5" t="str">
        <f ca="1">IFERROR(__xludf.DUMMYFUNCTION("""COMPUTED_VALUE"""),"")</f>
        <v/>
      </c>
      <c r="N36" s="5" t="str">
        <f ca="1">IFERROR(__xludf.DUMMYFUNCTION("""COMPUTED_VALUE"""),"")</f>
        <v/>
      </c>
      <c r="O36" s="2" t="str">
        <f ca="1">IFERROR(__xludf.DUMMYFUNCTION("""COMPUTED_VALUE"""),"")</f>
        <v/>
      </c>
      <c r="P36" s="2" t="str">
        <f ca="1">IFERROR(__xludf.DUMMYFUNCTION("""COMPUTED_VALUE"""),"")</f>
        <v/>
      </c>
      <c r="Q36" s="2" t="str">
        <f ca="1">IFERROR(__xludf.DUMMYFUNCTION("""COMPUTED_VALUE"""),"")</f>
        <v/>
      </c>
      <c r="R36" s="2" t="str">
        <f ca="1">IFERROR(__xludf.DUMMYFUNCTION("""COMPUTED_VALUE"""),"")</f>
        <v/>
      </c>
      <c r="S36" s="2" t="str">
        <f ca="1">IFERROR(__xludf.DUMMYFUNCTION("""COMPUTED_VALUE"""),"")</f>
        <v/>
      </c>
      <c r="T36" s="2" t="str">
        <f ca="1">IFERROR(__xludf.DUMMYFUNCTION("""COMPUTED_VALUE"""),"")</f>
        <v/>
      </c>
      <c r="U36" s="2" t="str">
        <f ca="1">IFERROR(__xludf.DUMMYFUNCTION("""COMPUTED_VALUE"""),"")</f>
        <v/>
      </c>
      <c r="V36" s="2" t="str">
        <f ca="1">IFERROR(__xludf.DUMMYFUNCTION("""COMPUTED_VALUE"""),"")</f>
        <v/>
      </c>
      <c r="W36" s="2" t="str">
        <f ca="1">IFERROR(__xludf.DUMMYFUNCTION("""COMPUTED_VALUE"""),"")</f>
        <v/>
      </c>
      <c r="X36" s="2" t="str">
        <f ca="1">IFERROR(__xludf.DUMMYFUNCTION("""COMPUTED_VALUE"""),"")</f>
        <v/>
      </c>
      <c r="Y36" s="2" t="str">
        <f ca="1">IFERROR(__xludf.DUMMYFUNCTION("""COMPUTED_VALUE"""),"")</f>
        <v/>
      </c>
      <c r="Z36" s="2" t="str">
        <f ca="1">IFERROR(__xludf.DUMMYFUNCTION("""COMPUTED_VALUE"""),"")</f>
        <v/>
      </c>
      <c r="AA36" s="2" t="str">
        <f ca="1">IFERROR(__xludf.DUMMYFUNCTION("""COMPUTED_VALUE"""),"")</f>
        <v/>
      </c>
      <c r="AB36" s="2" t="str">
        <f ca="1">IFERROR(__xludf.DUMMYFUNCTION("""COMPUTED_VALUE"""),"")</f>
        <v/>
      </c>
      <c r="AC36" s="2" t="str">
        <f ca="1">IFERROR(__xludf.DUMMYFUNCTION("""COMPUTED_VALUE"""),"")</f>
        <v/>
      </c>
      <c r="AD36" s="2" t="str">
        <f ca="1">IFERROR(__xludf.DUMMYFUNCTION("""COMPUTED_VALUE"""),"")</f>
        <v/>
      </c>
      <c r="AE36" s="2" t="str">
        <f ca="1">IFERROR(__xludf.DUMMYFUNCTION("""COMPUTED_VALUE"""),"")</f>
        <v/>
      </c>
      <c r="AF36" s="2" t="str">
        <f ca="1">IFERROR(__xludf.DUMMYFUNCTION("""COMPUTED_VALUE"""),"")</f>
        <v/>
      </c>
      <c r="AG36" s="2" t="str">
        <f ca="1">IFERROR(__xludf.DUMMYFUNCTION("""COMPUTED_VALUE"""),"")</f>
        <v/>
      </c>
      <c r="AH36" s="2" t="str">
        <f ca="1">IFERROR(__xludf.DUMMYFUNCTION("""COMPUTED_VALUE"""),"")</f>
        <v/>
      </c>
      <c r="AI36" s="2" t="str">
        <f ca="1">IFERROR(__xludf.DUMMYFUNCTION("""COMPUTED_VALUE"""),"")</f>
        <v/>
      </c>
      <c r="AJ36" s="2" t="str">
        <f ca="1">IFERROR(__xludf.DUMMYFUNCTION("""COMPUTED_VALUE"""),"")</f>
        <v/>
      </c>
      <c r="AK36" s="2" t="str">
        <f ca="1">IFERROR(__xludf.DUMMYFUNCTION("""COMPUTED_VALUE"""),"")</f>
        <v/>
      </c>
      <c r="AL36" s="2" t="str">
        <f ca="1">IFERROR(__xludf.DUMMYFUNCTION("""COMPUTED_VALUE"""),"")</f>
        <v/>
      </c>
      <c r="AM36" s="2" t="str">
        <f ca="1">IFERROR(__xludf.DUMMYFUNCTION("""COMPUTED_VALUE"""),"")</f>
        <v/>
      </c>
      <c r="AN36" s="2" t="str">
        <f ca="1">IFERROR(__xludf.DUMMYFUNCTION("""COMPUTED_VALUE"""),"")</f>
        <v/>
      </c>
      <c r="AO36" s="2" t="str">
        <f ca="1">IFERROR(__xludf.DUMMYFUNCTION("""COMPUTED_VALUE"""),"")</f>
        <v/>
      </c>
      <c r="AP36" s="2" t="str">
        <f ca="1">IFERROR(__xludf.DUMMYFUNCTION("""COMPUTED_VALUE"""),"")</f>
        <v/>
      </c>
      <c r="AQ36" s="2" t="str">
        <f ca="1">IFERROR(__xludf.DUMMYFUNCTION("""COMPUTED_VALUE"""),"")</f>
        <v/>
      </c>
      <c r="AR36" s="2" t="str">
        <f ca="1">IFERROR(__xludf.DUMMYFUNCTION("""COMPUTED_VALUE"""),"")</f>
        <v/>
      </c>
      <c r="AS36" s="2" t="str">
        <f ca="1">IFERROR(__xludf.DUMMYFUNCTION("""COMPUTED_VALUE"""),"")</f>
        <v/>
      </c>
      <c r="AT36" s="2" t="str">
        <f ca="1">IFERROR(__xludf.DUMMYFUNCTION("""COMPUTED_VALUE"""),"")</f>
        <v/>
      </c>
      <c r="AU36" s="2" t="str">
        <f ca="1">IFERROR(__xludf.DUMMYFUNCTION("""COMPUTED_VALUE"""),"")</f>
        <v/>
      </c>
      <c r="AV36" s="2" t="str">
        <f ca="1">IFERROR(__xludf.DUMMYFUNCTION("""COMPUTED_VALUE"""),"")</f>
        <v/>
      </c>
      <c r="AW36" s="2" t="str">
        <f ca="1">IFERROR(__xludf.DUMMYFUNCTION("""COMPUTED_VALUE"""),"")</f>
        <v/>
      </c>
      <c r="AX36" s="2" t="str">
        <f ca="1">IFERROR(__xludf.DUMMYFUNCTION("""COMPUTED_VALUE"""),"")</f>
        <v/>
      </c>
      <c r="AY36" s="2" t="str">
        <f ca="1">IFERROR(__xludf.DUMMYFUNCTION("""COMPUTED_VALUE"""),"")</f>
        <v/>
      </c>
      <c r="AZ36" s="2" t="str">
        <f ca="1">IFERROR(__xludf.DUMMYFUNCTION("""COMPUTED_VALUE"""),"3D")</f>
        <v>3D</v>
      </c>
      <c r="BA36" s="2">
        <f ca="1">IFERROR(__xludf.DUMMYFUNCTION("""COMPUTED_VALUE"""),1907254)</f>
        <v>1907254</v>
      </c>
      <c r="BB36" s="2">
        <f ca="1">IFERROR(__xludf.DUMMYFUNCTION("""COMPUTED_VALUE"""),5812313)</f>
        <v>5812313</v>
      </c>
      <c r="BC36" s="2" t="str">
        <f ca="1">IFERROR(__xludf.DUMMYFUNCTION("""COMPUTED_VALUE"""),"No")</f>
        <v>No</v>
      </c>
      <c r="BD36" s="2" t="str">
        <f ca="1">IFERROR(__xludf.DUMMYFUNCTION("""COMPUTED_VALUE"""),"")</f>
        <v/>
      </c>
      <c r="BE36" s="2" t="str">
        <f ca="1">IFERROR(__xludf.DUMMYFUNCTION("""COMPUTED_VALUE"""),"")</f>
        <v/>
      </c>
      <c r="BF36" t="str">
        <f ca="1">IFERROR(__xludf.DUMMYFUNCTION("""COMPUTED_VALUE"""),"")</f>
        <v/>
      </c>
      <c r="BG36" t="str">
        <f ca="1">IFERROR(__xludf.DUMMYFUNCTION("""COMPUTED_VALUE"""),"")</f>
        <v/>
      </c>
      <c r="BH36" t="str">
        <f ca="1">IFERROR(__xludf.DUMMYFUNCTION("""COMPUTED_VALUE"""),"")</f>
        <v/>
      </c>
      <c r="BI36" t="str">
        <f ca="1">IFERROR(__xludf.DUMMYFUNCTION("""COMPUTED_VALUE"""),"")</f>
        <v/>
      </c>
      <c r="BJ36" s="3" t="str">
        <f ca="1">IFERROR(__xludf.DUMMYFUNCTION("""COMPUTED_VALUE"""),"")</f>
        <v/>
      </c>
    </row>
    <row r="37" spans="1:62" ht="12.5" x14ac:dyDescent="0.25">
      <c r="A37" s="6">
        <f ca="1">IFERROR(__xludf.DUMMYFUNCTION("""COMPUTED_VALUE"""),43258.5808861805)</f>
        <v>43258.580886180498</v>
      </c>
      <c r="B37" s="2" t="str">
        <f ca="1">IFERROR(__xludf.DUMMYFUNCTION("""COMPUTED_VALUE"""),"Bay of Plenty")</f>
        <v>Bay of Plenty</v>
      </c>
      <c r="C37" s="2" t="str">
        <f ca="1">IFERROR(__xludf.DUMMYFUNCTION("""COMPUTED_VALUE"""),"Tx 17")</f>
        <v>Tx 17</v>
      </c>
      <c r="D37" s="10">
        <f ca="1">IFERROR(__xludf.DUMMYFUNCTION("""COMPUTED_VALUE"""),43210)</f>
        <v>43210</v>
      </c>
      <c r="E37" s="4">
        <f ca="1">IFERROR(__xludf.DUMMYFUNCTION("""COMPUTED_VALUE"""),0.415277777778101)</f>
        <v>0.41527777777810099</v>
      </c>
      <c r="F37" s="2" t="str">
        <f ca="1">IFERROR(__xludf.DUMMYFUNCTION("""COMPUTED_VALUE"""),"Little Waihi")</f>
        <v>Little Waihi</v>
      </c>
      <c r="G37" s="2" t="str">
        <f ca="1">IFERROR(__xludf.DUMMYFUNCTION("""COMPUTED_VALUE"""),"GPS: I converted data downloaded from ARGOS using Pinpoint software")</f>
        <v>GPS: I converted data downloaded from ARGOS using Pinpoint software</v>
      </c>
      <c r="H37" s="2" t="str">
        <f ca="1">IFERROR(__xludf.DUMMYFUNCTION("""COMPUTED_VALUE"""),"")</f>
        <v/>
      </c>
      <c r="I37" s="2" t="str">
        <f ca="1">IFERROR(__xludf.DUMMYFUNCTION("""COMPUTED_VALUE"""),"")</f>
        <v/>
      </c>
      <c r="J37" s="2" t="str">
        <f ca="1">IFERROR(__xludf.DUMMYFUNCTION("""COMPUTED_VALUE"""),"")</f>
        <v/>
      </c>
      <c r="K37" s="2" t="str">
        <f ca="1">IFERROR(__xludf.DUMMYFUNCTION("""COMPUTED_VALUE"""),"")</f>
        <v/>
      </c>
      <c r="L37" s="2" t="str">
        <f ca="1">IFERROR(__xludf.DUMMYFUNCTION("""COMPUTED_VALUE"""),"")</f>
        <v/>
      </c>
      <c r="M37" s="5" t="str">
        <f ca="1">IFERROR(__xludf.DUMMYFUNCTION("""COMPUTED_VALUE"""),"")</f>
        <v/>
      </c>
      <c r="N37" s="5" t="str">
        <f ca="1">IFERROR(__xludf.DUMMYFUNCTION("""COMPUTED_VALUE"""),"")</f>
        <v/>
      </c>
      <c r="O37" s="2" t="str">
        <f ca="1">IFERROR(__xludf.DUMMYFUNCTION("""COMPUTED_VALUE"""),"")</f>
        <v/>
      </c>
      <c r="P37" s="2" t="str">
        <f ca="1">IFERROR(__xludf.DUMMYFUNCTION("""COMPUTED_VALUE"""),"")</f>
        <v/>
      </c>
      <c r="Q37" s="2" t="str">
        <f ca="1">IFERROR(__xludf.DUMMYFUNCTION("""COMPUTED_VALUE"""),"")</f>
        <v/>
      </c>
      <c r="R37" s="2" t="str">
        <f ca="1">IFERROR(__xludf.DUMMYFUNCTION("""COMPUTED_VALUE"""),"")</f>
        <v/>
      </c>
      <c r="S37" s="2" t="str">
        <f ca="1">IFERROR(__xludf.DUMMYFUNCTION("""COMPUTED_VALUE"""),"")</f>
        <v/>
      </c>
      <c r="T37" s="2" t="str">
        <f ca="1">IFERROR(__xludf.DUMMYFUNCTION("""COMPUTED_VALUE"""),"")</f>
        <v/>
      </c>
      <c r="U37" s="2" t="str">
        <f ca="1">IFERROR(__xludf.DUMMYFUNCTION("""COMPUTED_VALUE"""),"")</f>
        <v/>
      </c>
      <c r="V37" s="2" t="str">
        <f ca="1">IFERROR(__xludf.DUMMYFUNCTION("""COMPUTED_VALUE"""),"")</f>
        <v/>
      </c>
      <c r="W37" s="2" t="str">
        <f ca="1">IFERROR(__xludf.DUMMYFUNCTION("""COMPUTED_VALUE"""),"")</f>
        <v/>
      </c>
      <c r="X37" s="2" t="str">
        <f ca="1">IFERROR(__xludf.DUMMYFUNCTION("""COMPUTED_VALUE"""),"")</f>
        <v/>
      </c>
      <c r="Y37" s="2" t="str">
        <f ca="1">IFERROR(__xludf.DUMMYFUNCTION("""COMPUTED_VALUE"""),"")</f>
        <v/>
      </c>
      <c r="Z37" s="2" t="str">
        <f ca="1">IFERROR(__xludf.DUMMYFUNCTION("""COMPUTED_VALUE"""),"")</f>
        <v/>
      </c>
      <c r="AA37" s="2" t="str">
        <f ca="1">IFERROR(__xludf.DUMMYFUNCTION("""COMPUTED_VALUE"""),"")</f>
        <v/>
      </c>
      <c r="AB37" s="2" t="str">
        <f ca="1">IFERROR(__xludf.DUMMYFUNCTION("""COMPUTED_VALUE"""),"")</f>
        <v/>
      </c>
      <c r="AC37" s="2" t="str">
        <f ca="1">IFERROR(__xludf.DUMMYFUNCTION("""COMPUTED_VALUE"""),"")</f>
        <v/>
      </c>
      <c r="AD37" s="2" t="str">
        <f ca="1">IFERROR(__xludf.DUMMYFUNCTION("""COMPUTED_VALUE"""),"")</f>
        <v/>
      </c>
      <c r="AE37" s="2" t="str">
        <f ca="1">IFERROR(__xludf.DUMMYFUNCTION("""COMPUTED_VALUE"""),"")</f>
        <v/>
      </c>
      <c r="AF37" s="2" t="str">
        <f ca="1">IFERROR(__xludf.DUMMYFUNCTION("""COMPUTED_VALUE"""),"")</f>
        <v/>
      </c>
      <c r="AG37" s="2" t="str">
        <f ca="1">IFERROR(__xludf.DUMMYFUNCTION("""COMPUTED_VALUE"""),"")</f>
        <v/>
      </c>
      <c r="AH37" s="2" t="str">
        <f ca="1">IFERROR(__xludf.DUMMYFUNCTION("""COMPUTED_VALUE"""),"")</f>
        <v/>
      </c>
      <c r="AI37" s="2" t="str">
        <f ca="1">IFERROR(__xludf.DUMMYFUNCTION("""COMPUTED_VALUE"""),"")</f>
        <v/>
      </c>
      <c r="AJ37" s="2" t="str">
        <f ca="1">IFERROR(__xludf.DUMMYFUNCTION("""COMPUTED_VALUE"""),"")</f>
        <v/>
      </c>
      <c r="AK37" s="2" t="str">
        <f ca="1">IFERROR(__xludf.DUMMYFUNCTION("""COMPUTED_VALUE"""),"")</f>
        <v/>
      </c>
      <c r="AL37" s="2" t="str">
        <f ca="1">IFERROR(__xludf.DUMMYFUNCTION("""COMPUTED_VALUE"""),"")</f>
        <v/>
      </c>
      <c r="AM37" s="2" t="str">
        <f ca="1">IFERROR(__xludf.DUMMYFUNCTION("""COMPUTED_VALUE"""),"")</f>
        <v/>
      </c>
      <c r="AN37" s="2" t="str">
        <f ca="1">IFERROR(__xludf.DUMMYFUNCTION("""COMPUTED_VALUE"""),"")</f>
        <v/>
      </c>
      <c r="AO37" s="2" t="str">
        <f ca="1">IFERROR(__xludf.DUMMYFUNCTION("""COMPUTED_VALUE"""),"")</f>
        <v/>
      </c>
      <c r="AP37" s="2" t="str">
        <f ca="1">IFERROR(__xludf.DUMMYFUNCTION("""COMPUTED_VALUE"""),"")</f>
        <v/>
      </c>
      <c r="AQ37" s="2" t="str">
        <f ca="1">IFERROR(__xludf.DUMMYFUNCTION("""COMPUTED_VALUE"""),"")</f>
        <v/>
      </c>
      <c r="AR37" s="2" t="str">
        <f ca="1">IFERROR(__xludf.DUMMYFUNCTION("""COMPUTED_VALUE"""),"")</f>
        <v/>
      </c>
      <c r="AS37" s="2" t="str">
        <f ca="1">IFERROR(__xludf.DUMMYFUNCTION("""COMPUTED_VALUE"""),"")</f>
        <v/>
      </c>
      <c r="AT37" s="2" t="str">
        <f ca="1">IFERROR(__xludf.DUMMYFUNCTION("""COMPUTED_VALUE"""),"")</f>
        <v/>
      </c>
      <c r="AU37" s="2" t="str">
        <f ca="1">IFERROR(__xludf.DUMMYFUNCTION("""COMPUTED_VALUE"""),"")</f>
        <v/>
      </c>
      <c r="AV37" s="2" t="str">
        <f ca="1">IFERROR(__xludf.DUMMYFUNCTION("""COMPUTED_VALUE"""),"")</f>
        <v/>
      </c>
      <c r="AW37" s="2" t="str">
        <f ca="1">IFERROR(__xludf.DUMMYFUNCTION("""COMPUTED_VALUE"""),"")</f>
        <v/>
      </c>
      <c r="AX37" s="2" t="str">
        <f ca="1">IFERROR(__xludf.DUMMYFUNCTION("""COMPUTED_VALUE"""),"")</f>
        <v/>
      </c>
      <c r="AY37" s="2" t="str">
        <f ca="1">IFERROR(__xludf.DUMMYFUNCTION("""COMPUTED_VALUE"""),"")</f>
        <v/>
      </c>
      <c r="AZ37" s="2" t="str">
        <f ca="1">IFERROR(__xludf.DUMMYFUNCTION("""COMPUTED_VALUE"""),"3D")</f>
        <v>3D</v>
      </c>
      <c r="BA37" s="2">
        <f ca="1">IFERROR(__xludf.DUMMYFUNCTION("""COMPUTED_VALUE"""),1907052)</f>
        <v>1907052</v>
      </c>
      <c r="BB37" s="2">
        <f ca="1">IFERROR(__xludf.DUMMYFUNCTION("""COMPUTED_VALUE"""),5812510)</f>
        <v>5812510</v>
      </c>
      <c r="BC37" s="2" t="str">
        <f ca="1">IFERROR(__xludf.DUMMYFUNCTION("""COMPUTED_VALUE"""),"No")</f>
        <v>No</v>
      </c>
      <c r="BD37" s="2" t="str">
        <f ca="1">IFERROR(__xludf.DUMMYFUNCTION("""COMPUTED_VALUE"""),"")</f>
        <v/>
      </c>
      <c r="BE37" s="2" t="str">
        <f ca="1">IFERROR(__xludf.DUMMYFUNCTION("""COMPUTED_VALUE"""),"")</f>
        <v/>
      </c>
      <c r="BF37" t="str">
        <f ca="1">IFERROR(__xludf.DUMMYFUNCTION("""COMPUTED_VALUE"""),"")</f>
        <v/>
      </c>
      <c r="BG37" t="str">
        <f ca="1">IFERROR(__xludf.DUMMYFUNCTION("""COMPUTED_VALUE"""),"")</f>
        <v/>
      </c>
      <c r="BH37" t="str">
        <f ca="1">IFERROR(__xludf.DUMMYFUNCTION("""COMPUTED_VALUE"""),"")</f>
        <v/>
      </c>
      <c r="BI37" t="str">
        <f ca="1">IFERROR(__xludf.DUMMYFUNCTION("""COMPUTED_VALUE"""),"")</f>
        <v/>
      </c>
      <c r="BJ37" s="3" t="str">
        <f ca="1">IFERROR(__xludf.DUMMYFUNCTION("""COMPUTED_VALUE"""),"")</f>
        <v/>
      </c>
    </row>
    <row r="38" spans="1:62" ht="12.5" x14ac:dyDescent="0.25">
      <c r="A38" s="6">
        <f ca="1">IFERROR(__xludf.DUMMYFUNCTION("""COMPUTED_VALUE"""),43258.5821396412)</f>
        <v>43258.582139641199</v>
      </c>
      <c r="B38" s="2" t="str">
        <f ca="1">IFERROR(__xludf.DUMMYFUNCTION("""COMPUTED_VALUE"""),"Bay of Plenty")</f>
        <v>Bay of Plenty</v>
      </c>
      <c r="C38" s="2" t="str">
        <f ca="1">IFERROR(__xludf.DUMMYFUNCTION("""COMPUTED_VALUE"""),"Tx 17")</f>
        <v>Tx 17</v>
      </c>
      <c r="D38" s="10">
        <f ca="1">IFERROR(__xludf.DUMMYFUNCTION("""COMPUTED_VALUE"""),43217)</f>
        <v>43217</v>
      </c>
      <c r="E38" s="4">
        <f ca="1">IFERROR(__xludf.DUMMYFUNCTION("""COMPUTED_VALUE"""),0.416666666667879)</f>
        <v>0.41666666666787899</v>
      </c>
      <c r="F38" s="2" t="str">
        <f ca="1">IFERROR(__xludf.DUMMYFUNCTION("""COMPUTED_VALUE"""),"Little Waihi")</f>
        <v>Little Waihi</v>
      </c>
      <c r="G38" s="2" t="str">
        <f ca="1">IFERROR(__xludf.DUMMYFUNCTION("""COMPUTED_VALUE"""),"GPS: I converted data downloaded from ARGOS using Pinpoint software")</f>
        <v>GPS: I converted data downloaded from ARGOS using Pinpoint software</v>
      </c>
      <c r="H38" s="2" t="str">
        <f ca="1">IFERROR(__xludf.DUMMYFUNCTION("""COMPUTED_VALUE"""),"")</f>
        <v/>
      </c>
      <c r="I38" s="2" t="str">
        <f ca="1">IFERROR(__xludf.DUMMYFUNCTION("""COMPUTED_VALUE"""),"")</f>
        <v/>
      </c>
      <c r="J38" s="2" t="str">
        <f ca="1">IFERROR(__xludf.DUMMYFUNCTION("""COMPUTED_VALUE"""),"")</f>
        <v/>
      </c>
      <c r="K38" s="2" t="str">
        <f ca="1">IFERROR(__xludf.DUMMYFUNCTION("""COMPUTED_VALUE"""),"")</f>
        <v/>
      </c>
      <c r="L38" s="2" t="str">
        <f ca="1">IFERROR(__xludf.DUMMYFUNCTION("""COMPUTED_VALUE"""),"")</f>
        <v/>
      </c>
      <c r="M38" s="5" t="str">
        <f ca="1">IFERROR(__xludf.DUMMYFUNCTION("""COMPUTED_VALUE"""),"")</f>
        <v/>
      </c>
      <c r="N38" s="5" t="str">
        <f ca="1">IFERROR(__xludf.DUMMYFUNCTION("""COMPUTED_VALUE"""),"")</f>
        <v/>
      </c>
      <c r="O38" s="2" t="str">
        <f ca="1">IFERROR(__xludf.DUMMYFUNCTION("""COMPUTED_VALUE"""),"")</f>
        <v/>
      </c>
      <c r="P38" s="2" t="str">
        <f ca="1">IFERROR(__xludf.DUMMYFUNCTION("""COMPUTED_VALUE"""),"")</f>
        <v/>
      </c>
      <c r="Q38" s="2" t="str">
        <f ca="1">IFERROR(__xludf.DUMMYFUNCTION("""COMPUTED_VALUE"""),"")</f>
        <v/>
      </c>
      <c r="R38" s="2" t="str">
        <f ca="1">IFERROR(__xludf.DUMMYFUNCTION("""COMPUTED_VALUE"""),"")</f>
        <v/>
      </c>
      <c r="S38" s="2" t="str">
        <f ca="1">IFERROR(__xludf.DUMMYFUNCTION("""COMPUTED_VALUE"""),"")</f>
        <v/>
      </c>
      <c r="T38" s="2" t="str">
        <f ca="1">IFERROR(__xludf.DUMMYFUNCTION("""COMPUTED_VALUE"""),"")</f>
        <v/>
      </c>
      <c r="U38" s="2" t="str">
        <f ca="1">IFERROR(__xludf.DUMMYFUNCTION("""COMPUTED_VALUE"""),"")</f>
        <v/>
      </c>
      <c r="V38" s="2" t="str">
        <f ca="1">IFERROR(__xludf.DUMMYFUNCTION("""COMPUTED_VALUE"""),"")</f>
        <v/>
      </c>
      <c r="W38" s="2" t="str">
        <f ca="1">IFERROR(__xludf.DUMMYFUNCTION("""COMPUTED_VALUE"""),"")</f>
        <v/>
      </c>
      <c r="X38" s="2" t="str">
        <f ca="1">IFERROR(__xludf.DUMMYFUNCTION("""COMPUTED_VALUE"""),"")</f>
        <v/>
      </c>
      <c r="Y38" s="2" t="str">
        <f ca="1">IFERROR(__xludf.DUMMYFUNCTION("""COMPUTED_VALUE"""),"")</f>
        <v/>
      </c>
      <c r="Z38" s="2" t="str">
        <f ca="1">IFERROR(__xludf.DUMMYFUNCTION("""COMPUTED_VALUE"""),"")</f>
        <v/>
      </c>
      <c r="AA38" s="2" t="str">
        <f ca="1">IFERROR(__xludf.DUMMYFUNCTION("""COMPUTED_VALUE"""),"")</f>
        <v/>
      </c>
      <c r="AB38" s="2" t="str">
        <f ca="1">IFERROR(__xludf.DUMMYFUNCTION("""COMPUTED_VALUE"""),"")</f>
        <v/>
      </c>
      <c r="AC38" s="2" t="str">
        <f ca="1">IFERROR(__xludf.DUMMYFUNCTION("""COMPUTED_VALUE"""),"")</f>
        <v/>
      </c>
      <c r="AD38" s="2" t="str">
        <f ca="1">IFERROR(__xludf.DUMMYFUNCTION("""COMPUTED_VALUE"""),"")</f>
        <v/>
      </c>
      <c r="AE38" s="2" t="str">
        <f ca="1">IFERROR(__xludf.DUMMYFUNCTION("""COMPUTED_VALUE"""),"")</f>
        <v/>
      </c>
      <c r="AF38" s="2" t="str">
        <f ca="1">IFERROR(__xludf.DUMMYFUNCTION("""COMPUTED_VALUE"""),"")</f>
        <v/>
      </c>
      <c r="AG38" s="2" t="str">
        <f ca="1">IFERROR(__xludf.DUMMYFUNCTION("""COMPUTED_VALUE"""),"")</f>
        <v/>
      </c>
      <c r="AH38" s="2" t="str">
        <f ca="1">IFERROR(__xludf.DUMMYFUNCTION("""COMPUTED_VALUE"""),"")</f>
        <v/>
      </c>
      <c r="AI38" s="2" t="str">
        <f ca="1">IFERROR(__xludf.DUMMYFUNCTION("""COMPUTED_VALUE"""),"")</f>
        <v/>
      </c>
      <c r="AJ38" s="2" t="str">
        <f ca="1">IFERROR(__xludf.DUMMYFUNCTION("""COMPUTED_VALUE"""),"")</f>
        <v/>
      </c>
      <c r="AK38" s="2" t="str">
        <f ca="1">IFERROR(__xludf.DUMMYFUNCTION("""COMPUTED_VALUE"""),"")</f>
        <v/>
      </c>
      <c r="AL38" s="2" t="str">
        <f ca="1">IFERROR(__xludf.DUMMYFUNCTION("""COMPUTED_VALUE"""),"")</f>
        <v/>
      </c>
      <c r="AM38" s="2" t="str">
        <f ca="1">IFERROR(__xludf.DUMMYFUNCTION("""COMPUTED_VALUE"""),"")</f>
        <v/>
      </c>
      <c r="AN38" s="2" t="str">
        <f ca="1">IFERROR(__xludf.DUMMYFUNCTION("""COMPUTED_VALUE"""),"")</f>
        <v/>
      </c>
      <c r="AO38" s="2" t="str">
        <f ca="1">IFERROR(__xludf.DUMMYFUNCTION("""COMPUTED_VALUE"""),"")</f>
        <v/>
      </c>
      <c r="AP38" s="2" t="str">
        <f ca="1">IFERROR(__xludf.DUMMYFUNCTION("""COMPUTED_VALUE"""),"")</f>
        <v/>
      </c>
      <c r="AQ38" s="2" t="str">
        <f ca="1">IFERROR(__xludf.DUMMYFUNCTION("""COMPUTED_VALUE"""),"")</f>
        <v/>
      </c>
      <c r="AR38" s="2" t="str">
        <f ca="1">IFERROR(__xludf.DUMMYFUNCTION("""COMPUTED_VALUE"""),"")</f>
        <v/>
      </c>
      <c r="AS38" s="2" t="str">
        <f ca="1">IFERROR(__xludf.DUMMYFUNCTION("""COMPUTED_VALUE"""),"")</f>
        <v/>
      </c>
      <c r="AT38" s="2" t="str">
        <f ca="1">IFERROR(__xludf.DUMMYFUNCTION("""COMPUTED_VALUE"""),"")</f>
        <v/>
      </c>
      <c r="AU38" s="2" t="str">
        <f ca="1">IFERROR(__xludf.DUMMYFUNCTION("""COMPUTED_VALUE"""),"")</f>
        <v/>
      </c>
      <c r="AV38" s="2" t="str">
        <f ca="1">IFERROR(__xludf.DUMMYFUNCTION("""COMPUTED_VALUE"""),"")</f>
        <v/>
      </c>
      <c r="AW38" s="2" t="str">
        <f ca="1">IFERROR(__xludf.DUMMYFUNCTION("""COMPUTED_VALUE"""),"")</f>
        <v/>
      </c>
      <c r="AX38" s="2" t="str">
        <f ca="1">IFERROR(__xludf.DUMMYFUNCTION("""COMPUTED_VALUE"""),"")</f>
        <v/>
      </c>
      <c r="AY38" s="2" t="str">
        <f ca="1">IFERROR(__xludf.DUMMYFUNCTION("""COMPUTED_VALUE"""),"")</f>
        <v/>
      </c>
      <c r="AZ38" s="2" t="str">
        <f ca="1">IFERROR(__xludf.DUMMYFUNCTION("""COMPUTED_VALUE"""),"3D")</f>
        <v>3D</v>
      </c>
      <c r="BA38" s="2">
        <f ca="1">IFERROR(__xludf.DUMMYFUNCTION("""COMPUTED_VALUE"""),1907100)</f>
        <v>1907100</v>
      </c>
      <c r="BB38" s="2">
        <f ca="1">IFERROR(__xludf.DUMMYFUNCTION("""COMPUTED_VALUE"""),5812372)</f>
        <v>5812372</v>
      </c>
      <c r="BC38" s="2" t="str">
        <f ca="1">IFERROR(__xludf.DUMMYFUNCTION("""COMPUTED_VALUE"""),"No")</f>
        <v>No</v>
      </c>
      <c r="BD38" s="2" t="str">
        <f ca="1">IFERROR(__xludf.DUMMYFUNCTION("""COMPUTED_VALUE"""),"")</f>
        <v/>
      </c>
      <c r="BE38" s="2" t="str">
        <f ca="1">IFERROR(__xludf.DUMMYFUNCTION("""COMPUTED_VALUE"""),"")</f>
        <v/>
      </c>
      <c r="BF38" t="str">
        <f ca="1">IFERROR(__xludf.DUMMYFUNCTION("""COMPUTED_VALUE"""),"")</f>
        <v/>
      </c>
      <c r="BG38" t="str">
        <f ca="1">IFERROR(__xludf.DUMMYFUNCTION("""COMPUTED_VALUE"""),"")</f>
        <v/>
      </c>
      <c r="BH38" t="str">
        <f ca="1">IFERROR(__xludf.DUMMYFUNCTION("""COMPUTED_VALUE"""),"")</f>
        <v/>
      </c>
      <c r="BI38" t="str">
        <f ca="1">IFERROR(__xludf.DUMMYFUNCTION("""COMPUTED_VALUE"""),"")</f>
        <v/>
      </c>
      <c r="BJ38" s="3" t="str">
        <f ca="1">IFERROR(__xludf.DUMMYFUNCTION("""COMPUTED_VALUE"""),"")</f>
        <v/>
      </c>
    </row>
    <row r="39" spans="1:62" ht="12.5" x14ac:dyDescent="0.25">
      <c r="A39" s="6">
        <f ca="1">IFERROR(__xludf.DUMMYFUNCTION("""COMPUTED_VALUE"""),43258.5837470601)</f>
        <v>43258.583747060104</v>
      </c>
      <c r="B39" s="2" t="str">
        <f ca="1">IFERROR(__xludf.DUMMYFUNCTION("""COMPUTED_VALUE"""),"Bay of Plenty")</f>
        <v>Bay of Plenty</v>
      </c>
      <c r="C39" s="2" t="str">
        <f ca="1">IFERROR(__xludf.DUMMYFUNCTION("""COMPUTED_VALUE"""),"Tx 17")</f>
        <v>Tx 17</v>
      </c>
      <c r="D39" s="10">
        <f ca="1">IFERROR(__xludf.DUMMYFUNCTION("""COMPUTED_VALUE"""),43224)</f>
        <v>43224</v>
      </c>
      <c r="E39" s="4">
        <f ca="1">IFERROR(__xludf.DUMMYFUNCTION("""COMPUTED_VALUE"""),0.418055555554019)</f>
        <v>0.41805555555401902</v>
      </c>
      <c r="F39" s="2" t="str">
        <f ca="1">IFERROR(__xludf.DUMMYFUNCTION("""COMPUTED_VALUE"""),"Little Waihi")</f>
        <v>Little Waihi</v>
      </c>
      <c r="G39" s="2" t="str">
        <f ca="1">IFERROR(__xludf.DUMMYFUNCTION("""COMPUTED_VALUE"""),"GPS: I converted data downloaded from ARGOS using Pinpoint software")</f>
        <v>GPS: I converted data downloaded from ARGOS using Pinpoint software</v>
      </c>
      <c r="H39" s="2" t="str">
        <f ca="1">IFERROR(__xludf.DUMMYFUNCTION("""COMPUTED_VALUE"""),"")</f>
        <v/>
      </c>
      <c r="I39" s="2" t="str">
        <f ca="1">IFERROR(__xludf.DUMMYFUNCTION("""COMPUTED_VALUE"""),"")</f>
        <v/>
      </c>
      <c r="J39" s="2" t="str">
        <f ca="1">IFERROR(__xludf.DUMMYFUNCTION("""COMPUTED_VALUE"""),"")</f>
        <v/>
      </c>
      <c r="K39" s="2" t="str">
        <f ca="1">IFERROR(__xludf.DUMMYFUNCTION("""COMPUTED_VALUE"""),"")</f>
        <v/>
      </c>
      <c r="L39" s="2" t="str">
        <f ca="1">IFERROR(__xludf.DUMMYFUNCTION("""COMPUTED_VALUE"""),"")</f>
        <v/>
      </c>
      <c r="M39" s="5" t="str">
        <f ca="1">IFERROR(__xludf.DUMMYFUNCTION("""COMPUTED_VALUE"""),"")</f>
        <v/>
      </c>
      <c r="N39" s="5" t="str">
        <f ca="1">IFERROR(__xludf.DUMMYFUNCTION("""COMPUTED_VALUE"""),"")</f>
        <v/>
      </c>
      <c r="O39" s="2" t="str">
        <f ca="1">IFERROR(__xludf.DUMMYFUNCTION("""COMPUTED_VALUE"""),"")</f>
        <v/>
      </c>
      <c r="P39" s="2" t="str">
        <f ca="1">IFERROR(__xludf.DUMMYFUNCTION("""COMPUTED_VALUE"""),"")</f>
        <v/>
      </c>
      <c r="Q39" s="2" t="str">
        <f ca="1">IFERROR(__xludf.DUMMYFUNCTION("""COMPUTED_VALUE"""),"")</f>
        <v/>
      </c>
      <c r="R39" s="2" t="str">
        <f ca="1">IFERROR(__xludf.DUMMYFUNCTION("""COMPUTED_VALUE"""),"")</f>
        <v/>
      </c>
      <c r="S39" s="2" t="str">
        <f ca="1">IFERROR(__xludf.DUMMYFUNCTION("""COMPUTED_VALUE"""),"")</f>
        <v/>
      </c>
      <c r="T39" s="2" t="str">
        <f ca="1">IFERROR(__xludf.DUMMYFUNCTION("""COMPUTED_VALUE"""),"")</f>
        <v/>
      </c>
      <c r="U39" s="2" t="str">
        <f ca="1">IFERROR(__xludf.DUMMYFUNCTION("""COMPUTED_VALUE"""),"")</f>
        <v/>
      </c>
      <c r="V39" s="2" t="str">
        <f ca="1">IFERROR(__xludf.DUMMYFUNCTION("""COMPUTED_VALUE"""),"")</f>
        <v/>
      </c>
      <c r="W39" s="2" t="str">
        <f ca="1">IFERROR(__xludf.DUMMYFUNCTION("""COMPUTED_VALUE"""),"")</f>
        <v/>
      </c>
      <c r="X39" s="2" t="str">
        <f ca="1">IFERROR(__xludf.DUMMYFUNCTION("""COMPUTED_VALUE"""),"")</f>
        <v/>
      </c>
      <c r="Y39" s="2" t="str">
        <f ca="1">IFERROR(__xludf.DUMMYFUNCTION("""COMPUTED_VALUE"""),"")</f>
        <v/>
      </c>
      <c r="Z39" s="2" t="str">
        <f ca="1">IFERROR(__xludf.DUMMYFUNCTION("""COMPUTED_VALUE"""),"")</f>
        <v/>
      </c>
      <c r="AA39" s="2" t="str">
        <f ca="1">IFERROR(__xludf.DUMMYFUNCTION("""COMPUTED_VALUE"""),"")</f>
        <v/>
      </c>
      <c r="AB39" s="2" t="str">
        <f ca="1">IFERROR(__xludf.DUMMYFUNCTION("""COMPUTED_VALUE"""),"")</f>
        <v/>
      </c>
      <c r="AC39" s="2" t="str">
        <f ca="1">IFERROR(__xludf.DUMMYFUNCTION("""COMPUTED_VALUE"""),"")</f>
        <v/>
      </c>
      <c r="AD39" s="2" t="str">
        <f ca="1">IFERROR(__xludf.DUMMYFUNCTION("""COMPUTED_VALUE"""),"")</f>
        <v/>
      </c>
      <c r="AE39" s="2" t="str">
        <f ca="1">IFERROR(__xludf.DUMMYFUNCTION("""COMPUTED_VALUE"""),"")</f>
        <v/>
      </c>
      <c r="AF39" s="2" t="str">
        <f ca="1">IFERROR(__xludf.DUMMYFUNCTION("""COMPUTED_VALUE"""),"")</f>
        <v/>
      </c>
      <c r="AG39" s="2" t="str">
        <f ca="1">IFERROR(__xludf.DUMMYFUNCTION("""COMPUTED_VALUE"""),"")</f>
        <v/>
      </c>
      <c r="AH39" s="2" t="str">
        <f ca="1">IFERROR(__xludf.DUMMYFUNCTION("""COMPUTED_VALUE"""),"")</f>
        <v/>
      </c>
      <c r="AI39" s="2" t="str">
        <f ca="1">IFERROR(__xludf.DUMMYFUNCTION("""COMPUTED_VALUE"""),"")</f>
        <v/>
      </c>
      <c r="AJ39" s="2" t="str">
        <f ca="1">IFERROR(__xludf.DUMMYFUNCTION("""COMPUTED_VALUE"""),"")</f>
        <v/>
      </c>
      <c r="AK39" s="2" t="str">
        <f ca="1">IFERROR(__xludf.DUMMYFUNCTION("""COMPUTED_VALUE"""),"")</f>
        <v/>
      </c>
      <c r="AL39" s="2" t="str">
        <f ca="1">IFERROR(__xludf.DUMMYFUNCTION("""COMPUTED_VALUE"""),"")</f>
        <v/>
      </c>
      <c r="AM39" s="2" t="str">
        <f ca="1">IFERROR(__xludf.DUMMYFUNCTION("""COMPUTED_VALUE"""),"")</f>
        <v/>
      </c>
      <c r="AN39" s="2" t="str">
        <f ca="1">IFERROR(__xludf.DUMMYFUNCTION("""COMPUTED_VALUE"""),"")</f>
        <v/>
      </c>
      <c r="AO39" s="2" t="str">
        <f ca="1">IFERROR(__xludf.DUMMYFUNCTION("""COMPUTED_VALUE"""),"")</f>
        <v/>
      </c>
      <c r="AP39" s="2" t="str">
        <f ca="1">IFERROR(__xludf.DUMMYFUNCTION("""COMPUTED_VALUE"""),"")</f>
        <v/>
      </c>
      <c r="AQ39" s="2" t="str">
        <f ca="1">IFERROR(__xludf.DUMMYFUNCTION("""COMPUTED_VALUE"""),"")</f>
        <v/>
      </c>
      <c r="AR39" s="2" t="str">
        <f ca="1">IFERROR(__xludf.DUMMYFUNCTION("""COMPUTED_VALUE"""),"")</f>
        <v/>
      </c>
      <c r="AS39" s="2" t="str">
        <f ca="1">IFERROR(__xludf.DUMMYFUNCTION("""COMPUTED_VALUE"""),"")</f>
        <v/>
      </c>
      <c r="AT39" s="2" t="str">
        <f ca="1">IFERROR(__xludf.DUMMYFUNCTION("""COMPUTED_VALUE"""),"")</f>
        <v/>
      </c>
      <c r="AU39" s="2" t="str">
        <f ca="1">IFERROR(__xludf.DUMMYFUNCTION("""COMPUTED_VALUE"""),"")</f>
        <v/>
      </c>
      <c r="AV39" s="2" t="str">
        <f ca="1">IFERROR(__xludf.DUMMYFUNCTION("""COMPUTED_VALUE"""),"")</f>
        <v/>
      </c>
      <c r="AW39" s="2" t="str">
        <f ca="1">IFERROR(__xludf.DUMMYFUNCTION("""COMPUTED_VALUE"""),"")</f>
        <v/>
      </c>
      <c r="AX39" s="2" t="str">
        <f ca="1">IFERROR(__xludf.DUMMYFUNCTION("""COMPUTED_VALUE"""),"")</f>
        <v/>
      </c>
      <c r="AY39" s="2" t="str">
        <f ca="1">IFERROR(__xludf.DUMMYFUNCTION("""COMPUTED_VALUE"""),"")</f>
        <v/>
      </c>
      <c r="AZ39" s="2" t="str">
        <f ca="1">IFERROR(__xludf.DUMMYFUNCTION("""COMPUTED_VALUE"""),"2D")</f>
        <v>2D</v>
      </c>
      <c r="BA39" s="2">
        <f ca="1">IFERROR(__xludf.DUMMYFUNCTION("""COMPUTED_VALUE"""),1907379)</f>
        <v>1907379</v>
      </c>
      <c r="BB39" s="2">
        <f ca="1">IFERROR(__xludf.DUMMYFUNCTION("""COMPUTED_VALUE"""),5812652)</f>
        <v>5812652</v>
      </c>
      <c r="BC39" s="2" t="str">
        <f ca="1">IFERROR(__xludf.DUMMYFUNCTION("""COMPUTED_VALUE"""),"No")</f>
        <v>No</v>
      </c>
      <c r="BD39" s="2" t="str">
        <f ca="1">IFERROR(__xludf.DUMMYFUNCTION("""COMPUTED_VALUE"""),"")</f>
        <v/>
      </c>
      <c r="BE39" s="2" t="str">
        <f ca="1">IFERROR(__xludf.DUMMYFUNCTION("""COMPUTED_VALUE"""),"")</f>
        <v/>
      </c>
      <c r="BF39" t="str">
        <f ca="1">IFERROR(__xludf.DUMMYFUNCTION("""COMPUTED_VALUE"""),"")</f>
        <v/>
      </c>
      <c r="BG39" t="str">
        <f ca="1">IFERROR(__xludf.DUMMYFUNCTION("""COMPUTED_VALUE"""),"")</f>
        <v/>
      </c>
      <c r="BH39" t="str">
        <f ca="1">IFERROR(__xludf.DUMMYFUNCTION("""COMPUTED_VALUE"""),"")</f>
        <v/>
      </c>
      <c r="BI39" t="str">
        <f ca="1">IFERROR(__xludf.DUMMYFUNCTION("""COMPUTED_VALUE"""),"")</f>
        <v/>
      </c>
      <c r="BJ39" s="3" t="str">
        <f ca="1">IFERROR(__xludf.DUMMYFUNCTION("""COMPUTED_VALUE"""),"")</f>
        <v/>
      </c>
    </row>
    <row r="40" spans="1:62" ht="12.5" x14ac:dyDescent="0.25">
      <c r="A40" s="6">
        <f ca="1">IFERROR(__xludf.DUMMYFUNCTION("""COMPUTED_VALUE"""),43258.5851491898)</f>
        <v>43258.585149189799</v>
      </c>
      <c r="B40" s="2" t="str">
        <f ca="1">IFERROR(__xludf.DUMMYFUNCTION("""COMPUTED_VALUE"""),"Bay of Plenty")</f>
        <v>Bay of Plenty</v>
      </c>
      <c r="C40" s="2" t="str">
        <f ca="1">IFERROR(__xludf.DUMMYFUNCTION("""COMPUTED_VALUE"""),"Tx 17")</f>
        <v>Tx 17</v>
      </c>
      <c r="D40" s="10">
        <f ca="1">IFERROR(__xludf.DUMMYFUNCTION("""COMPUTED_VALUE"""),43231)</f>
        <v>43231</v>
      </c>
      <c r="E40" s="4">
        <f ca="1">IFERROR(__xludf.DUMMYFUNCTION("""COMPUTED_VALUE"""),0.416666666667879)</f>
        <v>0.41666666666787899</v>
      </c>
      <c r="F40" s="2" t="str">
        <f ca="1">IFERROR(__xludf.DUMMYFUNCTION("""COMPUTED_VALUE"""),"Little Waihi")</f>
        <v>Little Waihi</v>
      </c>
      <c r="G40" s="2" t="str">
        <f ca="1">IFERROR(__xludf.DUMMYFUNCTION("""COMPUTED_VALUE"""),"GPS: I converted data downloaded from ARGOS using Pinpoint software")</f>
        <v>GPS: I converted data downloaded from ARGOS using Pinpoint software</v>
      </c>
      <c r="H40" s="2" t="str">
        <f ca="1">IFERROR(__xludf.DUMMYFUNCTION("""COMPUTED_VALUE"""),"")</f>
        <v/>
      </c>
      <c r="I40" s="2" t="str">
        <f ca="1">IFERROR(__xludf.DUMMYFUNCTION("""COMPUTED_VALUE"""),"")</f>
        <v/>
      </c>
      <c r="J40" s="2" t="str">
        <f ca="1">IFERROR(__xludf.DUMMYFUNCTION("""COMPUTED_VALUE"""),"")</f>
        <v/>
      </c>
      <c r="K40" s="2" t="str">
        <f ca="1">IFERROR(__xludf.DUMMYFUNCTION("""COMPUTED_VALUE"""),"")</f>
        <v/>
      </c>
      <c r="L40" s="2" t="str">
        <f ca="1">IFERROR(__xludf.DUMMYFUNCTION("""COMPUTED_VALUE"""),"")</f>
        <v/>
      </c>
      <c r="M40" s="5" t="str">
        <f ca="1">IFERROR(__xludf.DUMMYFUNCTION("""COMPUTED_VALUE"""),"")</f>
        <v/>
      </c>
      <c r="N40" s="5" t="str">
        <f ca="1">IFERROR(__xludf.DUMMYFUNCTION("""COMPUTED_VALUE"""),"")</f>
        <v/>
      </c>
      <c r="O40" s="2" t="str">
        <f ca="1">IFERROR(__xludf.DUMMYFUNCTION("""COMPUTED_VALUE"""),"")</f>
        <v/>
      </c>
      <c r="P40" s="2" t="str">
        <f ca="1">IFERROR(__xludf.DUMMYFUNCTION("""COMPUTED_VALUE"""),"")</f>
        <v/>
      </c>
      <c r="Q40" s="2" t="str">
        <f ca="1">IFERROR(__xludf.DUMMYFUNCTION("""COMPUTED_VALUE"""),"")</f>
        <v/>
      </c>
      <c r="R40" s="2" t="str">
        <f ca="1">IFERROR(__xludf.DUMMYFUNCTION("""COMPUTED_VALUE"""),"")</f>
        <v/>
      </c>
      <c r="S40" s="2" t="str">
        <f ca="1">IFERROR(__xludf.DUMMYFUNCTION("""COMPUTED_VALUE"""),"")</f>
        <v/>
      </c>
      <c r="T40" s="2" t="str">
        <f ca="1">IFERROR(__xludf.DUMMYFUNCTION("""COMPUTED_VALUE"""),"")</f>
        <v/>
      </c>
      <c r="U40" s="2" t="str">
        <f ca="1">IFERROR(__xludf.DUMMYFUNCTION("""COMPUTED_VALUE"""),"")</f>
        <v/>
      </c>
      <c r="V40" s="2" t="str">
        <f ca="1">IFERROR(__xludf.DUMMYFUNCTION("""COMPUTED_VALUE"""),"")</f>
        <v/>
      </c>
      <c r="W40" s="2" t="str">
        <f ca="1">IFERROR(__xludf.DUMMYFUNCTION("""COMPUTED_VALUE"""),"")</f>
        <v/>
      </c>
      <c r="X40" s="2" t="str">
        <f ca="1">IFERROR(__xludf.DUMMYFUNCTION("""COMPUTED_VALUE"""),"")</f>
        <v/>
      </c>
      <c r="Y40" s="2" t="str">
        <f ca="1">IFERROR(__xludf.DUMMYFUNCTION("""COMPUTED_VALUE"""),"")</f>
        <v/>
      </c>
      <c r="Z40" s="2" t="str">
        <f ca="1">IFERROR(__xludf.DUMMYFUNCTION("""COMPUTED_VALUE"""),"")</f>
        <v/>
      </c>
      <c r="AA40" s="2" t="str">
        <f ca="1">IFERROR(__xludf.DUMMYFUNCTION("""COMPUTED_VALUE"""),"")</f>
        <v/>
      </c>
      <c r="AB40" s="2" t="str">
        <f ca="1">IFERROR(__xludf.DUMMYFUNCTION("""COMPUTED_VALUE"""),"")</f>
        <v/>
      </c>
      <c r="AC40" s="2" t="str">
        <f ca="1">IFERROR(__xludf.DUMMYFUNCTION("""COMPUTED_VALUE"""),"")</f>
        <v/>
      </c>
      <c r="AD40" s="2" t="str">
        <f ca="1">IFERROR(__xludf.DUMMYFUNCTION("""COMPUTED_VALUE"""),"")</f>
        <v/>
      </c>
      <c r="AE40" s="2" t="str">
        <f ca="1">IFERROR(__xludf.DUMMYFUNCTION("""COMPUTED_VALUE"""),"")</f>
        <v/>
      </c>
      <c r="AF40" s="2" t="str">
        <f ca="1">IFERROR(__xludf.DUMMYFUNCTION("""COMPUTED_VALUE"""),"")</f>
        <v/>
      </c>
      <c r="AG40" s="2" t="str">
        <f ca="1">IFERROR(__xludf.DUMMYFUNCTION("""COMPUTED_VALUE"""),"")</f>
        <v/>
      </c>
      <c r="AH40" s="2" t="str">
        <f ca="1">IFERROR(__xludf.DUMMYFUNCTION("""COMPUTED_VALUE"""),"")</f>
        <v/>
      </c>
      <c r="AI40" s="2" t="str">
        <f ca="1">IFERROR(__xludf.DUMMYFUNCTION("""COMPUTED_VALUE"""),"")</f>
        <v/>
      </c>
      <c r="AJ40" s="2" t="str">
        <f ca="1">IFERROR(__xludf.DUMMYFUNCTION("""COMPUTED_VALUE"""),"")</f>
        <v/>
      </c>
      <c r="AK40" s="2" t="str">
        <f ca="1">IFERROR(__xludf.DUMMYFUNCTION("""COMPUTED_VALUE"""),"")</f>
        <v/>
      </c>
      <c r="AL40" s="2" t="str">
        <f ca="1">IFERROR(__xludf.DUMMYFUNCTION("""COMPUTED_VALUE"""),"")</f>
        <v/>
      </c>
      <c r="AM40" s="2" t="str">
        <f ca="1">IFERROR(__xludf.DUMMYFUNCTION("""COMPUTED_VALUE"""),"")</f>
        <v/>
      </c>
      <c r="AN40" s="2" t="str">
        <f ca="1">IFERROR(__xludf.DUMMYFUNCTION("""COMPUTED_VALUE"""),"")</f>
        <v/>
      </c>
      <c r="AO40" s="2" t="str">
        <f ca="1">IFERROR(__xludf.DUMMYFUNCTION("""COMPUTED_VALUE"""),"")</f>
        <v/>
      </c>
      <c r="AP40" s="2" t="str">
        <f ca="1">IFERROR(__xludf.DUMMYFUNCTION("""COMPUTED_VALUE"""),"")</f>
        <v/>
      </c>
      <c r="AQ40" s="2" t="str">
        <f ca="1">IFERROR(__xludf.DUMMYFUNCTION("""COMPUTED_VALUE"""),"")</f>
        <v/>
      </c>
      <c r="AR40" s="2" t="str">
        <f ca="1">IFERROR(__xludf.DUMMYFUNCTION("""COMPUTED_VALUE"""),"")</f>
        <v/>
      </c>
      <c r="AS40" s="2" t="str">
        <f ca="1">IFERROR(__xludf.DUMMYFUNCTION("""COMPUTED_VALUE"""),"")</f>
        <v/>
      </c>
      <c r="AT40" s="2" t="str">
        <f ca="1">IFERROR(__xludf.DUMMYFUNCTION("""COMPUTED_VALUE"""),"")</f>
        <v/>
      </c>
      <c r="AU40" s="2" t="str">
        <f ca="1">IFERROR(__xludf.DUMMYFUNCTION("""COMPUTED_VALUE"""),"")</f>
        <v/>
      </c>
      <c r="AV40" s="2" t="str">
        <f ca="1">IFERROR(__xludf.DUMMYFUNCTION("""COMPUTED_VALUE"""),"")</f>
        <v/>
      </c>
      <c r="AW40" s="2" t="str">
        <f ca="1">IFERROR(__xludf.DUMMYFUNCTION("""COMPUTED_VALUE"""),"")</f>
        <v/>
      </c>
      <c r="AX40" s="2" t="str">
        <f ca="1">IFERROR(__xludf.DUMMYFUNCTION("""COMPUTED_VALUE"""),"")</f>
        <v/>
      </c>
      <c r="AY40" s="2" t="str">
        <f ca="1">IFERROR(__xludf.DUMMYFUNCTION("""COMPUTED_VALUE"""),"")</f>
        <v/>
      </c>
      <c r="AZ40" s="2" t="str">
        <f ca="1">IFERROR(__xludf.DUMMYFUNCTION("""COMPUTED_VALUE"""),"3D")</f>
        <v>3D</v>
      </c>
      <c r="BA40" s="2">
        <f ca="1">IFERROR(__xludf.DUMMYFUNCTION("""COMPUTED_VALUE"""),1907034)</f>
        <v>1907034</v>
      </c>
      <c r="BB40" s="2">
        <f ca="1">IFERROR(__xludf.DUMMYFUNCTION("""COMPUTED_VALUE"""),5813334)</f>
        <v>5813334</v>
      </c>
      <c r="BC40" s="2" t="str">
        <f ca="1">IFERROR(__xludf.DUMMYFUNCTION("""COMPUTED_VALUE"""),"No")</f>
        <v>No</v>
      </c>
      <c r="BD40" s="2" t="str">
        <f ca="1">IFERROR(__xludf.DUMMYFUNCTION("""COMPUTED_VALUE"""),"")</f>
        <v/>
      </c>
      <c r="BE40" s="2" t="str">
        <f ca="1">IFERROR(__xludf.DUMMYFUNCTION("""COMPUTED_VALUE"""),"")</f>
        <v/>
      </c>
      <c r="BF40" t="str">
        <f ca="1">IFERROR(__xludf.DUMMYFUNCTION("""COMPUTED_VALUE"""),"")</f>
        <v/>
      </c>
      <c r="BG40" t="str">
        <f ca="1">IFERROR(__xludf.DUMMYFUNCTION("""COMPUTED_VALUE"""),"")</f>
        <v/>
      </c>
      <c r="BH40" t="str">
        <f ca="1">IFERROR(__xludf.DUMMYFUNCTION("""COMPUTED_VALUE"""),"")</f>
        <v/>
      </c>
      <c r="BI40" t="str">
        <f ca="1">IFERROR(__xludf.DUMMYFUNCTION("""COMPUTED_VALUE"""),"")</f>
        <v/>
      </c>
      <c r="BJ40" s="3" t="str">
        <f ca="1">IFERROR(__xludf.DUMMYFUNCTION("""COMPUTED_VALUE"""),"")</f>
        <v/>
      </c>
    </row>
    <row r="41" spans="1:62" ht="12.5" x14ac:dyDescent="0.25">
      <c r="A41" s="6">
        <f ca="1">IFERROR(__xludf.DUMMYFUNCTION("""COMPUTED_VALUE"""),43258.5864244328)</f>
        <v>43258.586424432797</v>
      </c>
      <c r="B41" s="2" t="str">
        <f ca="1">IFERROR(__xludf.DUMMYFUNCTION("""COMPUTED_VALUE"""),"Bay of Plenty")</f>
        <v>Bay of Plenty</v>
      </c>
      <c r="C41" s="2" t="str">
        <f ca="1">IFERROR(__xludf.DUMMYFUNCTION("""COMPUTED_VALUE"""),"Tx 17")</f>
        <v>Tx 17</v>
      </c>
      <c r="D41" s="10">
        <f ca="1">IFERROR(__xludf.DUMMYFUNCTION("""COMPUTED_VALUE"""),43231)</f>
        <v>43231</v>
      </c>
      <c r="E41" s="4">
        <f ca="1">IFERROR(__xludf.DUMMYFUNCTION("""COMPUTED_VALUE"""),0.447916666667879)</f>
        <v>0.44791666666787899</v>
      </c>
      <c r="F41" s="2" t="str">
        <f ca="1">IFERROR(__xludf.DUMMYFUNCTION("""COMPUTED_VALUE"""),"Little Waihi")</f>
        <v>Little Waihi</v>
      </c>
      <c r="G41" s="2" t="str">
        <f ca="1">IFERROR(__xludf.DUMMYFUNCTION("""COMPUTED_VALUE"""),"GPS: I converted data downloaded from ARGOS using Pinpoint software")</f>
        <v>GPS: I converted data downloaded from ARGOS using Pinpoint software</v>
      </c>
      <c r="H41" s="2" t="str">
        <f ca="1">IFERROR(__xludf.DUMMYFUNCTION("""COMPUTED_VALUE"""),"")</f>
        <v/>
      </c>
      <c r="I41" s="2" t="str">
        <f ca="1">IFERROR(__xludf.DUMMYFUNCTION("""COMPUTED_VALUE"""),"")</f>
        <v/>
      </c>
      <c r="J41" s="2" t="str">
        <f ca="1">IFERROR(__xludf.DUMMYFUNCTION("""COMPUTED_VALUE"""),"")</f>
        <v/>
      </c>
      <c r="K41" s="2" t="str">
        <f ca="1">IFERROR(__xludf.DUMMYFUNCTION("""COMPUTED_VALUE"""),"")</f>
        <v/>
      </c>
      <c r="L41" s="2" t="str">
        <f ca="1">IFERROR(__xludf.DUMMYFUNCTION("""COMPUTED_VALUE"""),"")</f>
        <v/>
      </c>
      <c r="M41" s="5" t="str">
        <f ca="1">IFERROR(__xludf.DUMMYFUNCTION("""COMPUTED_VALUE"""),"")</f>
        <v/>
      </c>
      <c r="N41" s="5" t="str">
        <f ca="1">IFERROR(__xludf.DUMMYFUNCTION("""COMPUTED_VALUE"""),"")</f>
        <v/>
      </c>
      <c r="O41" s="2" t="str">
        <f ca="1">IFERROR(__xludf.DUMMYFUNCTION("""COMPUTED_VALUE"""),"")</f>
        <v/>
      </c>
      <c r="P41" s="2" t="str">
        <f ca="1">IFERROR(__xludf.DUMMYFUNCTION("""COMPUTED_VALUE"""),"")</f>
        <v/>
      </c>
      <c r="Q41" s="2" t="str">
        <f ca="1">IFERROR(__xludf.DUMMYFUNCTION("""COMPUTED_VALUE"""),"")</f>
        <v/>
      </c>
      <c r="R41" s="2" t="str">
        <f ca="1">IFERROR(__xludf.DUMMYFUNCTION("""COMPUTED_VALUE"""),"")</f>
        <v/>
      </c>
      <c r="S41" s="2" t="str">
        <f ca="1">IFERROR(__xludf.DUMMYFUNCTION("""COMPUTED_VALUE"""),"")</f>
        <v/>
      </c>
      <c r="T41" s="2" t="str">
        <f ca="1">IFERROR(__xludf.DUMMYFUNCTION("""COMPUTED_VALUE"""),"")</f>
        <v/>
      </c>
      <c r="U41" s="2" t="str">
        <f ca="1">IFERROR(__xludf.DUMMYFUNCTION("""COMPUTED_VALUE"""),"")</f>
        <v/>
      </c>
      <c r="V41" s="2" t="str">
        <f ca="1">IFERROR(__xludf.DUMMYFUNCTION("""COMPUTED_VALUE"""),"")</f>
        <v/>
      </c>
      <c r="W41" s="2" t="str">
        <f ca="1">IFERROR(__xludf.DUMMYFUNCTION("""COMPUTED_VALUE"""),"")</f>
        <v/>
      </c>
      <c r="X41" s="2" t="str">
        <f ca="1">IFERROR(__xludf.DUMMYFUNCTION("""COMPUTED_VALUE"""),"")</f>
        <v/>
      </c>
      <c r="Y41" s="2" t="str">
        <f ca="1">IFERROR(__xludf.DUMMYFUNCTION("""COMPUTED_VALUE"""),"")</f>
        <v/>
      </c>
      <c r="Z41" s="2" t="str">
        <f ca="1">IFERROR(__xludf.DUMMYFUNCTION("""COMPUTED_VALUE"""),"")</f>
        <v/>
      </c>
      <c r="AA41" s="2" t="str">
        <f ca="1">IFERROR(__xludf.DUMMYFUNCTION("""COMPUTED_VALUE"""),"")</f>
        <v/>
      </c>
      <c r="AB41" s="2" t="str">
        <f ca="1">IFERROR(__xludf.DUMMYFUNCTION("""COMPUTED_VALUE"""),"")</f>
        <v/>
      </c>
      <c r="AC41" s="2" t="str">
        <f ca="1">IFERROR(__xludf.DUMMYFUNCTION("""COMPUTED_VALUE"""),"")</f>
        <v/>
      </c>
      <c r="AD41" s="2" t="str">
        <f ca="1">IFERROR(__xludf.DUMMYFUNCTION("""COMPUTED_VALUE"""),"")</f>
        <v/>
      </c>
      <c r="AE41" s="2" t="str">
        <f ca="1">IFERROR(__xludf.DUMMYFUNCTION("""COMPUTED_VALUE"""),"")</f>
        <v/>
      </c>
      <c r="AF41" s="2" t="str">
        <f ca="1">IFERROR(__xludf.DUMMYFUNCTION("""COMPUTED_VALUE"""),"")</f>
        <v/>
      </c>
      <c r="AG41" s="2" t="str">
        <f ca="1">IFERROR(__xludf.DUMMYFUNCTION("""COMPUTED_VALUE"""),"")</f>
        <v/>
      </c>
      <c r="AH41" s="2" t="str">
        <f ca="1">IFERROR(__xludf.DUMMYFUNCTION("""COMPUTED_VALUE"""),"")</f>
        <v/>
      </c>
      <c r="AI41" s="2" t="str">
        <f ca="1">IFERROR(__xludf.DUMMYFUNCTION("""COMPUTED_VALUE"""),"")</f>
        <v/>
      </c>
      <c r="AJ41" s="2" t="str">
        <f ca="1">IFERROR(__xludf.DUMMYFUNCTION("""COMPUTED_VALUE"""),"")</f>
        <v/>
      </c>
      <c r="AK41" s="2" t="str">
        <f ca="1">IFERROR(__xludf.DUMMYFUNCTION("""COMPUTED_VALUE"""),"")</f>
        <v/>
      </c>
      <c r="AL41" s="2" t="str">
        <f ca="1">IFERROR(__xludf.DUMMYFUNCTION("""COMPUTED_VALUE"""),"")</f>
        <v/>
      </c>
      <c r="AM41" s="2" t="str">
        <f ca="1">IFERROR(__xludf.DUMMYFUNCTION("""COMPUTED_VALUE"""),"")</f>
        <v/>
      </c>
      <c r="AN41" s="2" t="str">
        <f ca="1">IFERROR(__xludf.DUMMYFUNCTION("""COMPUTED_VALUE"""),"")</f>
        <v/>
      </c>
      <c r="AO41" s="2" t="str">
        <f ca="1">IFERROR(__xludf.DUMMYFUNCTION("""COMPUTED_VALUE"""),"")</f>
        <v/>
      </c>
      <c r="AP41" s="2" t="str">
        <f ca="1">IFERROR(__xludf.DUMMYFUNCTION("""COMPUTED_VALUE"""),"")</f>
        <v/>
      </c>
      <c r="AQ41" s="2" t="str">
        <f ca="1">IFERROR(__xludf.DUMMYFUNCTION("""COMPUTED_VALUE"""),"")</f>
        <v/>
      </c>
      <c r="AR41" s="2" t="str">
        <f ca="1">IFERROR(__xludf.DUMMYFUNCTION("""COMPUTED_VALUE"""),"")</f>
        <v/>
      </c>
      <c r="AS41" s="2" t="str">
        <f ca="1">IFERROR(__xludf.DUMMYFUNCTION("""COMPUTED_VALUE"""),"")</f>
        <v/>
      </c>
      <c r="AT41" s="2" t="str">
        <f ca="1">IFERROR(__xludf.DUMMYFUNCTION("""COMPUTED_VALUE"""),"")</f>
        <v/>
      </c>
      <c r="AU41" s="2" t="str">
        <f ca="1">IFERROR(__xludf.DUMMYFUNCTION("""COMPUTED_VALUE"""),"")</f>
        <v/>
      </c>
      <c r="AV41" s="2" t="str">
        <f ca="1">IFERROR(__xludf.DUMMYFUNCTION("""COMPUTED_VALUE"""),"")</f>
        <v/>
      </c>
      <c r="AW41" s="2" t="str">
        <f ca="1">IFERROR(__xludf.DUMMYFUNCTION("""COMPUTED_VALUE"""),"")</f>
        <v/>
      </c>
      <c r="AX41" s="2" t="str">
        <f ca="1">IFERROR(__xludf.DUMMYFUNCTION("""COMPUTED_VALUE"""),"")</f>
        <v/>
      </c>
      <c r="AY41" s="2" t="str">
        <f ca="1">IFERROR(__xludf.DUMMYFUNCTION("""COMPUTED_VALUE"""),"")</f>
        <v/>
      </c>
      <c r="AZ41" s="2" t="str">
        <f ca="1">IFERROR(__xludf.DUMMYFUNCTION("""COMPUTED_VALUE"""),"A2")</f>
        <v>A2</v>
      </c>
      <c r="BA41" s="2">
        <f ca="1">IFERROR(__xludf.DUMMYFUNCTION("""COMPUTED_VALUE"""),1906857)</f>
        <v>1906857</v>
      </c>
      <c r="BB41" s="2">
        <f ca="1">IFERROR(__xludf.DUMMYFUNCTION("""COMPUTED_VALUE"""),5813208)</f>
        <v>5813208</v>
      </c>
      <c r="BC41" s="2" t="str">
        <f ca="1">IFERROR(__xludf.DUMMYFUNCTION("""COMPUTED_VALUE"""),"No")</f>
        <v>No</v>
      </c>
      <c r="BD41" s="2" t="str">
        <f ca="1">IFERROR(__xludf.DUMMYFUNCTION("""COMPUTED_VALUE"""),"")</f>
        <v/>
      </c>
      <c r="BE41" s="2" t="str">
        <f ca="1">IFERROR(__xludf.DUMMYFUNCTION("""COMPUTED_VALUE"""),"")</f>
        <v/>
      </c>
      <c r="BF41" t="str">
        <f ca="1">IFERROR(__xludf.DUMMYFUNCTION("""COMPUTED_VALUE"""),"")</f>
        <v/>
      </c>
      <c r="BG41" t="str">
        <f ca="1">IFERROR(__xludf.DUMMYFUNCTION("""COMPUTED_VALUE"""),"")</f>
        <v/>
      </c>
      <c r="BH41" t="str">
        <f ca="1">IFERROR(__xludf.DUMMYFUNCTION("""COMPUTED_VALUE"""),"")</f>
        <v/>
      </c>
      <c r="BI41" t="str">
        <f ca="1">IFERROR(__xludf.DUMMYFUNCTION("""COMPUTED_VALUE"""),"")</f>
        <v/>
      </c>
      <c r="BJ41" s="3" t="str">
        <f ca="1">IFERROR(__xludf.DUMMYFUNCTION("""COMPUTED_VALUE"""),"")</f>
        <v/>
      </c>
    </row>
    <row r="42" spans="1:62" ht="12.5" x14ac:dyDescent="0.25">
      <c r="A42" s="6">
        <f ca="1">IFERROR(__xludf.DUMMYFUNCTION("""COMPUTED_VALUE"""),43258.5882819213)</f>
        <v>43258.5882819213</v>
      </c>
      <c r="B42" s="2" t="str">
        <f ca="1">IFERROR(__xludf.DUMMYFUNCTION("""COMPUTED_VALUE"""),"Bay of Plenty")</f>
        <v>Bay of Plenty</v>
      </c>
      <c r="C42" s="2" t="str">
        <f ca="1">IFERROR(__xludf.DUMMYFUNCTION("""COMPUTED_VALUE"""),"Tx 17")</f>
        <v>Tx 17</v>
      </c>
      <c r="D42" s="10">
        <f ca="1">IFERROR(__xludf.DUMMYFUNCTION("""COMPUTED_VALUE"""),46428)</f>
        <v>46428</v>
      </c>
      <c r="E42" s="4">
        <f ca="1">IFERROR(__xludf.DUMMYFUNCTION("""COMPUTED_VALUE"""),0.400694444444525)</f>
        <v>0.40069444444452501</v>
      </c>
      <c r="F42" s="2" t="str">
        <f ca="1">IFERROR(__xludf.DUMMYFUNCTION("""COMPUTED_VALUE"""),"Little Waihi")</f>
        <v>Little Waihi</v>
      </c>
      <c r="G42" s="2" t="str">
        <f ca="1">IFERROR(__xludf.DUMMYFUNCTION("""COMPUTED_VALUE"""),"GPS: I converted data downloaded from ARGOS using Pinpoint software")</f>
        <v>GPS: I converted data downloaded from ARGOS using Pinpoint software</v>
      </c>
      <c r="H42" s="2" t="str">
        <f ca="1">IFERROR(__xludf.DUMMYFUNCTION("""COMPUTED_VALUE"""),"")</f>
        <v/>
      </c>
      <c r="I42" s="2" t="str">
        <f ca="1">IFERROR(__xludf.DUMMYFUNCTION("""COMPUTED_VALUE"""),"")</f>
        <v/>
      </c>
      <c r="J42" s="2" t="str">
        <f ca="1">IFERROR(__xludf.DUMMYFUNCTION("""COMPUTED_VALUE"""),"")</f>
        <v/>
      </c>
      <c r="K42" s="2" t="str">
        <f ca="1">IFERROR(__xludf.DUMMYFUNCTION("""COMPUTED_VALUE"""),"")</f>
        <v/>
      </c>
      <c r="L42" s="2" t="str">
        <f ca="1">IFERROR(__xludf.DUMMYFUNCTION("""COMPUTED_VALUE"""),"")</f>
        <v/>
      </c>
      <c r="M42" s="5" t="str">
        <f ca="1">IFERROR(__xludf.DUMMYFUNCTION("""COMPUTED_VALUE"""),"")</f>
        <v/>
      </c>
      <c r="N42" s="5" t="str">
        <f ca="1">IFERROR(__xludf.DUMMYFUNCTION("""COMPUTED_VALUE"""),"")</f>
        <v/>
      </c>
      <c r="O42" s="2" t="str">
        <f ca="1">IFERROR(__xludf.DUMMYFUNCTION("""COMPUTED_VALUE"""),"")</f>
        <v/>
      </c>
      <c r="P42" s="2" t="str">
        <f ca="1">IFERROR(__xludf.DUMMYFUNCTION("""COMPUTED_VALUE"""),"")</f>
        <v/>
      </c>
      <c r="Q42" s="2" t="str">
        <f ca="1">IFERROR(__xludf.DUMMYFUNCTION("""COMPUTED_VALUE"""),"")</f>
        <v/>
      </c>
      <c r="R42" s="2" t="str">
        <f ca="1">IFERROR(__xludf.DUMMYFUNCTION("""COMPUTED_VALUE"""),"")</f>
        <v/>
      </c>
      <c r="S42" s="2" t="str">
        <f ca="1">IFERROR(__xludf.DUMMYFUNCTION("""COMPUTED_VALUE"""),"")</f>
        <v/>
      </c>
      <c r="T42" s="2" t="str">
        <f ca="1">IFERROR(__xludf.DUMMYFUNCTION("""COMPUTED_VALUE"""),"")</f>
        <v/>
      </c>
      <c r="U42" s="2" t="str">
        <f ca="1">IFERROR(__xludf.DUMMYFUNCTION("""COMPUTED_VALUE"""),"")</f>
        <v/>
      </c>
      <c r="V42" s="2" t="str">
        <f ca="1">IFERROR(__xludf.DUMMYFUNCTION("""COMPUTED_VALUE"""),"")</f>
        <v/>
      </c>
      <c r="W42" s="2" t="str">
        <f ca="1">IFERROR(__xludf.DUMMYFUNCTION("""COMPUTED_VALUE"""),"")</f>
        <v/>
      </c>
      <c r="X42" s="2" t="str">
        <f ca="1">IFERROR(__xludf.DUMMYFUNCTION("""COMPUTED_VALUE"""),"")</f>
        <v/>
      </c>
      <c r="Y42" s="2" t="str">
        <f ca="1">IFERROR(__xludf.DUMMYFUNCTION("""COMPUTED_VALUE"""),"")</f>
        <v/>
      </c>
      <c r="Z42" s="2" t="str">
        <f ca="1">IFERROR(__xludf.DUMMYFUNCTION("""COMPUTED_VALUE"""),"")</f>
        <v/>
      </c>
      <c r="AA42" s="2" t="str">
        <f ca="1">IFERROR(__xludf.DUMMYFUNCTION("""COMPUTED_VALUE"""),"")</f>
        <v/>
      </c>
      <c r="AB42" s="2" t="str">
        <f ca="1">IFERROR(__xludf.DUMMYFUNCTION("""COMPUTED_VALUE"""),"")</f>
        <v/>
      </c>
      <c r="AC42" s="2" t="str">
        <f ca="1">IFERROR(__xludf.DUMMYFUNCTION("""COMPUTED_VALUE"""),"")</f>
        <v/>
      </c>
      <c r="AD42" s="2" t="str">
        <f ca="1">IFERROR(__xludf.DUMMYFUNCTION("""COMPUTED_VALUE"""),"")</f>
        <v/>
      </c>
      <c r="AE42" s="2" t="str">
        <f ca="1">IFERROR(__xludf.DUMMYFUNCTION("""COMPUTED_VALUE"""),"")</f>
        <v/>
      </c>
      <c r="AF42" s="2" t="str">
        <f ca="1">IFERROR(__xludf.DUMMYFUNCTION("""COMPUTED_VALUE"""),"")</f>
        <v/>
      </c>
      <c r="AG42" s="2" t="str">
        <f ca="1">IFERROR(__xludf.DUMMYFUNCTION("""COMPUTED_VALUE"""),"")</f>
        <v/>
      </c>
      <c r="AH42" s="2" t="str">
        <f ca="1">IFERROR(__xludf.DUMMYFUNCTION("""COMPUTED_VALUE"""),"")</f>
        <v/>
      </c>
      <c r="AI42" s="2" t="str">
        <f ca="1">IFERROR(__xludf.DUMMYFUNCTION("""COMPUTED_VALUE"""),"")</f>
        <v/>
      </c>
      <c r="AJ42" s="2" t="str">
        <f ca="1">IFERROR(__xludf.DUMMYFUNCTION("""COMPUTED_VALUE"""),"")</f>
        <v/>
      </c>
      <c r="AK42" s="2" t="str">
        <f ca="1">IFERROR(__xludf.DUMMYFUNCTION("""COMPUTED_VALUE"""),"")</f>
        <v/>
      </c>
      <c r="AL42" s="2" t="str">
        <f ca="1">IFERROR(__xludf.DUMMYFUNCTION("""COMPUTED_VALUE"""),"")</f>
        <v/>
      </c>
      <c r="AM42" s="2" t="str">
        <f ca="1">IFERROR(__xludf.DUMMYFUNCTION("""COMPUTED_VALUE"""),"")</f>
        <v/>
      </c>
      <c r="AN42" s="2" t="str">
        <f ca="1">IFERROR(__xludf.DUMMYFUNCTION("""COMPUTED_VALUE"""),"")</f>
        <v/>
      </c>
      <c r="AO42" s="2" t="str">
        <f ca="1">IFERROR(__xludf.DUMMYFUNCTION("""COMPUTED_VALUE"""),"")</f>
        <v/>
      </c>
      <c r="AP42" s="2" t="str">
        <f ca="1">IFERROR(__xludf.DUMMYFUNCTION("""COMPUTED_VALUE"""),"")</f>
        <v/>
      </c>
      <c r="AQ42" s="2" t="str">
        <f ca="1">IFERROR(__xludf.DUMMYFUNCTION("""COMPUTED_VALUE"""),"")</f>
        <v/>
      </c>
      <c r="AR42" s="2" t="str">
        <f ca="1">IFERROR(__xludf.DUMMYFUNCTION("""COMPUTED_VALUE"""),"")</f>
        <v/>
      </c>
      <c r="AS42" s="2" t="str">
        <f ca="1">IFERROR(__xludf.DUMMYFUNCTION("""COMPUTED_VALUE"""),"")</f>
        <v/>
      </c>
      <c r="AT42" s="2" t="str">
        <f ca="1">IFERROR(__xludf.DUMMYFUNCTION("""COMPUTED_VALUE"""),"")</f>
        <v/>
      </c>
      <c r="AU42" s="2" t="str">
        <f ca="1">IFERROR(__xludf.DUMMYFUNCTION("""COMPUTED_VALUE"""),"")</f>
        <v/>
      </c>
      <c r="AV42" s="2" t="str">
        <f ca="1">IFERROR(__xludf.DUMMYFUNCTION("""COMPUTED_VALUE"""),"")</f>
        <v/>
      </c>
      <c r="AW42" s="2" t="str">
        <f ca="1">IFERROR(__xludf.DUMMYFUNCTION("""COMPUTED_VALUE"""),"")</f>
        <v/>
      </c>
      <c r="AX42" s="2" t="str">
        <f ca="1">IFERROR(__xludf.DUMMYFUNCTION("""COMPUTED_VALUE"""),"")</f>
        <v/>
      </c>
      <c r="AY42" s="2" t="str">
        <f ca="1">IFERROR(__xludf.DUMMYFUNCTION("""COMPUTED_VALUE"""),"")</f>
        <v/>
      </c>
      <c r="AZ42" s="2" t="str">
        <f ca="1">IFERROR(__xludf.DUMMYFUNCTION("""COMPUTED_VALUE"""),"2D")</f>
        <v>2D</v>
      </c>
      <c r="BA42" s="2">
        <f ca="1">IFERROR(__xludf.DUMMYFUNCTION("""COMPUTED_VALUE"""),1897584)</f>
        <v>1897584</v>
      </c>
      <c r="BB42" s="2">
        <f ca="1">IFERROR(__xludf.DUMMYFUNCTION("""COMPUTED_VALUE"""),5789704)</f>
        <v>5789704</v>
      </c>
      <c r="BC42" s="2" t="str">
        <f ca="1">IFERROR(__xludf.DUMMYFUNCTION("""COMPUTED_VALUE"""),"No")</f>
        <v>No</v>
      </c>
      <c r="BD42" s="2" t="str">
        <f ca="1">IFERROR(__xludf.DUMMYFUNCTION("""COMPUTED_VALUE"""),"")</f>
        <v/>
      </c>
      <c r="BE42" s="2" t="str">
        <f ca="1">IFERROR(__xludf.DUMMYFUNCTION("""COMPUTED_VALUE"""),"")</f>
        <v/>
      </c>
      <c r="BF42" t="str">
        <f ca="1">IFERROR(__xludf.DUMMYFUNCTION("""COMPUTED_VALUE"""),"")</f>
        <v/>
      </c>
      <c r="BG42" t="str">
        <f ca="1">IFERROR(__xludf.DUMMYFUNCTION("""COMPUTED_VALUE"""),"")</f>
        <v/>
      </c>
      <c r="BH42" t="str">
        <f ca="1">IFERROR(__xludf.DUMMYFUNCTION("""COMPUTED_VALUE"""),"")</f>
        <v/>
      </c>
      <c r="BI42" t="str">
        <f ca="1">IFERROR(__xludf.DUMMYFUNCTION("""COMPUTED_VALUE"""),"")</f>
        <v/>
      </c>
      <c r="BJ42" s="3" t="str">
        <f ca="1">IFERROR(__xludf.DUMMYFUNCTION("""COMPUTED_VALUE"""),"")</f>
        <v/>
      </c>
    </row>
    <row r="43" spans="1:62" ht="12.5" x14ac:dyDescent="0.25">
      <c r="A43" s="6">
        <f ca="1">IFERROR(__xludf.DUMMYFUNCTION("""COMPUTED_VALUE"""),43258.5899295833)</f>
        <v>43258.589929583301</v>
      </c>
      <c r="B43" s="2" t="str">
        <f ca="1">IFERROR(__xludf.DUMMYFUNCTION("""COMPUTED_VALUE"""),"Bay of Plenty")</f>
        <v>Bay of Plenty</v>
      </c>
      <c r="C43" s="2" t="str">
        <f ca="1">IFERROR(__xludf.DUMMYFUNCTION("""COMPUTED_VALUE"""),"Tx 17")</f>
        <v>Tx 17</v>
      </c>
      <c r="D43" s="10">
        <f ca="1">IFERROR(__xludf.DUMMYFUNCTION("""COMPUTED_VALUE"""),55683)</f>
        <v>55683</v>
      </c>
      <c r="E43" s="4">
        <f ca="1">IFERROR(__xludf.DUMMYFUNCTION("""COMPUTED_VALUE"""),0.256944444445252)</f>
        <v>0.256944444445252</v>
      </c>
      <c r="F43" s="2" t="str">
        <f ca="1">IFERROR(__xludf.DUMMYFUNCTION("""COMPUTED_VALUE"""),"Little Waihi")</f>
        <v>Little Waihi</v>
      </c>
      <c r="G43" s="2" t="str">
        <f ca="1">IFERROR(__xludf.DUMMYFUNCTION("""COMPUTED_VALUE"""),"GPS: I converted data downloaded from ARGOS using Pinpoint software")</f>
        <v>GPS: I converted data downloaded from ARGOS using Pinpoint software</v>
      </c>
      <c r="H43" s="2" t="str">
        <f ca="1">IFERROR(__xludf.DUMMYFUNCTION("""COMPUTED_VALUE"""),"")</f>
        <v/>
      </c>
      <c r="I43" s="2" t="str">
        <f ca="1">IFERROR(__xludf.DUMMYFUNCTION("""COMPUTED_VALUE"""),"")</f>
        <v/>
      </c>
      <c r="J43" s="2" t="str">
        <f ca="1">IFERROR(__xludf.DUMMYFUNCTION("""COMPUTED_VALUE"""),"")</f>
        <v/>
      </c>
      <c r="K43" s="2" t="str">
        <f ca="1">IFERROR(__xludf.DUMMYFUNCTION("""COMPUTED_VALUE"""),"")</f>
        <v/>
      </c>
      <c r="L43" s="2" t="str">
        <f ca="1">IFERROR(__xludf.DUMMYFUNCTION("""COMPUTED_VALUE"""),"")</f>
        <v/>
      </c>
      <c r="M43" s="5" t="str">
        <f ca="1">IFERROR(__xludf.DUMMYFUNCTION("""COMPUTED_VALUE"""),"")</f>
        <v/>
      </c>
      <c r="N43" s="5" t="str">
        <f ca="1">IFERROR(__xludf.DUMMYFUNCTION("""COMPUTED_VALUE"""),"")</f>
        <v/>
      </c>
      <c r="O43" s="2" t="str">
        <f ca="1">IFERROR(__xludf.DUMMYFUNCTION("""COMPUTED_VALUE"""),"")</f>
        <v/>
      </c>
      <c r="P43" s="2" t="str">
        <f ca="1">IFERROR(__xludf.DUMMYFUNCTION("""COMPUTED_VALUE"""),"")</f>
        <v/>
      </c>
      <c r="Q43" s="2" t="str">
        <f ca="1">IFERROR(__xludf.DUMMYFUNCTION("""COMPUTED_VALUE"""),"")</f>
        <v/>
      </c>
      <c r="R43" s="2" t="str">
        <f ca="1">IFERROR(__xludf.DUMMYFUNCTION("""COMPUTED_VALUE"""),"")</f>
        <v/>
      </c>
      <c r="S43" s="2" t="str">
        <f ca="1">IFERROR(__xludf.DUMMYFUNCTION("""COMPUTED_VALUE"""),"")</f>
        <v/>
      </c>
      <c r="T43" s="2" t="str">
        <f ca="1">IFERROR(__xludf.DUMMYFUNCTION("""COMPUTED_VALUE"""),"")</f>
        <v/>
      </c>
      <c r="U43" s="2" t="str">
        <f ca="1">IFERROR(__xludf.DUMMYFUNCTION("""COMPUTED_VALUE"""),"")</f>
        <v/>
      </c>
      <c r="V43" s="2" t="str">
        <f ca="1">IFERROR(__xludf.DUMMYFUNCTION("""COMPUTED_VALUE"""),"")</f>
        <v/>
      </c>
      <c r="W43" s="2" t="str">
        <f ca="1">IFERROR(__xludf.DUMMYFUNCTION("""COMPUTED_VALUE"""),"")</f>
        <v/>
      </c>
      <c r="X43" s="2" t="str">
        <f ca="1">IFERROR(__xludf.DUMMYFUNCTION("""COMPUTED_VALUE"""),"")</f>
        <v/>
      </c>
      <c r="Y43" s="2" t="str">
        <f ca="1">IFERROR(__xludf.DUMMYFUNCTION("""COMPUTED_VALUE"""),"")</f>
        <v/>
      </c>
      <c r="Z43" s="2" t="str">
        <f ca="1">IFERROR(__xludf.DUMMYFUNCTION("""COMPUTED_VALUE"""),"")</f>
        <v/>
      </c>
      <c r="AA43" s="2" t="str">
        <f ca="1">IFERROR(__xludf.DUMMYFUNCTION("""COMPUTED_VALUE"""),"")</f>
        <v/>
      </c>
      <c r="AB43" s="2" t="str">
        <f ca="1">IFERROR(__xludf.DUMMYFUNCTION("""COMPUTED_VALUE"""),"")</f>
        <v/>
      </c>
      <c r="AC43" s="2" t="str">
        <f ca="1">IFERROR(__xludf.DUMMYFUNCTION("""COMPUTED_VALUE"""),"")</f>
        <v/>
      </c>
      <c r="AD43" s="2" t="str">
        <f ca="1">IFERROR(__xludf.DUMMYFUNCTION("""COMPUTED_VALUE"""),"")</f>
        <v/>
      </c>
      <c r="AE43" s="2" t="str">
        <f ca="1">IFERROR(__xludf.DUMMYFUNCTION("""COMPUTED_VALUE"""),"")</f>
        <v/>
      </c>
      <c r="AF43" s="2" t="str">
        <f ca="1">IFERROR(__xludf.DUMMYFUNCTION("""COMPUTED_VALUE"""),"")</f>
        <v/>
      </c>
      <c r="AG43" s="2" t="str">
        <f ca="1">IFERROR(__xludf.DUMMYFUNCTION("""COMPUTED_VALUE"""),"")</f>
        <v/>
      </c>
      <c r="AH43" s="2" t="str">
        <f ca="1">IFERROR(__xludf.DUMMYFUNCTION("""COMPUTED_VALUE"""),"")</f>
        <v/>
      </c>
      <c r="AI43" s="2" t="str">
        <f ca="1">IFERROR(__xludf.DUMMYFUNCTION("""COMPUTED_VALUE"""),"")</f>
        <v/>
      </c>
      <c r="AJ43" s="2" t="str">
        <f ca="1">IFERROR(__xludf.DUMMYFUNCTION("""COMPUTED_VALUE"""),"")</f>
        <v/>
      </c>
      <c r="AK43" s="2" t="str">
        <f ca="1">IFERROR(__xludf.DUMMYFUNCTION("""COMPUTED_VALUE"""),"")</f>
        <v/>
      </c>
      <c r="AL43" s="2" t="str">
        <f ca="1">IFERROR(__xludf.DUMMYFUNCTION("""COMPUTED_VALUE"""),"")</f>
        <v/>
      </c>
      <c r="AM43" s="2" t="str">
        <f ca="1">IFERROR(__xludf.DUMMYFUNCTION("""COMPUTED_VALUE"""),"")</f>
        <v/>
      </c>
      <c r="AN43" s="2" t="str">
        <f ca="1">IFERROR(__xludf.DUMMYFUNCTION("""COMPUTED_VALUE"""),"")</f>
        <v/>
      </c>
      <c r="AO43" s="2" t="str">
        <f ca="1">IFERROR(__xludf.DUMMYFUNCTION("""COMPUTED_VALUE"""),"")</f>
        <v/>
      </c>
      <c r="AP43" s="2" t="str">
        <f ca="1">IFERROR(__xludf.DUMMYFUNCTION("""COMPUTED_VALUE"""),"")</f>
        <v/>
      </c>
      <c r="AQ43" s="2" t="str">
        <f ca="1">IFERROR(__xludf.DUMMYFUNCTION("""COMPUTED_VALUE"""),"")</f>
        <v/>
      </c>
      <c r="AR43" s="2" t="str">
        <f ca="1">IFERROR(__xludf.DUMMYFUNCTION("""COMPUTED_VALUE"""),"")</f>
        <v/>
      </c>
      <c r="AS43" s="2" t="str">
        <f ca="1">IFERROR(__xludf.DUMMYFUNCTION("""COMPUTED_VALUE"""),"")</f>
        <v/>
      </c>
      <c r="AT43" s="2" t="str">
        <f ca="1">IFERROR(__xludf.DUMMYFUNCTION("""COMPUTED_VALUE"""),"")</f>
        <v/>
      </c>
      <c r="AU43" s="2" t="str">
        <f ca="1">IFERROR(__xludf.DUMMYFUNCTION("""COMPUTED_VALUE"""),"")</f>
        <v/>
      </c>
      <c r="AV43" s="2" t="str">
        <f ca="1">IFERROR(__xludf.DUMMYFUNCTION("""COMPUTED_VALUE"""),"")</f>
        <v/>
      </c>
      <c r="AW43" s="2" t="str">
        <f ca="1">IFERROR(__xludf.DUMMYFUNCTION("""COMPUTED_VALUE"""),"")</f>
        <v/>
      </c>
      <c r="AX43" s="2" t="str">
        <f ca="1">IFERROR(__xludf.DUMMYFUNCTION("""COMPUTED_VALUE"""),"")</f>
        <v/>
      </c>
      <c r="AY43" s="2" t="str">
        <f ca="1">IFERROR(__xludf.DUMMYFUNCTION("""COMPUTED_VALUE"""),"")</f>
        <v/>
      </c>
      <c r="AZ43" s="2" t="str">
        <f ca="1">IFERROR(__xludf.DUMMYFUNCTION("""COMPUTED_VALUE"""),"2D")</f>
        <v>2D</v>
      </c>
      <c r="BA43" s="2">
        <f ca="1">IFERROR(__xludf.DUMMYFUNCTION("""COMPUTED_VALUE"""),1907034)</f>
        <v>1907034</v>
      </c>
      <c r="BB43" s="2">
        <f ca="1">IFERROR(__xludf.DUMMYFUNCTION("""COMPUTED_VALUE"""),5813334)</f>
        <v>5813334</v>
      </c>
      <c r="BC43" s="2" t="str">
        <f ca="1">IFERROR(__xludf.DUMMYFUNCTION("""COMPUTED_VALUE"""),"No")</f>
        <v>No</v>
      </c>
      <c r="BD43" s="2" t="str">
        <f ca="1">IFERROR(__xludf.DUMMYFUNCTION("""COMPUTED_VALUE"""),"")</f>
        <v/>
      </c>
      <c r="BE43" s="2" t="str">
        <f ca="1">IFERROR(__xludf.DUMMYFUNCTION("""COMPUTED_VALUE"""),"")</f>
        <v/>
      </c>
      <c r="BF43" t="str">
        <f ca="1">IFERROR(__xludf.DUMMYFUNCTION("""COMPUTED_VALUE"""),"")</f>
        <v/>
      </c>
      <c r="BG43" t="str">
        <f ca="1">IFERROR(__xludf.DUMMYFUNCTION("""COMPUTED_VALUE"""),"")</f>
        <v/>
      </c>
      <c r="BH43" t="str">
        <f ca="1">IFERROR(__xludf.DUMMYFUNCTION("""COMPUTED_VALUE"""),"")</f>
        <v/>
      </c>
      <c r="BI43" t="str">
        <f ca="1">IFERROR(__xludf.DUMMYFUNCTION("""COMPUTED_VALUE"""),"")</f>
        <v/>
      </c>
      <c r="BJ43" s="3" t="str">
        <f ca="1">IFERROR(__xludf.DUMMYFUNCTION("""COMPUTED_VALUE"""),"")</f>
        <v/>
      </c>
    </row>
    <row r="44" spans="1:62" ht="12.5" x14ac:dyDescent="0.25">
      <c r="A44" s="6">
        <f ca="1">IFERROR(__xludf.DUMMYFUNCTION("""COMPUTED_VALUE"""),43258.5976685532)</f>
        <v>43258.5976685532</v>
      </c>
      <c r="B44" s="2" t="str">
        <f ca="1">IFERROR(__xludf.DUMMYFUNCTION("""COMPUTED_VALUE"""),"Bay of Plenty")</f>
        <v>Bay of Plenty</v>
      </c>
      <c r="C44" s="2" t="str">
        <f ca="1">IFERROR(__xludf.DUMMYFUNCTION("""COMPUTED_VALUE"""),"Tx 36 - M-91429")</f>
        <v>Tx 36 - M-91429</v>
      </c>
      <c r="D44" s="10">
        <f ca="1">IFERROR(__xludf.DUMMYFUNCTION("""COMPUTED_VALUE"""),42610)</f>
        <v>42610</v>
      </c>
      <c r="E44" s="4">
        <f ca="1">IFERROR(__xludf.DUMMYFUNCTION("""COMPUTED_VALUE"""),0.729166666667879)</f>
        <v>0.72916666666787899</v>
      </c>
      <c r="F44" s="2" t="str">
        <f ca="1">IFERROR(__xludf.DUMMYFUNCTION("""COMPUTED_VALUE"""),"Little Waihi")</f>
        <v>Little Waihi</v>
      </c>
      <c r="G44" s="2" t="str">
        <f ca="1">IFERROR(__xludf.DUMMYFUNCTION("""COMPUTED_VALUE"""),"VHF (close approach): I followed the signal until I got within 50 m of the bird")</f>
        <v>VHF (close approach): I followed the signal until I got within 50 m of the bird</v>
      </c>
      <c r="H44" s="2" t="str">
        <f ca="1">IFERROR(__xludf.DUMMYFUNCTION("""COMPUTED_VALUE"""),"")</f>
        <v/>
      </c>
      <c r="I44" s="2" t="str">
        <f ca="1">IFERROR(__xludf.DUMMYFUNCTION("""COMPUTED_VALUE"""),"")</f>
        <v/>
      </c>
      <c r="J44" s="2" t="str">
        <f ca="1">IFERROR(__xludf.DUMMYFUNCTION("""COMPUTED_VALUE"""),"")</f>
        <v/>
      </c>
      <c r="K44" s="2" t="str">
        <f ca="1">IFERROR(__xludf.DUMMYFUNCTION("""COMPUTED_VALUE"""),"")</f>
        <v/>
      </c>
      <c r="L44" s="2" t="str">
        <f ca="1">IFERROR(__xludf.DUMMYFUNCTION("""COMPUTED_VALUE"""),"Yes - I managed to observe the bird without it flushing")</f>
        <v>Yes - I managed to observe the bird without it flushing</v>
      </c>
      <c r="M44" s="5">
        <f ca="1">IFERROR(__xludf.DUMMYFUNCTION("""COMPUTED_VALUE"""),1906482)</f>
        <v>1906482</v>
      </c>
      <c r="N44" s="5">
        <f ca="1">IFERROR(__xludf.DUMMYFUNCTION("""COMPUTED_VALUE"""),5813198)</f>
        <v>5813198</v>
      </c>
      <c r="O44" s="2" t="str">
        <f ca="1">IFERROR(__xludf.DUMMYFUNCTION("""COMPUTED_VALUE"""),"")</f>
        <v/>
      </c>
      <c r="P44" s="2" t="str">
        <f ca="1">IFERROR(__xludf.DUMMYFUNCTION("""COMPUTED_VALUE"""),"No")</f>
        <v>No</v>
      </c>
      <c r="Q44" s="2" t="str">
        <f ca="1">IFERROR(__xludf.DUMMYFUNCTION("""COMPUTED_VALUE"""),"Dry")</f>
        <v>Dry</v>
      </c>
      <c r="R44" s="2" t="str">
        <f ca="1">IFERROR(__xludf.DUMMYFUNCTION("""COMPUTED_VALUE"""),"0")</f>
        <v>0</v>
      </c>
      <c r="S44" s="2" t="str">
        <f ca="1">IFERROR(__xludf.DUMMYFUNCTION("""COMPUTED_VALUE"""),"Unk")</f>
        <v>Unk</v>
      </c>
      <c r="T44" s="2" t="str">
        <f ca="1">IFERROR(__xludf.DUMMYFUNCTION("""COMPUTED_VALUE"""),"N/R")</f>
        <v>N/R</v>
      </c>
      <c r="U44" s="2" t="str">
        <f ca="1">IFERROR(__xludf.DUMMYFUNCTION("""COMPUTED_VALUE"""),"Bird released")</f>
        <v>Bird released</v>
      </c>
      <c r="V44" s="2" t="str">
        <f ca="1">IFERROR(__xludf.DUMMYFUNCTION("""COMPUTED_VALUE"""),"")</f>
        <v/>
      </c>
      <c r="W44" s="2" t="str">
        <f ca="1">IFERROR(__xludf.DUMMYFUNCTION("""COMPUTED_VALUE"""),"")</f>
        <v/>
      </c>
      <c r="X44" s="2" t="str">
        <f ca="1">IFERROR(__xludf.DUMMYFUNCTION("""COMPUTED_VALUE"""),"")</f>
        <v/>
      </c>
      <c r="Y44" s="2" t="str">
        <f ca="1">IFERROR(__xludf.DUMMYFUNCTION("""COMPUTED_VALUE"""),"")</f>
        <v/>
      </c>
      <c r="Z44" s="2" t="str">
        <f ca="1">IFERROR(__xludf.DUMMYFUNCTION("""COMPUTED_VALUE"""),"")</f>
        <v/>
      </c>
      <c r="AA44" s="2" t="str">
        <f ca="1">IFERROR(__xludf.DUMMYFUNCTION("""COMPUTED_VALUE"""),"")</f>
        <v/>
      </c>
      <c r="AB44" s="2" t="str">
        <f ca="1">IFERROR(__xludf.DUMMYFUNCTION("""COMPUTED_VALUE"""),"")</f>
        <v/>
      </c>
      <c r="AC44" s="2" t="str">
        <f ca="1">IFERROR(__xludf.DUMMYFUNCTION("""COMPUTED_VALUE"""),"")</f>
        <v/>
      </c>
      <c r="AD44" s="2" t="str">
        <f ca="1">IFERROR(__xludf.DUMMYFUNCTION("""COMPUTED_VALUE"""),"")</f>
        <v/>
      </c>
      <c r="AE44" s="2" t="str">
        <f ca="1">IFERROR(__xludf.DUMMYFUNCTION("""COMPUTED_VALUE"""),"")</f>
        <v/>
      </c>
      <c r="AF44" s="2" t="str">
        <f ca="1">IFERROR(__xludf.DUMMYFUNCTION("""COMPUTED_VALUE"""),"")</f>
        <v/>
      </c>
      <c r="AG44" s="2" t="str">
        <f ca="1">IFERROR(__xludf.DUMMYFUNCTION("""COMPUTED_VALUE"""),"")</f>
        <v/>
      </c>
      <c r="AH44" s="2" t="str">
        <f ca="1">IFERROR(__xludf.DUMMYFUNCTION("""COMPUTED_VALUE"""),"")</f>
        <v/>
      </c>
      <c r="AI44" s="2" t="str">
        <f ca="1">IFERROR(__xludf.DUMMYFUNCTION("""COMPUTED_VALUE"""),"")</f>
        <v/>
      </c>
      <c r="AJ44" s="2" t="str">
        <f ca="1">IFERROR(__xludf.DUMMYFUNCTION("""COMPUTED_VALUE"""),"")</f>
        <v/>
      </c>
      <c r="AK44" s="2" t="str">
        <f ca="1">IFERROR(__xludf.DUMMYFUNCTION("""COMPUTED_VALUE"""),"")</f>
        <v/>
      </c>
      <c r="AL44" s="2" t="str">
        <f ca="1">IFERROR(__xludf.DUMMYFUNCTION("""COMPUTED_VALUE"""),"")</f>
        <v/>
      </c>
      <c r="AM44" s="2" t="str">
        <f ca="1">IFERROR(__xludf.DUMMYFUNCTION("""COMPUTED_VALUE"""),"")</f>
        <v/>
      </c>
      <c r="AN44" s="2" t="str">
        <f ca="1">IFERROR(__xludf.DUMMYFUNCTION("""COMPUTED_VALUE"""),"")</f>
        <v/>
      </c>
      <c r="AO44" s="2" t="str">
        <f ca="1">IFERROR(__xludf.DUMMYFUNCTION("""COMPUTED_VALUE"""),"")</f>
        <v/>
      </c>
      <c r="AP44" s="2" t="str">
        <f ca="1">IFERROR(__xludf.DUMMYFUNCTION("""COMPUTED_VALUE"""),"")</f>
        <v/>
      </c>
      <c r="AQ44" s="2" t="str">
        <f ca="1">IFERROR(__xludf.DUMMYFUNCTION("""COMPUTED_VALUE"""),"")</f>
        <v/>
      </c>
      <c r="AR44" s="2" t="str">
        <f ca="1">IFERROR(__xludf.DUMMYFUNCTION("""COMPUTED_VALUE"""),"")</f>
        <v/>
      </c>
      <c r="AS44" s="2" t="str">
        <f ca="1">IFERROR(__xludf.DUMMYFUNCTION("""COMPUTED_VALUE"""),"")</f>
        <v/>
      </c>
      <c r="AT44" s="2" t="str">
        <f ca="1">IFERROR(__xludf.DUMMYFUNCTION("""COMPUTED_VALUE"""),"")</f>
        <v/>
      </c>
      <c r="AU44" s="2" t="str">
        <f ca="1">IFERROR(__xludf.DUMMYFUNCTION("""COMPUTED_VALUE"""),"")</f>
        <v/>
      </c>
      <c r="AV44" s="2" t="str">
        <f ca="1">IFERROR(__xludf.DUMMYFUNCTION("""COMPUTED_VALUE"""),"")</f>
        <v/>
      </c>
      <c r="AW44" s="2" t="str">
        <f ca="1">IFERROR(__xludf.DUMMYFUNCTION("""COMPUTED_VALUE"""),"")</f>
        <v/>
      </c>
      <c r="AX44" s="2" t="str">
        <f ca="1">IFERROR(__xludf.DUMMYFUNCTION("""COMPUTED_VALUE"""),"")</f>
        <v/>
      </c>
      <c r="AY44" s="2" t="str">
        <f ca="1">IFERROR(__xludf.DUMMYFUNCTION("""COMPUTED_VALUE"""),"")</f>
        <v/>
      </c>
      <c r="AZ44" s="2" t="str">
        <f ca="1">IFERROR(__xludf.DUMMYFUNCTION("""COMPUTED_VALUE"""),"")</f>
        <v/>
      </c>
      <c r="BA44" s="2" t="str">
        <f ca="1">IFERROR(__xludf.DUMMYFUNCTION("""COMPUTED_VALUE"""),"")</f>
        <v/>
      </c>
      <c r="BB44" s="2" t="str">
        <f ca="1">IFERROR(__xludf.DUMMYFUNCTION("""COMPUTED_VALUE"""),"")</f>
        <v/>
      </c>
      <c r="BC44" s="2" t="str">
        <f ca="1">IFERROR(__xludf.DUMMYFUNCTION("""COMPUTED_VALUE"""),"")</f>
        <v/>
      </c>
      <c r="BD44" s="2" t="str">
        <f ca="1">IFERROR(__xludf.DUMMYFUNCTION("""COMPUTED_VALUE"""),"")</f>
        <v/>
      </c>
      <c r="BE44" s="2" t="str">
        <f ca="1">IFERROR(__xludf.DUMMYFUNCTION("""COMPUTED_VALUE"""),"")</f>
        <v/>
      </c>
      <c r="BF44" t="str">
        <f ca="1">IFERROR(__xludf.DUMMYFUNCTION("""COMPUTED_VALUE"""),"")</f>
        <v/>
      </c>
      <c r="BG44" t="str">
        <f ca="1">IFERROR(__xludf.DUMMYFUNCTION("""COMPUTED_VALUE"""),"")</f>
        <v/>
      </c>
      <c r="BH44" t="str">
        <f ca="1">IFERROR(__xludf.DUMMYFUNCTION("""COMPUTED_VALUE"""),"")</f>
        <v/>
      </c>
      <c r="BI44" t="str">
        <f ca="1">IFERROR(__xludf.DUMMYFUNCTION("""COMPUTED_VALUE"""),"")</f>
        <v/>
      </c>
      <c r="BJ44" s="3" t="str">
        <f ca="1">IFERROR(__xludf.DUMMYFUNCTION("""COMPUTED_VALUE"""),"")</f>
        <v/>
      </c>
    </row>
    <row r="45" spans="1:62" ht="12.5" x14ac:dyDescent="0.25">
      <c r="A45" s="6">
        <f ca="1">IFERROR(__xludf.DUMMYFUNCTION("""COMPUTED_VALUE"""),43258.5997178472)</f>
        <v>43258.599717847203</v>
      </c>
      <c r="B45" s="2" t="str">
        <f ca="1">IFERROR(__xludf.DUMMYFUNCTION("""COMPUTED_VALUE"""),"Bay of Plenty")</f>
        <v>Bay of Plenty</v>
      </c>
      <c r="C45" s="2" t="str">
        <f ca="1">IFERROR(__xludf.DUMMYFUNCTION("""COMPUTED_VALUE"""),"Tx 38 - Pearl")</f>
        <v>Tx 38 - Pearl</v>
      </c>
      <c r="D45" s="10">
        <f ca="1">IFERROR(__xludf.DUMMYFUNCTION("""COMPUTED_VALUE"""),42610)</f>
        <v>42610</v>
      </c>
      <c r="E45" s="4">
        <f ca="1">IFERROR(__xludf.DUMMYFUNCTION("""COMPUTED_VALUE"""),0.729166666667879)</f>
        <v>0.72916666666787899</v>
      </c>
      <c r="F45" s="2" t="str">
        <f ca="1">IFERROR(__xludf.DUMMYFUNCTION("""COMPUTED_VALUE"""),"Little Waihi")</f>
        <v>Little Waihi</v>
      </c>
      <c r="G45" s="2" t="str">
        <f ca="1">IFERROR(__xludf.DUMMYFUNCTION("""COMPUTED_VALUE"""),"VHF (close approach): I followed the signal until I got within 50 m of the bird")</f>
        <v>VHF (close approach): I followed the signal until I got within 50 m of the bird</v>
      </c>
      <c r="H45" s="2" t="str">
        <f ca="1">IFERROR(__xludf.DUMMYFUNCTION("""COMPUTED_VALUE"""),"")</f>
        <v/>
      </c>
      <c r="I45" s="2" t="str">
        <f ca="1">IFERROR(__xludf.DUMMYFUNCTION("""COMPUTED_VALUE"""),"")</f>
        <v/>
      </c>
      <c r="J45" s="2" t="str">
        <f ca="1">IFERROR(__xludf.DUMMYFUNCTION("""COMPUTED_VALUE"""),"")</f>
        <v/>
      </c>
      <c r="K45" s="2" t="str">
        <f ca="1">IFERROR(__xludf.DUMMYFUNCTION("""COMPUTED_VALUE"""),"")</f>
        <v/>
      </c>
      <c r="L45" s="2" t="str">
        <f ca="1">IFERROR(__xludf.DUMMYFUNCTION("""COMPUTED_VALUE"""),"Yes - I managed to observe the bird without it flushing")</f>
        <v>Yes - I managed to observe the bird without it flushing</v>
      </c>
      <c r="M45" s="5">
        <f ca="1">IFERROR(__xludf.DUMMYFUNCTION("""COMPUTED_VALUE"""),1906482)</f>
        <v>1906482</v>
      </c>
      <c r="N45" s="5">
        <f ca="1">IFERROR(__xludf.DUMMYFUNCTION("""COMPUTED_VALUE"""),5813198)</f>
        <v>5813198</v>
      </c>
      <c r="O45" s="2" t="str">
        <f ca="1">IFERROR(__xludf.DUMMYFUNCTION("""COMPUTED_VALUE"""),"")</f>
        <v/>
      </c>
      <c r="P45" s="2" t="str">
        <f ca="1">IFERROR(__xludf.DUMMYFUNCTION("""COMPUTED_VALUE"""),"No")</f>
        <v>No</v>
      </c>
      <c r="Q45" s="2" t="str">
        <f ca="1">IFERROR(__xludf.DUMMYFUNCTION("""COMPUTED_VALUE"""),"Dry")</f>
        <v>Dry</v>
      </c>
      <c r="R45" s="2" t="str">
        <f ca="1">IFERROR(__xludf.DUMMYFUNCTION("""COMPUTED_VALUE"""),"0")</f>
        <v>0</v>
      </c>
      <c r="S45" s="2" t="str">
        <f ca="1">IFERROR(__xludf.DUMMYFUNCTION("""COMPUTED_VALUE"""),"N/R")</f>
        <v>N/R</v>
      </c>
      <c r="T45" s="2" t="str">
        <f ca="1">IFERROR(__xludf.DUMMYFUNCTION("""COMPUTED_VALUE"""),"N/R")</f>
        <v>N/R</v>
      </c>
      <c r="U45" s="2" t="str">
        <f ca="1">IFERROR(__xludf.DUMMYFUNCTION("""COMPUTED_VALUE"""),"Bird released")</f>
        <v>Bird released</v>
      </c>
      <c r="V45" s="2" t="str">
        <f ca="1">IFERROR(__xludf.DUMMYFUNCTION("""COMPUTED_VALUE"""),"")</f>
        <v/>
      </c>
      <c r="W45" s="2" t="str">
        <f ca="1">IFERROR(__xludf.DUMMYFUNCTION("""COMPUTED_VALUE"""),"")</f>
        <v/>
      </c>
      <c r="X45" s="2" t="str">
        <f ca="1">IFERROR(__xludf.DUMMYFUNCTION("""COMPUTED_VALUE"""),"")</f>
        <v/>
      </c>
      <c r="Y45" s="2" t="str">
        <f ca="1">IFERROR(__xludf.DUMMYFUNCTION("""COMPUTED_VALUE"""),"")</f>
        <v/>
      </c>
      <c r="Z45" s="2" t="str">
        <f ca="1">IFERROR(__xludf.DUMMYFUNCTION("""COMPUTED_VALUE"""),"")</f>
        <v/>
      </c>
      <c r="AA45" s="2" t="str">
        <f ca="1">IFERROR(__xludf.DUMMYFUNCTION("""COMPUTED_VALUE"""),"")</f>
        <v/>
      </c>
      <c r="AB45" s="2" t="str">
        <f ca="1">IFERROR(__xludf.DUMMYFUNCTION("""COMPUTED_VALUE"""),"")</f>
        <v/>
      </c>
      <c r="AC45" s="2" t="str">
        <f ca="1">IFERROR(__xludf.DUMMYFUNCTION("""COMPUTED_VALUE"""),"")</f>
        <v/>
      </c>
      <c r="AD45" s="2" t="str">
        <f ca="1">IFERROR(__xludf.DUMMYFUNCTION("""COMPUTED_VALUE"""),"")</f>
        <v/>
      </c>
      <c r="AE45" s="2" t="str">
        <f ca="1">IFERROR(__xludf.DUMMYFUNCTION("""COMPUTED_VALUE"""),"")</f>
        <v/>
      </c>
      <c r="AF45" s="2" t="str">
        <f ca="1">IFERROR(__xludf.DUMMYFUNCTION("""COMPUTED_VALUE"""),"")</f>
        <v/>
      </c>
      <c r="AG45" s="2" t="str">
        <f ca="1">IFERROR(__xludf.DUMMYFUNCTION("""COMPUTED_VALUE"""),"")</f>
        <v/>
      </c>
      <c r="AH45" s="2" t="str">
        <f ca="1">IFERROR(__xludf.DUMMYFUNCTION("""COMPUTED_VALUE"""),"")</f>
        <v/>
      </c>
      <c r="AI45" s="2" t="str">
        <f ca="1">IFERROR(__xludf.DUMMYFUNCTION("""COMPUTED_VALUE"""),"")</f>
        <v/>
      </c>
      <c r="AJ45" s="2" t="str">
        <f ca="1">IFERROR(__xludf.DUMMYFUNCTION("""COMPUTED_VALUE"""),"")</f>
        <v/>
      </c>
      <c r="AK45" s="2" t="str">
        <f ca="1">IFERROR(__xludf.DUMMYFUNCTION("""COMPUTED_VALUE"""),"")</f>
        <v/>
      </c>
      <c r="AL45" s="2" t="str">
        <f ca="1">IFERROR(__xludf.DUMMYFUNCTION("""COMPUTED_VALUE"""),"")</f>
        <v/>
      </c>
      <c r="AM45" s="2" t="str">
        <f ca="1">IFERROR(__xludf.DUMMYFUNCTION("""COMPUTED_VALUE"""),"")</f>
        <v/>
      </c>
      <c r="AN45" s="2" t="str">
        <f ca="1">IFERROR(__xludf.DUMMYFUNCTION("""COMPUTED_VALUE"""),"")</f>
        <v/>
      </c>
      <c r="AO45" s="2" t="str">
        <f ca="1">IFERROR(__xludf.DUMMYFUNCTION("""COMPUTED_VALUE"""),"")</f>
        <v/>
      </c>
      <c r="AP45" s="2" t="str">
        <f ca="1">IFERROR(__xludf.DUMMYFUNCTION("""COMPUTED_VALUE"""),"")</f>
        <v/>
      </c>
      <c r="AQ45" s="2" t="str">
        <f ca="1">IFERROR(__xludf.DUMMYFUNCTION("""COMPUTED_VALUE"""),"")</f>
        <v/>
      </c>
      <c r="AR45" s="2" t="str">
        <f ca="1">IFERROR(__xludf.DUMMYFUNCTION("""COMPUTED_VALUE"""),"")</f>
        <v/>
      </c>
      <c r="AS45" s="2" t="str">
        <f ca="1">IFERROR(__xludf.DUMMYFUNCTION("""COMPUTED_VALUE"""),"")</f>
        <v/>
      </c>
      <c r="AT45" s="2" t="str">
        <f ca="1">IFERROR(__xludf.DUMMYFUNCTION("""COMPUTED_VALUE"""),"")</f>
        <v/>
      </c>
      <c r="AU45" s="2" t="str">
        <f ca="1">IFERROR(__xludf.DUMMYFUNCTION("""COMPUTED_VALUE"""),"")</f>
        <v/>
      </c>
      <c r="AV45" s="2" t="str">
        <f ca="1">IFERROR(__xludf.DUMMYFUNCTION("""COMPUTED_VALUE"""),"")</f>
        <v/>
      </c>
      <c r="AW45" s="2" t="str">
        <f ca="1">IFERROR(__xludf.DUMMYFUNCTION("""COMPUTED_VALUE"""),"")</f>
        <v/>
      </c>
      <c r="AX45" s="2" t="str">
        <f ca="1">IFERROR(__xludf.DUMMYFUNCTION("""COMPUTED_VALUE"""),"")</f>
        <v/>
      </c>
      <c r="AY45" s="2" t="str">
        <f ca="1">IFERROR(__xludf.DUMMYFUNCTION("""COMPUTED_VALUE"""),"")</f>
        <v/>
      </c>
      <c r="AZ45" s="2" t="str">
        <f ca="1">IFERROR(__xludf.DUMMYFUNCTION("""COMPUTED_VALUE"""),"")</f>
        <v/>
      </c>
      <c r="BA45" s="2" t="str">
        <f ca="1">IFERROR(__xludf.DUMMYFUNCTION("""COMPUTED_VALUE"""),"")</f>
        <v/>
      </c>
      <c r="BB45" s="2" t="str">
        <f ca="1">IFERROR(__xludf.DUMMYFUNCTION("""COMPUTED_VALUE"""),"")</f>
        <v/>
      </c>
      <c r="BC45" s="2" t="str">
        <f ca="1">IFERROR(__xludf.DUMMYFUNCTION("""COMPUTED_VALUE"""),"")</f>
        <v/>
      </c>
      <c r="BD45" s="2" t="str">
        <f ca="1">IFERROR(__xludf.DUMMYFUNCTION("""COMPUTED_VALUE"""),"")</f>
        <v/>
      </c>
      <c r="BE45" s="2" t="str">
        <f ca="1">IFERROR(__xludf.DUMMYFUNCTION("""COMPUTED_VALUE"""),"")</f>
        <v/>
      </c>
      <c r="BF45" t="str">
        <f ca="1">IFERROR(__xludf.DUMMYFUNCTION("""COMPUTED_VALUE"""),"")</f>
        <v/>
      </c>
      <c r="BG45" t="str">
        <f ca="1">IFERROR(__xludf.DUMMYFUNCTION("""COMPUTED_VALUE"""),"")</f>
        <v/>
      </c>
      <c r="BH45" t="str">
        <f ca="1">IFERROR(__xludf.DUMMYFUNCTION("""COMPUTED_VALUE"""),"")</f>
        <v/>
      </c>
      <c r="BI45" t="str">
        <f ca="1">IFERROR(__xludf.DUMMYFUNCTION("""COMPUTED_VALUE"""),"")</f>
        <v/>
      </c>
      <c r="BJ45" s="3" t="str">
        <f ca="1">IFERROR(__xludf.DUMMYFUNCTION("""COMPUTED_VALUE"""),"")</f>
        <v/>
      </c>
    </row>
    <row r="46" spans="1:62" ht="12.5" x14ac:dyDescent="0.25">
      <c r="A46" s="6">
        <f ca="1">IFERROR(__xludf.DUMMYFUNCTION("""COMPUTED_VALUE"""),43258.6020108101)</f>
        <v>43258.6020108101</v>
      </c>
      <c r="B46" s="2" t="str">
        <f ca="1">IFERROR(__xludf.DUMMYFUNCTION("""COMPUTED_VALUE"""),"Bay of Plenty")</f>
        <v>Bay of Plenty</v>
      </c>
      <c r="C46" s="2" t="str">
        <f ca="1">IFERROR(__xludf.DUMMYFUNCTION("""COMPUTED_VALUE"""),"Tx 36 - M-91429")</f>
        <v>Tx 36 - M-91429</v>
      </c>
      <c r="D46" s="10">
        <f ca="1">IFERROR(__xludf.DUMMYFUNCTION("""COMPUTED_VALUE"""),42612)</f>
        <v>42612</v>
      </c>
      <c r="E46" s="4">
        <f ca="1">IFERROR(__xludf.DUMMYFUNCTION("""COMPUTED_VALUE"""),0.75)</f>
        <v>0.75</v>
      </c>
      <c r="F46" s="2" t="str">
        <f ca="1">IFERROR(__xludf.DUMMYFUNCTION("""COMPUTED_VALUE"""),"Private Waewaetutuki wetland")</f>
        <v>Private Waewaetutuki wetland</v>
      </c>
      <c r="G46" s="2" t="str">
        <f ca="1">IFERROR(__xludf.DUMMYFUNCTION("""COMPUTED_VALUE"""),"VHF (close approach): I followed the signal until I got within 50 m of the bird")</f>
        <v>VHF (close approach): I followed the signal until I got within 50 m of the bird</v>
      </c>
      <c r="H46" s="2" t="str">
        <f ca="1">IFERROR(__xludf.DUMMYFUNCTION("""COMPUTED_VALUE"""),"")</f>
        <v/>
      </c>
      <c r="I46" s="2" t="str">
        <f ca="1">IFERROR(__xludf.DUMMYFUNCTION("""COMPUTED_VALUE"""),"")</f>
        <v/>
      </c>
      <c r="J46" s="2" t="str">
        <f ca="1">IFERROR(__xludf.DUMMYFUNCTION("""COMPUTED_VALUE"""),"")</f>
        <v/>
      </c>
      <c r="K46" s="2" t="str">
        <f ca="1">IFERROR(__xludf.DUMMYFUNCTION("""COMPUTED_VALUE"""),"")</f>
        <v/>
      </c>
      <c r="L46" s="2" t="str">
        <f ca="1">IFERROR(__xludf.DUMMYFUNCTION("""COMPUTED_VALUE"""),"No - I got very close to the bird but it was well hidden in the vegetation")</f>
        <v>No - I got very close to the bird but it was well hidden in the vegetation</v>
      </c>
      <c r="M46" s="5">
        <f ca="1">IFERROR(__xludf.DUMMYFUNCTION("""COMPUTED_VALUE"""),1905950)</f>
        <v>1905950</v>
      </c>
      <c r="N46" s="5">
        <f ca="1">IFERROR(__xludf.DUMMYFUNCTION("""COMPUTED_VALUE"""),5813034)</f>
        <v>5813034</v>
      </c>
      <c r="O46" s="2" t="str">
        <f ca="1">IFERROR(__xludf.DUMMYFUNCTION("""COMPUTED_VALUE"""),"")</f>
        <v/>
      </c>
      <c r="P46" s="2" t="str">
        <f ca="1">IFERROR(__xludf.DUMMYFUNCTION("""COMPUTED_VALUE"""),"No")</f>
        <v>No</v>
      </c>
      <c r="Q46" s="2" t="str">
        <f ca="1">IFERROR(__xludf.DUMMYFUNCTION("""COMPUTED_VALUE"""),"Don't know")</f>
        <v>Don't know</v>
      </c>
      <c r="R46" s="2" t="str">
        <f ca="1">IFERROR(__xludf.DUMMYFUNCTION("""COMPUTED_VALUE"""),"Unk")</f>
        <v>Unk</v>
      </c>
      <c r="S46" s="2" t="str">
        <f ca="1">IFERROR(__xludf.DUMMYFUNCTION("""COMPUTED_VALUE"""),"Unk")</f>
        <v>Unk</v>
      </c>
      <c r="T46" s="2" t="str">
        <f ca="1">IFERROR(__xludf.DUMMYFUNCTION("""COMPUTED_VALUE"""),"Unk")</f>
        <v>Unk</v>
      </c>
      <c r="U46" s="2" t="str">
        <f ca="1">IFERROR(__xludf.DUMMYFUNCTION("""COMPUTED_VALUE"""),"Faint signal, Difficult to triangulate. Suspect the bird to be in the private Maori block within 200m of E190595 N5813034")</f>
        <v>Faint signal, Difficult to triangulate. Suspect the bird to be in the private Maori block within 200m of E190595 N5813034</v>
      </c>
      <c r="V46" s="2" t="str">
        <f ca="1">IFERROR(__xludf.DUMMYFUNCTION("""COMPUTED_VALUE"""),"")</f>
        <v/>
      </c>
      <c r="W46" s="2" t="str">
        <f ca="1">IFERROR(__xludf.DUMMYFUNCTION("""COMPUTED_VALUE"""),"")</f>
        <v/>
      </c>
      <c r="X46" s="2" t="str">
        <f ca="1">IFERROR(__xludf.DUMMYFUNCTION("""COMPUTED_VALUE"""),"")</f>
        <v/>
      </c>
      <c r="Y46" s="2" t="str">
        <f ca="1">IFERROR(__xludf.DUMMYFUNCTION("""COMPUTED_VALUE"""),"")</f>
        <v/>
      </c>
      <c r="Z46" s="2" t="str">
        <f ca="1">IFERROR(__xludf.DUMMYFUNCTION("""COMPUTED_VALUE"""),"")</f>
        <v/>
      </c>
      <c r="AA46" s="2" t="str">
        <f ca="1">IFERROR(__xludf.DUMMYFUNCTION("""COMPUTED_VALUE"""),"")</f>
        <v/>
      </c>
      <c r="AB46" s="2" t="str">
        <f ca="1">IFERROR(__xludf.DUMMYFUNCTION("""COMPUTED_VALUE"""),"")</f>
        <v/>
      </c>
      <c r="AC46" s="2" t="str">
        <f ca="1">IFERROR(__xludf.DUMMYFUNCTION("""COMPUTED_VALUE"""),"")</f>
        <v/>
      </c>
      <c r="AD46" s="2" t="str">
        <f ca="1">IFERROR(__xludf.DUMMYFUNCTION("""COMPUTED_VALUE"""),"")</f>
        <v/>
      </c>
      <c r="AE46" s="2" t="str">
        <f ca="1">IFERROR(__xludf.DUMMYFUNCTION("""COMPUTED_VALUE"""),"")</f>
        <v/>
      </c>
      <c r="AF46" s="2" t="str">
        <f ca="1">IFERROR(__xludf.DUMMYFUNCTION("""COMPUTED_VALUE"""),"")</f>
        <v/>
      </c>
      <c r="AG46" s="2" t="str">
        <f ca="1">IFERROR(__xludf.DUMMYFUNCTION("""COMPUTED_VALUE"""),"")</f>
        <v/>
      </c>
      <c r="AH46" s="2" t="str">
        <f ca="1">IFERROR(__xludf.DUMMYFUNCTION("""COMPUTED_VALUE"""),"")</f>
        <v/>
      </c>
      <c r="AI46" s="2" t="str">
        <f ca="1">IFERROR(__xludf.DUMMYFUNCTION("""COMPUTED_VALUE"""),"")</f>
        <v/>
      </c>
      <c r="AJ46" s="2" t="str">
        <f ca="1">IFERROR(__xludf.DUMMYFUNCTION("""COMPUTED_VALUE"""),"")</f>
        <v/>
      </c>
      <c r="AK46" s="2" t="str">
        <f ca="1">IFERROR(__xludf.DUMMYFUNCTION("""COMPUTED_VALUE"""),"")</f>
        <v/>
      </c>
      <c r="AL46" s="2" t="str">
        <f ca="1">IFERROR(__xludf.DUMMYFUNCTION("""COMPUTED_VALUE"""),"")</f>
        <v/>
      </c>
      <c r="AM46" s="2" t="str">
        <f ca="1">IFERROR(__xludf.DUMMYFUNCTION("""COMPUTED_VALUE"""),"")</f>
        <v/>
      </c>
      <c r="AN46" s="2" t="str">
        <f ca="1">IFERROR(__xludf.DUMMYFUNCTION("""COMPUTED_VALUE"""),"")</f>
        <v/>
      </c>
      <c r="AO46" s="2" t="str">
        <f ca="1">IFERROR(__xludf.DUMMYFUNCTION("""COMPUTED_VALUE"""),"")</f>
        <v/>
      </c>
      <c r="AP46" s="2" t="str">
        <f ca="1">IFERROR(__xludf.DUMMYFUNCTION("""COMPUTED_VALUE"""),"")</f>
        <v/>
      </c>
      <c r="AQ46" s="2" t="str">
        <f ca="1">IFERROR(__xludf.DUMMYFUNCTION("""COMPUTED_VALUE"""),"")</f>
        <v/>
      </c>
      <c r="AR46" s="2" t="str">
        <f ca="1">IFERROR(__xludf.DUMMYFUNCTION("""COMPUTED_VALUE"""),"")</f>
        <v/>
      </c>
      <c r="AS46" s="2" t="str">
        <f ca="1">IFERROR(__xludf.DUMMYFUNCTION("""COMPUTED_VALUE"""),"")</f>
        <v/>
      </c>
      <c r="AT46" s="2" t="str">
        <f ca="1">IFERROR(__xludf.DUMMYFUNCTION("""COMPUTED_VALUE"""),"")</f>
        <v/>
      </c>
      <c r="AU46" s="2" t="str">
        <f ca="1">IFERROR(__xludf.DUMMYFUNCTION("""COMPUTED_VALUE"""),"")</f>
        <v/>
      </c>
      <c r="AV46" s="2" t="str">
        <f ca="1">IFERROR(__xludf.DUMMYFUNCTION("""COMPUTED_VALUE"""),"")</f>
        <v/>
      </c>
      <c r="AW46" s="2" t="str">
        <f ca="1">IFERROR(__xludf.DUMMYFUNCTION("""COMPUTED_VALUE"""),"")</f>
        <v/>
      </c>
      <c r="AX46" s="2" t="str">
        <f ca="1">IFERROR(__xludf.DUMMYFUNCTION("""COMPUTED_VALUE"""),"")</f>
        <v/>
      </c>
      <c r="AY46" s="2" t="str">
        <f ca="1">IFERROR(__xludf.DUMMYFUNCTION("""COMPUTED_VALUE"""),"")</f>
        <v/>
      </c>
      <c r="AZ46" s="2" t="str">
        <f ca="1">IFERROR(__xludf.DUMMYFUNCTION("""COMPUTED_VALUE"""),"")</f>
        <v/>
      </c>
      <c r="BA46" s="2" t="str">
        <f ca="1">IFERROR(__xludf.DUMMYFUNCTION("""COMPUTED_VALUE"""),"")</f>
        <v/>
      </c>
      <c r="BB46" s="2" t="str">
        <f ca="1">IFERROR(__xludf.DUMMYFUNCTION("""COMPUTED_VALUE"""),"")</f>
        <v/>
      </c>
      <c r="BC46" s="2" t="str">
        <f ca="1">IFERROR(__xludf.DUMMYFUNCTION("""COMPUTED_VALUE"""),"")</f>
        <v/>
      </c>
      <c r="BD46" s="2" t="str">
        <f ca="1">IFERROR(__xludf.DUMMYFUNCTION("""COMPUTED_VALUE"""),"")</f>
        <v/>
      </c>
      <c r="BE46" s="2" t="str">
        <f ca="1">IFERROR(__xludf.DUMMYFUNCTION("""COMPUTED_VALUE"""),"")</f>
        <v/>
      </c>
      <c r="BF46" t="str">
        <f ca="1">IFERROR(__xludf.DUMMYFUNCTION("""COMPUTED_VALUE"""),"")</f>
        <v/>
      </c>
      <c r="BG46" t="str">
        <f ca="1">IFERROR(__xludf.DUMMYFUNCTION("""COMPUTED_VALUE"""),"")</f>
        <v/>
      </c>
      <c r="BH46" t="str">
        <f ca="1">IFERROR(__xludf.DUMMYFUNCTION("""COMPUTED_VALUE"""),"")</f>
        <v/>
      </c>
      <c r="BI46" t="str">
        <f ca="1">IFERROR(__xludf.DUMMYFUNCTION("""COMPUTED_VALUE"""),"")</f>
        <v/>
      </c>
      <c r="BJ46" s="3" t="str">
        <f ca="1">IFERROR(__xludf.DUMMYFUNCTION("""COMPUTED_VALUE"""),"")</f>
        <v/>
      </c>
    </row>
    <row r="47" spans="1:62" ht="12.5" x14ac:dyDescent="0.25">
      <c r="A47" s="6">
        <f ca="1">IFERROR(__xludf.DUMMYFUNCTION("""COMPUTED_VALUE"""),43258.6036870138)</f>
        <v>43258.603687013798</v>
      </c>
      <c r="B47" s="2" t="str">
        <f ca="1">IFERROR(__xludf.DUMMYFUNCTION("""COMPUTED_VALUE"""),"Bay of Plenty")</f>
        <v>Bay of Plenty</v>
      </c>
      <c r="C47" s="2" t="str">
        <f ca="1">IFERROR(__xludf.DUMMYFUNCTION("""COMPUTED_VALUE"""),"Tx 38 - Pearl")</f>
        <v>Tx 38 - Pearl</v>
      </c>
      <c r="D47" s="10">
        <f ca="1">IFERROR(__xludf.DUMMYFUNCTION("""COMPUTED_VALUE"""),42612)</f>
        <v>42612</v>
      </c>
      <c r="E47" s="4">
        <f ca="1">IFERROR(__xludf.DUMMYFUNCTION("""COMPUTED_VALUE"""),0.70833333333212)</f>
        <v>0.70833333333212001</v>
      </c>
      <c r="F47" s="2" t="str">
        <f ca="1">IFERROR(__xludf.DUMMYFUNCTION("""COMPUTED_VALUE"""),"Little Waihi")</f>
        <v>Little Waihi</v>
      </c>
      <c r="G47" s="2" t="str">
        <f ca="1">IFERROR(__xludf.DUMMYFUNCTION("""COMPUTED_VALUE"""),"VHF (close approach): I followed the signal until I got within 50 m of the bird")</f>
        <v>VHF (close approach): I followed the signal until I got within 50 m of the bird</v>
      </c>
      <c r="H47" s="2" t="str">
        <f ca="1">IFERROR(__xludf.DUMMYFUNCTION("""COMPUTED_VALUE"""),"")</f>
        <v/>
      </c>
      <c r="I47" s="2" t="str">
        <f ca="1">IFERROR(__xludf.DUMMYFUNCTION("""COMPUTED_VALUE"""),"")</f>
        <v/>
      </c>
      <c r="J47" s="2" t="str">
        <f ca="1">IFERROR(__xludf.DUMMYFUNCTION("""COMPUTED_VALUE"""),"")</f>
        <v/>
      </c>
      <c r="K47" s="2" t="str">
        <f ca="1">IFERROR(__xludf.DUMMYFUNCTION("""COMPUTED_VALUE"""),"")</f>
        <v/>
      </c>
      <c r="L47" s="2" t="str">
        <f ca="1">IFERROR(__xludf.DUMMYFUNCTION("""COMPUTED_VALUE"""),"No - I got very close to the bird but it was well hidden in the vegetation")</f>
        <v>No - I got very close to the bird but it was well hidden in the vegetation</v>
      </c>
      <c r="M47" s="5">
        <f ca="1">IFERROR(__xludf.DUMMYFUNCTION("""COMPUTED_VALUE"""),1906520)</f>
        <v>1906520</v>
      </c>
      <c r="N47" s="5">
        <f ca="1">IFERROR(__xludf.DUMMYFUNCTION("""COMPUTED_VALUE"""),5812990)</f>
        <v>5812990</v>
      </c>
      <c r="O47" s="2" t="str">
        <f ca="1">IFERROR(__xludf.DUMMYFUNCTION("""COMPUTED_VALUE"""),"")</f>
        <v/>
      </c>
      <c r="P47" s="2" t="str">
        <f ca="1">IFERROR(__xludf.DUMMYFUNCTION("""COMPUTED_VALUE"""),"No")</f>
        <v>No</v>
      </c>
      <c r="Q47" s="2" t="str">
        <f ca="1">IFERROR(__xludf.DUMMYFUNCTION("""COMPUTED_VALUE"""),"Don't know")</f>
        <v>Don't know</v>
      </c>
      <c r="R47" s="2" t="str">
        <f ca="1">IFERROR(__xludf.DUMMYFUNCTION("""COMPUTED_VALUE"""),"Unk")</f>
        <v>Unk</v>
      </c>
      <c r="S47" s="2" t="str">
        <f ca="1">IFERROR(__xludf.DUMMYFUNCTION("""COMPUTED_VALUE"""),"Unk")</f>
        <v>Unk</v>
      </c>
      <c r="T47" s="2" t="str">
        <f ca="1">IFERROR(__xludf.DUMMYFUNCTION("""COMPUTED_VALUE"""),"Unk")</f>
        <v>Unk</v>
      </c>
      <c r="U47" s="2" t="str">
        <f ca="1">IFERROR(__xludf.DUMMYFUNCTION("""COMPUTED_VALUE"""),"Close to release site.")</f>
        <v>Close to release site.</v>
      </c>
      <c r="V47" s="2" t="str">
        <f ca="1">IFERROR(__xludf.DUMMYFUNCTION("""COMPUTED_VALUE"""),"")</f>
        <v/>
      </c>
      <c r="W47" s="2" t="str">
        <f ca="1">IFERROR(__xludf.DUMMYFUNCTION("""COMPUTED_VALUE"""),"")</f>
        <v/>
      </c>
      <c r="X47" s="2" t="str">
        <f ca="1">IFERROR(__xludf.DUMMYFUNCTION("""COMPUTED_VALUE"""),"")</f>
        <v/>
      </c>
      <c r="Y47" s="2" t="str">
        <f ca="1">IFERROR(__xludf.DUMMYFUNCTION("""COMPUTED_VALUE"""),"")</f>
        <v/>
      </c>
      <c r="Z47" s="2" t="str">
        <f ca="1">IFERROR(__xludf.DUMMYFUNCTION("""COMPUTED_VALUE"""),"")</f>
        <v/>
      </c>
      <c r="AA47" s="2" t="str">
        <f ca="1">IFERROR(__xludf.DUMMYFUNCTION("""COMPUTED_VALUE"""),"")</f>
        <v/>
      </c>
      <c r="AB47" s="2" t="str">
        <f ca="1">IFERROR(__xludf.DUMMYFUNCTION("""COMPUTED_VALUE"""),"")</f>
        <v/>
      </c>
      <c r="AC47" s="2" t="str">
        <f ca="1">IFERROR(__xludf.DUMMYFUNCTION("""COMPUTED_VALUE"""),"")</f>
        <v/>
      </c>
      <c r="AD47" s="2" t="str">
        <f ca="1">IFERROR(__xludf.DUMMYFUNCTION("""COMPUTED_VALUE"""),"")</f>
        <v/>
      </c>
      <c r="AE47" s="2" t="str">
        <f ca="1">IFERROR(__xludf.DUMMYFUNCTION("""COMPUTED_VALUE"""),"")</f>
        <v/>
      </c>
      <c r="AF47" s="2" t="str">
        <f ca="1">IFERROR(__xludf.DUMMYFUNCTION("""COMPUTED_VALUE"""),"")</f>
        <v/>
      </c>
      <c r="AG47" s="2" t="str">
        <f ca="1">IFERROR(__xludf.DUMMYFUNCTION("""COMPUTED_VALUE"""),"")</f>
        <v/>
      </c>
      <c r="AH47" s="2" t="str">
        <f ca="1">IFERROR(__xludf.DUMMYFUNCTION("""COMPUTED_VALUE"""),"")</f>
        <v/>
      </c>
      <c r="AI47" s="2" t="str">
        <f ca="1">IFERROR(__xludf.DUMMYFUNCTION("""COMPUTED_VALUE"""),"")</f>
        <v/>
      </c>
      <c r="AJ47" s="2" t="str">
        <f ca="1">IFERROR(__xludf.DUMMYFUNCTION("""COMPUTED_VALUE"""),"")</f>
        <v/>
      </c>
      <c r="AK47" s="2" t="str">
        <f ca="1">IFERROR(__xludf.DUMMYFUNCTION("""COMPUTED_VALUE"""),"")</f>
        <v/>
      </c>
      <c r="AL47" s="2" t="str">
        <f ca="1">IFERROR(__xludf.DUMMYFUNCTION("""COMPUTED_VALUE"""),"")</f>
        <v/>
      </c>
      <c r="AM47" s="2" t="str">
        <f ca="1">IFERROR(__xludf.DUMMYFUNCTION("""COMPUTED_VALUE"""),"")</f>
        <v/>
      </c>
      <c r="AN47" s="2" t="str">
        <f ca="1">IFERROR(__xludf.DUMMYFUNCTION("""COMPUTED_VALUE"""),"")</f>
        <v/>
      </c>
      <c r="AO47" s="2" t="str">
        <f ca="1">IFERROR(__xludf.DUMMYFUNCTION("""COMPUTED_VALUE"""),"")</f>
        <v/>
      </c>
      <c r="AP47" s="2" t="str">
        <f ca="1">IFERROR(__xludf.DUMMYFUNCTION("""COMPUTED_VALUE"""),"")</f>
        <v/>
      </c>
      <c r="AQ47" s="2" t="str">
        <f ca="1">IFERROR(__xludf.DUMMYFUNCTION("""COMPUTED_VALUE"""),"")</f>
        <v/>
      </c>
      <c r="AR47" s="2" t="str">
        <f ca="1">IFERROR(__xludf.DUMMYFUNCTION("""COMPUTED_VALUE"""),"")</f>
        <v/>
      </c>
      <c r="AS47" s="2" t="str">
        <f ca="1">IFERROR(__xludf.DUMMYFUNCTION("""COMPUTED_VALUE"""),"")</f>
        <v/>
      </c>
      <c r="AT47" s="2" t="str">
        <f ca="1">IFERROR(__xludf.DUMMYFUNCTION("""COMPUTED_VALUE"""),"")</f>
        <v/>
      </c>
      <c r="AU47" s="2" t="str">
        <f ca="1">IFERROR(__xludf.DUMMYFUNCTION("""COMPUTED_VALUE"""),"")</f>
        <v/>
      </c>
      <c r="AV47" s="2" t="str">
        <f ca="1">IFERROR(__xludf.DUMMYFUNCTION("""COMPUTED_VALUE"""),"")</f>
        <v/>
      </c>
      <c r="AW47" s="2" t="str">
        <f ca="1">IFERROR(__xludf.DUMMYFUNCTION("""COMPUTED_VALUE"""),"")</f>
        <v/>
      </c>
      <c r="AX47" s="2" t="str">
        <f ca="1">IFERROR(__xludf.DUMMYFUNCTION("""COMPUTED_VALUE"""),"")</f>
        <v/>
      </c>
      <c r="AY47" s="2" t="str">
        <f ca="1">IFERROR(__xludf.DUMMYFUNCTION("""COMPUTED_VALUE"""),"")</f>
        <v/>
      </c>
      <c r="AZ47" s="2" t="str">
        <f ca="1">IFERROR(__xludf.DUMMYFUNCTION("""COMPUTED_VALUE"""),"")</f>
        <v/>
      </c>
      <c r="BA47" s="2" t="str">
        <f ca="1">IFERROR(__xludf.DUMMYFUNCTION("""COMPUTED_VALUE"""),"")</f>
        <v/>
      </c>
      <c r="BB47" s="2" t="str">
        <f ca="1">IFERROR(__xludf.DUMMYFUNCTION("""COMPUTED_VALUE"""),"")</f>
        <v/>
      </c>
      <c r="BC47" s="2" t="str">
        <f ca="1">IFERROR(__xludf.DUMMYFUNCTION("""COMPUTED_VALUE"""),"")</f>
        <v/>
      </c>
      <c r="BD47" s="2" t="str">
        <f ca="1">IFERROR(__xludf.DUMMYFUNCTION("""COMPUTED_VALUE"""),"")</f>
        <v/>
      </c>
      <c r="BE47" s="2" t="str">
        <f ca="1">IFERROR(__xludf.DUMMYFUNCTION("""COMPUTED_VALUE"""),"")</f>
        <v/>
      </c>
      <c r="BF47" t="str">
        <f ca="1">IFERROR(__xludf.DUMMYFUNCTION("""COMPUTED_VALUE"""),"")</f>
        <v/>
      </c>
      <c r="BG47" t="str">
        <f ca="1">IFERROR(__xludf.DUMMYFUNCTION("""COMPUTED_VALUE"""),"")</f>
        <v/>
      </c>
      <c r="BH47" t="str">
        <f ca="1">IFERROR(__xludf.DUMMYFUNCTION("""COMPUTED_VALUE"""),"")</f>
        <v/>
      </c>
      <c r="BI47" t="str">
        <f ca="1">IFERROR(__xludf.DUMMYFUNCTION("""COMPUTED_VALUE"""),"")</f>
        <v/>
      </c>
      <c r="BJ47" s="3" t="str">
        <f ca="1">IFERROR(__xludf.DUMMYFUNCTION("""COMPUTED_VALUE"""),"")</f>
        <v/>
      </c>
    </row>
    <row r="48" spans="1:62" ht="12.5" x14ac:dyDescent="0.25">
      <c r="A48" s="6">
        <f ca="1">IFERROR(__xludf.DUMMYFUNCTION("""COMPUTED_VALUE"""),43258.6077660995)</f>
        <v>43258.6077660995</v>
      </c>
      <c r="B48" s="2" t="str">
        <f ca="1">IFERROR(__xludf.DUMMYFUNCTION("""COMPUTED_VALUE"""),"Bay of Plenty")</f>
        <v>Bay of Plenty</v>
      </c>
      <c r="C48" s="2" t="str">
        <f ca="1">IFERROR(__xludf.DUMMYFUNCTION("""COMPUTED_VALUE"""),"Tx 38 - Pearl")</f>
        <v>Tx 38 - Pearl</v>
      </c>
      <c r="D48" s="10">
        <f ca="1">IFERROR(__xludf.DUMMYFUNCTION("""COMPUTED_VALUE"""),42614)</f>
        <v>42614</v>
      </c>
      <c r="E48" s="4">
        <f ca="1">IFERROR(__xludf.DUMMYFUNCTION("""COMPUTED_VALUE"""),0.61458333333212)</f>
        <v>0.61458333333212001</v>
      </c>
      <c r="F48" s="2" t="str">
        <f ca="1">IFERROR(__xludf.DUMMYFUNCTION("""COMPUTED_VALUE"""),"Fish &amp; Game - Waewaetutuki")</f>
        <v>Fish &amp; Game - Waewaetutuki</v>
      </c>
      <c r="G48" s="2" t="str">
        <f ca="1">IFERROR(__xludf.DUMMYFUNCTION("""COMPUTED_VALUE"""),"VHF (close approach): I followed the signal until I got within 50 m of the bird")</f>
        <v>VHF (close approach): I followed the signal until I got within 50 m of the bird</v>
      </c>
      <c r="H48" s="2" t="str">
        <f ca="1">IFERROR(__xludf.DUMMYFUNCTION("""COMPUTED_VALUE"""),"")</f>
        <v/>
      </c>
      <c r="I48" s="2" t="str">
        <f ca="1">IFERROR(__xludf.DUMMYFUNCTION("""COMPUTED_VALUE"""),"")</f>
        <v/>
      </c>
      <c r="J48" s="2" t="str">
        <f ca="1">IFERROR(__xludf.DUMMYFUNCTION("""COMPUTED_VALUE"""),"")</f>
        <v/>
      </c>
      <c r="K48" s="2" t="str">
        <f ca="1">IFERROR(__xludf.DUMMYFUNCTION("""COMPUTED_VALUE"""),"")</f>
        <v/>
      </c>
      <c r="L48" s="2" t="str">
        <f ca="1">IFERROR(__xludf.DUMMYFUNCTION("""COMPUTED_VALUE"""),"No - I got very close to the bird but it was well hidden in the vegetation")</f>
        <v>No - I got very close to the bird but it was well hidden in the vegetation</v>
      </c>
      <c r="M48" s="5">
        <f ca="1">IFERROR(__xludf.DUMMYFUNCTION("""COMPUTED_VALUE"""),1906324)</f>
        <v>1906324</v>
      </c>
      <c r="N48" s="5">
        <f ca="1">IFERROR(__xludf.DUMMYFUNCTION("""COMPUTED_VALUE"""),5813228)</f>
        <v>5813228</v>
      </c>
      <c r="O48" s="2" t="str">
        <f ca="1">IFERROR(__xludf.DUMMYFUNCTION("""COMPUTED_VALUE"""),"")</f>
        <v/>
      </c>
      <c r="P48" s="2" t="str">
        <f ca="1">IFERROR(__xludf.DUMMYFUNCTION("""COMPUTED_VALUE"""),"No")</f>
        <v>No</v>
      </c>
      <c r="Q48" s="2" t="str">
        <f ca="1">IFERROR(__xludf.DUMMYFUNCTION("""COMPUTED_VALUE"""),"Don't know")</f>
        <v>Don't know</v>
      </c>
      <c r="R48" s="2" t="str">
        <f ca="1">IFERROR(__xludf.DUMMYFUNCTION("""COMPUTED_VALUE"""),"Unk")</f>
        <v>Unk</v>
      </c>
      <c r="S48" s="2" t="str">
        <f ca="1">IFERROR(__xludf.DUMMYFUNCTION("""COMPUTED_VALUE"""),"Unk")</f>
        <v>Unk</v>
      </c>
      <c r="T48" s="2" t="str">
        <f ca="1">IFERROR(__xludf.DUMMYFUNCTION("""COMPUTED_VALUE"""),"Raupo and dead Pampas")</f>
        <v>Raupo and dead Pampas</v>
      </c>
      <c r="U48" s="2" t="str">
        <f ca="1">IFERROR(__xludf.DUMMYFUNCTION("""COMPUTED_VALUE"""),"Must have been very close to bird however never flushed it")</f>
        <v>Must have been very close to bird however never flushed it</v>
      </c>
      <c r="V48" s="2" t="str">
        <f ca="1">IFERROR(__xludf.DUMMYFUNCTION("""COMPUTED_VALUE"""),"")</f>
        <v/>
      </c>
      <c r="W48" s="2" t="str">
        <f ca="1">IFERROR(__xludf.DUMMYFUNCTION("""COMPUTED_VALUE"""),"")</f>
        <v/>
      </c>
      <c r="X48" s="2" t="str">
        <f ca="1">IFERROR(__xludf.DUMMYFUNCTION("""COMPUTED_VALUE"""),"")</f>
        <v/>
      </c>
      <c r="Y48" s="2" t="str">
        <f ca="1">IFERROR(__xludf.DUMMYFUNCTION("""COMPUTED_VALUE"""),"")</f>
        <v/>
      </c>
      <c r="Z48" s="2" t="str">
        <f ca="1">IFERROR(__xludf.DUMMYFUNCTION("""COMPUTED_VALUE"""),"")</f>
        <v/>
      </c>
      <c r="AA48" s="2" t="str">
        <f ca="1">IFERROR(__xludf.DUMMYFUNCTION("""COMPUTED_VALUE"""),"")</f>
        <v/>
      </c>
      <c r="AB48" s="2" t="str">
        <f ca="1">IFERROR(__xludf.DUMMYFUNCTION("""COMPUTED_VALUE"""),"")</f>
        <v/>
      </c>
      <c r="AC48" s="2" t="str">
        <f ca="1">IFERROR(__xludf.DUMMYFUNCTION("""COMPUTED_VALUE"""),"")</f>
        <v/>
      </c>
      <c r="AD48" s="2" t="str">
        <f ca="1">IFERROR(__xludf.DUMMYFUNCTION("""COMPUTED_VALUE"""),"")</f>
        <v/>
      </c>
      <c r="AE48" s="2" t="str">
        <f ca="1">IFERROR(__xludf.DUMMYFUNCTION("""COMPUTED_VALUE"""),"")</f>
        <v/>
      </c>
      <c r="AF48" s="2" t="str">
        <f ca="1">IFERROR(__xludf.DUMMYFUNCTION("""COMPUTED_VALUE"""),"")</f>
        <v/>
      </c>
      <c r="AG48" s="2" t="str">
        <f ca="1">IFERROR(__xludf.DUMMYFUNCTION("""COMPUTED_VALUE"""),"")</f>
        <v/>
      </c>
      <c r="AH48" s="2" t="str">
        <f ca="1">IFERROR(__xludf.DUMMYFUNCTION("""COMPUTED_VALUE"""),"")</f>
        <v/>
      </c>
      <c r="AI48" s="2" t="str">
        <f ca="1">IFERROR(__xludf.DUMMYFUNCTION("""COMPUTED_VALUE"""),"")</f>
        <v/>
      </c>
      <c r="AJ48" s="2" t="str">
        <f ca="1">IFERROR(__xludf.DUMMYFUNCTION("""COMPUTED_VALUE"""),"")</f>
        <v/>
      </c>
      <c r="AK48" s="2" t="str">
        <f ca="1">IFERROR(__xludf.DUMMYFUNCTION("""COMPUTED_VALUE"""),"")</f>
        <v/>
      </c>
      <c r="AL48" s="2" t="str">
        <f ca="1">IFERROR(__xludf.DUMMYFUNCTION("""COMPUTED_VALUE"""),"")</f>
        <v/>
      </c>
      <c r="AM48" s="2" t="str">
        <f ca="1">IFERROR(__xludf.DUMMYFUNCTION("""COMPUTED_VALUE"""),"")</f>
        <v/>
      </c>
      <c r="AN48" s="2" t="str">
        <f ca="1">IFERROR(__xludf.DUMMYFUNCTION("""COMPUTED_VALUE"""),"")</f>
        <v/>
      </c>
      <c r="AO48" s="2" t="str">
        <f ca="1">IFERROR(__xludf.DUMMYFUNCTION("""COMPUTED_VALUE"""),"")</f>
        <v/>
      </c>
      <c r="AP48" s="2" t="str">
        <f ca="1">IFERROR(__xludf.DUMMYFUNCTION("""COMPUTED_VALUE"""),"")</f>
        <v/>
      </c>
      <c r="AQ48" s="2" t="str">
        <f ca="1">IFERROR(__xludf.DUMMYFUNCTION("""COMPUTED_VALUE"""),"")</f>
        <v/>
      </c>
      <c r="AR48" s="2" t="str">
        <f ca="1">IFERROR(__xludf.DUMMYFUNCTION("""COMPUTED_VALUE"""),"")</f>
        <v/>
      </c>
      <c r="AS48" s="2" t="str">
        <f ca="1">IFERROR(__xludf.DUMMYFUNCTION("""COMPUTED_VALUE"""),"")</f>
        <v/>
      </c>
      <c r="AT48" s="2" t="str">
        <f ca="1">IFERROR(__xludf.DUMMYFUNCTION("""COMPUTED_VALUE"""),"")</f>
        <v/>
      </c>
      <c r="AU48" s="2" t="str">
        <f ca="1">IFERROR(__xludf.DUMMYFUNCTION("""COMPUTED_VALUE"""),"")</f>
        <v/>
      </c>
      <c r="AV48" s="2" t="str">
        <f ca="1">IFERROR(__xludf.DUMMYFUNCTION("""COMPUTED_VALUE"""),"")</f>
        <v/>
      </c>
      <c r="AW48" s="2" t="str">
        <f ca="1">IFERROR(__xludf.DUMMYFUNCTION("""COMPUTED_VALUE"""),"")</f>
        <v/>
      </c>
      <c r="AX48" s="2" t="str">
        <f ca="1">IFERROR(__xludf.DUMMYFUNCTION("""COMPUTED_VALUE"""),"")</f>
        <v/>
      </c>
      <c r="AY48" s="2" t="str">
        <f ca="1">IFERROR(__xludf.DUMMYFUNCTION("""COMPUTED_VALUE"""),"")</f>
        <v/>
      </c>
      <c r="AZ48" s="2" t="str">
        <f ca="1">IFERROR(__xludf.DUMMYFUNCTION("""COMPUTED_VALUE"""),"")</f>
        <v/>
      </c>
      <c r="BA48" s="2" t="str">
        <f ca="1">IFERROR(__xludf.DUMMYFUNCTION("""COMPUTED_VALUE"""),"")</f>
        <v/>
      </c>
      <c r="BB48" s="2" t="str">
        <f ca="1">IFERROR(__xludf.DUMMYFUNCTION("""COMPUTED_VALUE"""),"")</f>
        <v/>
      </c>
      <c r="BC48" s="2" t="str">
        <f ca="1">IFERROR(__xludf.DUMMYFUNCTION("""COMPUTED_VALUE"""),"")</f>
        <v/>
      </c>
      <c r="BD48" s="2" t="str">
        <f ca="1">IFERROR(__xludf.DUMMYFUNCTION("""COMPUTED_VALUE"""),"")</f>
        <v/>
      </c>
      <c r="BE48" s="2" t="str">
        <f ca="1">IFERROR(__xludf.DUMMYFUNCTION("""COMPUTED_VALUE"""),"")</f>
        <v/>
      </c>
      <c r="BF48" t="str">
        <f ca="1">IFERROR(__xludf.DUMMYFUNCTION("""COMPUTED_VALUE"""),"")</f>
        <v/>
      </c>
      <c r="BG48" t="str">
        <f ca="1">IFERROR(__xludf.DUMMYFUNCTION("""COMPUTED_VALUE"""),"")</f>
        <v/>
      </c>
      <c r="BH48" t="str">
        <f ca="1">IFERROR(__xludf.DUMMYFUNCTION("""COMPUTED_VALUE"""),"")</f>
        <v/>
      </c>
      <c r="BI48" t="str">
        <f ca="1">IFERROR(__xludf.DUMMYFUNCTION("""COMPUTED_VALUE"""),"")</f>
        <v/>
      </c>
      <c r="BJ48" s="3" t="str">
        <f ca="1">IFERROR(__xludf.DUMMYFUNCTION("""COMPUTED_VALUE"""),"")</f>
        <v/>
      </c>
    </row>
    <row r="49" spans="1:62" ht="12.5" x14ac:dyDescent="0.25">
      <c r="A49" s="6">
        <f ca="1">IFERROR(__xludf.DUMMYFUNCTION("""COMPUTED_VALUE"""),43258.6111635648)</f>
        <v>43258.611163564798</v>
      </c>
      <c r="B49" s="2" t="str">
        <f ca="1">IFERROR(__xludf.DUMMYFUNCTION("""COMPUTED_VALUE"""),"Bay of Plenty")</f>
        <v>Bay of Plenty</v>
      </c>
      <c r="C49" s="2" t="str">
        <f ca="1">IFERROR(__xludf.DUMMYFUNCTION("""COMPUTED_VALUE"""),"Tx 36 - M-91429")</f>
        <v>Tx 36 - M-91429</v>
      </c>
      <c r="D49" s="10">
        <f ca="1">IFERROR(__xludf.DUMMYFUNCTION("""COMPUTED_VALUE"""),42614)</f>
        <v>42614</v>
      </c>
      <c r="E49" s="4">
        <f ca="1">IFERROR(__xludf.DUMMYFUNCTION("""COMPUTED_VALUE"""),0.666666666667879)</f>
        <v>0.66666666666787899</v>
      </c>
      <c r="F49" s="2" t="str">
        <f ca="1">IFERROR(__xludf.DUMMYFUNCTION("""COMPUTED_VALUE"""),"Private Waewaetutuki wetland")</f>
        <v>Private Waewaetutuki wetland</v>
      </c>
      <c r="G49" s="2" t="str">
        <f ca="1">IFERROR(__xludf.DUMMYFUNCTION("""COMPUTED_VALUE"""),"VHF (close approach): I followed the signal until I got within 50 m of the bird")</f>
        <v>VHF (close approach): I followed the signal until I got within 50 m of the bird</v>
      </c>
      <c r="H49" s="2" t="str">
        <f ca="1">IFERROR(__xludf.DUMMYFUNCTION("""COMPUTED_VALUE"""),"")</f>
        <v/>
      </c>
      <c r="I49" s="2" t="str">
        <f ca="1">IFERROR(__xludf.DUMMYFUNCTION("""COMPUTED_VALUE"""),"")</f>
        <v/>
      </c>
      <c r="J49" s="2" t="str">
        <f ca="1">IFERROR(__xludf.DUMMYFUNCTION("""COMPUTED_VALUE"""),"")</f>
        <v/>
      </c>
      <c r="K49" s="2" t="str">
        <f ca="1">IFERROR(__xludf.DUMMYFUNCTION("""COMPUTED_VALUE"""),"")</f>
        <v/>
      </c>
      <c r="L49" s="2" t="str">
        <f ca="1">IFERROR(__xludf.DUMMYFUNCTION("""COMPUTED_VALUE"""),"Yes - it flushed")</f>
        <v>Yes - it flushed</v>
      </c>
      <c r="M49" s="5">
        <f ca="1">IFERROR(__xludf.DUMMYFUNCTION("""COMPUTED_VALUE"""),1905451)</f>
        <v>1905451</v>
      </c>
      <c r="N49" s="5">
        <f ca="1">IFERROR(__xludf.DUMMYFUNCTION("""COMPUTED_VALUE"""),5812440)</f>
        <v>5812440</v>
      </c>
      <c r="O49" s="2" t="str">
        <f ca="1">IFERROR(__xludf.DUMMYFUNCTION("""COMPUTED_VALUE"""),"")</f>
        <v/>
      </c>
      <c r="P49" s="2" t="str">
        <f ca="1">IFERROR(__xludf.DUMMYFUNCTION("""COMPUTED_VALUE"""),"No")</f>
        <v>No</v>
      </c>
      <c r="Q49" s="2" t="str">
        <f ca="1">IFERROR(__xludf.DUMMYFUNCTION("""COMPUTED_VALUE"""),"Don't know")</f>
        <v>Don't know</v>
      </c>
      <c r="R49" s="2" t="str">
        <f ca="1">IFERROR(__xludf.DUMMYFUNCTION("""COMPUTED_VALUE"""),"Unk")</f>
        <v>Unk</v>
      </c>
      <c r="S49" s="2" t="str">
        <f ca="1">IFERROR(__xludf.DUMMYFUNCTION("""COMPUTED_VALUE"""),"30")</f>
        <v>30</v>
      </c>
      <c r="T49" s="2" t="str">
        <f ca="1">IFERROR(__xludf.DUMMYFUNCTION("""COMPUTED_VALUE"""),"Sedges?")</f>
        <v>Sedges?</v>
      </c>
      <c r="U49" s="2" t="str">
        <f ca="1">IFERROR(__xludf.DUMMYFUNCTION("""COMPUTED_VALUE"""),"Saw bittern in location of signal approx. 50m get up and fly aprox. 40m. bird looked clumpsy coming into land flew into wind. I assume it was TX36 rather than another bittern but can’t be 100% sure of this. Bird in what looks to be sedges south of open wa"&amp;"ter ponds. I was standing at farm race entrance to rd. Approx. GPS location of bird (DOC GIS) - N1905451 E5812440")</f>
        <v>Saw bittern in location of signal approx. 50m get up and fly aprox. 40m. bird looked clumpsy coming into land flew into wind. I assume it was TX36 rather than another bittern but can’t be 100% sure of this. Bird in what looks to be sedges south of open water ponds. I was standing at farm race entrance to rd. Approx. GPS location of bird (DOC GIS) - N1905451 E5812440</v>
      </c>
      <c r="V49" s="2" t="str">
        <f ca="1">IFERROR(__xludf.DUMMYFUNCTION("""COMPUTED_VALUE"""),"")</f>
        <v/>
      </c>
      <c r="W49" s="2" t="str">
        <f ca="1">IFERROR(__xludf.DUMMYFUNCTION("""COMPUTED_VALUE"""),"")</f>
        <v/>
      </c>
      <c r="X49" s="2" t="str">
        <f ca="1">IFERROR(__xludf.DUMMYFUNCTION("""COMPUTED_VALUE"""),"")</f>
        <v/>
      </c>
      <c r="Y49" s="2" t="str">
        <f ca="1">IFERROR(__xludf.DUMMYFUNCTION("""COMPUTED_VALUE"""),"")</f>
        <v/>
      </c>
      <c r="Z49" s="2" t="str">
        <f ca="1">IFERROR(__xludf.DUMMYFUNCTION("""COMPUTED_VALUE"""),"")</f>
        <v/>
      </c>
      <c r="AA49" s="2" t="str">
        <f ca="1">IFERROR(__xludf.DUMMYFUNCTION("""COMPUTED_VALUE"""),"")</f>
        <v/>
      </c>
      <c r="AB49" s="2" t="str">
        <f ca="1">IFERROR(__xludf.DUMMYFUNCTION("""COMPUTED_VALUE"""),"")</f>
        <v/>
      </c>
      <c r="AC49" s="2" t="str">
        <f ca="1">IFERROR(__xludf.DUMMYFUNCTION("""COMPUTED_VALUE"""),"")</f>
        <v/>
      </c>
      <c r="AD49" s="2" t="str">
        <f ca="1">IFERROR(__xludf.DUMMYFUNCTION("""COMPUTED_VALUE"""),"")</f>
        <v/>
      </c>
      <c r="AE49" s="2" t="str">
        <f ca="1">IFERROR(__xludf.DUMMYFUNCTION("""COMPUTED_VALUE"""),"")</f>
        <v/>
      </c>
      <c r="AF49" s="2" t="str">
        <f ca="1">IFERROR(__xludf.DUMMYFUNCTION("""COMPUTED_VALUE"""),"")</f>
        <v/>
      </c>
      <c r="AG49" s="2" t="str">
        <f ca="1">IFERROR(__xludf.DUMMYFUNCTION("""COMPUTED_VALUE"""),"")</f>
        <v/>
      </c>
      <c r="AH49" s="2" t="str">
        <f ca="1">IFERROR(__xludf.DUMMYFUNCTION("""COMPUTED_VALUE"""),"")</f>
        <v/>
      </c>
      <c r="AI49" s="2" t="str">
        <f ca="1">IFERROR(__xludf.DUMMYFUNCTION("""COMPUTED_VALUE"""),"")</f>
        <v/>
      </c>
      <c r="AJ49" s="2" t="str">
        <f ca="1">IFERROR(__xludf.DUMMYFUNCTION("""COMPUTED_VALUE"""),"")</f>
        <v/>
      </c>
      <c r="AK49" s="2" t="str">
        <f ca="1">IFERROR(__xludf.DUMMYFUNCTION("""COMPUTED_VALUE"""),"")</f>
        <v/>
      </c>
      <c r="AL49" s="2" t="str">
        <f ca="1">IFERROR(__xludf.DUMMYFUNCTION("""COMPUTED_VALUE"""),"")</f>
        <v/>
      </c>
      <c r="AM49" s="2" t="str">
        <f ca="1">IFERROR(__xludf.DUMMYFUNCTION("""COMPUTED_VALUE"""),"")</f>
        <v/>
      </c>
      <c r="AN49" s="2" t="str">
        <f ca="1">IFERROR(__xludf.DUMMYFUNCTION("""COMPUTED_VALUE"""),"")</f>
        <v/>
      </c>
      <c r="AO49" s="2" t="str">
        <f ca="1">IFERROR(__xludf.DUMMYFUNCTION("""COMPUTED_VALUE"""),"")</f>
        <v/>
      </c>
      <c r="AP49" s="2" t="str">
        <f ca="1">IFERROR(__xludf.DUMMYFUNCTION("""COMPUTED_VALUE"""),"")</f>
        <v/>
      </c>
      <c r="AQ49" s="2" t="str">
        <f ca="1">IFERROR(__xludf.DUMMYFUNCTION("""COMPUTED_VALUE"""),"")</f>
        <v/>
      </c>
      <c r="AR49" s="2" t="str">
        <f ca="1">IFERROR(__xludf.DUMMYFUNCTION("""COMPUTED_VALUE"""),"")</f>
        <v/>
      </c>
      <c r="AS49" s="2" t="str">
        <f ca="1">IFERROR(__xludf.DUMMYFUNCTION("""COMPUTED_VALUE"""),"")</f>
        <v/>
      </c>
      <c r="AT49" s="2" t="str">
        <f ca="1">IFERROR(__xludf.DUMMYFUNCTION("""COMPUTED_VALUE"""),"")</f>
        <v/>
      </c>
      <c r="AU49" s="2" t="str">
        <f ca="1">IFERROR(__xludf.DUMMYFUNCTION("""COMPUTED_VALUE"""),"")</f>
        <v/>
      </c>
      <c r="AV49" s="2" t="str">
        <f ca="1">IFERROR(__xludf.DUMMYFUNCTION("""COMPUTED_VALUE"""),"")</f>
        <v/>
      </c>
      <c r="AW49" s="2" t="str">
        <f ca="1">IFERROR(__xludf.DUMMYFUNCTION("""COMPUTED_VALUE"""),"")</f>
        <v/>
      </c>
      <c r="AX49" s="2" t="str">
        <f ca="1">IFERROR(__xludf.DUMMYFUNCTION("""COMPUTED_VALUE"""),"")</f>
        <v/>
      </c>
      <c r="AY49" s="2" t="str">
        <f ca="1">IFERROR(__xludf.DUMMYFUNCTION("""COMPUTED_VALUE"""),"")</f>
        <v/>
      </c>
      <c r="AZ49" s="2" t="str">
        <f ca="1">IFERROR(__xludf.DUMMYFUNCTION("""COMPUTED_VALUE"""),"")</f>
        <v/>
      </c>
      <c r="BA49" s="2" t="str">
        <f ca="1">IFERROR(__xludf.DUMMYFUNCTION("""COMPUTED_VALUE"""),"")</f>
        <v/>
      </c>
      <c r="BB49" s="2" t="str">
        <f ca="1">IFERROR(__xludf.DUMMYFUNCTION("""COMPUTED_VALUE"""),"")</f>
        <v/>
      </c>
      <c r="BC49" s="2" t="str">
        <f ca="1">IFERROR(__xludf.DUMMYFUNCTION("""COMPUTED_VALUE"""),"")</f>
        <v/>
      </c>
      <c r="BD49" s="2" t="str">
        <f ca="1">IFERROR(__xludf.DUMMYFUNCTION("""COMPUTED_VALUE"""),"")</f>
        <v/>
      </c>
      <c r="BE49" s="2" t="str">
        <f ca="1">IFERROR(__xludf.DUMMYFUNCTION("""COMPUTED_VALUE"""),"")</f>
        <v/>
      </c>
      <c r="BF49" t="str">
        <f ca="1">IFERROR(__xludf.DUMMYFUNCTION("""COMPUTED_VALUE"""),"")</f>
        <v/>
      </c>
      <c r="BG49" t="str">
        <f ca="1">IFERROR(__xludf.DUMMYFUNCTION("""COMPUTED_VALUE"""),"")</f>
        <v/>
      </c>
      <c r="BH49" t="str">
        <f ca="1">IFERROR(__xludf.DUMMYFUNCTION("""COMPUTED_VALUE"""),"")</f>
        <v/>
      </c>
      <c r="BI49" t="str">
        <f ca="1">IFERROR(__xludf.DUMMYFUNCTION("""COMPUTED_VALUE"""),"")</f>
        <v/>
      </c>
      <c r="BJ49" s="3" t="str">
        <f ca="1">IFERROR(__xludf.DUMMYFUNCTION("""COMPUTED_VALUE"""),"")</f>
        <v/>
      </c>
    </row>
    <row r="50" spans="1:62" ht="12.5" x14ac:dyDescent="0.25">
      <c r="A50" s="6">
        <f ca="1">IFERROR(__xludf.DUMMYFUNCTION("""COMPUTED_VALUE"""),43258.6132852777)</f>
        <v>43258.613285277701</v>
      </c>
      <c r="B50" s="2" t="str">
        <f ca="1">IFERROR(__xludf.DUMMYFUNCTION("""COMPUTED_VALUE"""),"Bay of Plenty")</f>
        <v>Bay of Plenty</v>
      </c>
      <c r="C50" s="2" t="str">
        <f ca="1">IFERROR(__xludf.DUMMYFUNCTION("""COMPUTED_VALUE"""),"Tx 38 - Pearl")</f>
        <v>Tx 38 - Pearl</v>
      </c>
      <c r="D50" s="10">
        <f ca="1">IFERROR(__xludf.DUMMYFUNCTION("""COMPUTED_VALUE"""),42618)</f>
        <v>42618</v>
      </c>
      <c r="E50" s="4">
        <f ca="1">IFERROR(__xludf.DUMMYFUNCTION("""COMPUTED_VALUE"""),0.625)</f>
        <v>0.625</v>
      </c>
      <c r="F50" s="2" t="str">
        <f ca="1">IFERROR(__xludf.DUMMYFUNCTION("""COMPUTED_VALUE"""),"Little Waihi")</f>
        <v>Little Waihi</v>
      </c>
      <c r="G50" s="2" t="str">
        <f ca="1">IFERROR(__xludf.DUMMYFUNCTION("""COMPUTED_VALUE"""),"VHF (close approach): I followed the signal until I got within 50 m of the bird")</f>
        <v>VHF (close approach): I followed the signal until I got within 50 m of the bird</v>
      </c>
      <c r="H50" s="2" t="str">
        <f ca="1">IFERROR(__xludf.DUMMYFUNCTION("""COMPUTED_VALUE"""),"")</f>
        <v/>
      </c>
      <c r="I50" s="2" t="str">
        <f ca="1">IFERROR(__xludf.DUMMYFUNCTION("""COMPUTED_VALUE"""),"")</f>
        <v/>
      </c>
      <c r="J50" s="2" t="str">
        <f ca="1">IFERROR(__xludf.DUMMYFUNCTION("""COMPUTED_VALUE"""),"")</f>
        <v/>
      </c>
      <c r="K50" s="2" t="str">
        <f ca="1">IFERROR(__xludf.DUMMYFUNCTION("""COMPUTED_VALUE"""),"")</f>
        <v/>
      </c>
      <c r="L50" s="2" t="str">
        <f ca="1">IFERROR(__xludf.DUMMYFUNCTION("""COMPUTED_VALUE"""),"Yes - it flushed")</f>
        <v>Yes - it flushed</v>
      </c>
      <c r="M50" s="5">
        <f ca="1">IFERROR(__xludf.DUMMYFUNCTION("""COMPUTED_VALUE"""),1906530)</f>
        <v>1906530</v>
      </c>
      <c r="N50" s="5">
        <f ca="1">IFERROR(__xludf.DUMMYFUNCTION("""COMPUTED_VALUE"""),5813394)</f>
        <v>5813394</v>
      </c>
      <c r="O50" s="2" t="str">
        <f ca="1">IFERROR(__xludf.DUMMYFUNCTION("""COMPUTED_VALUE"""),"")</f>
        <v/>
      </c>
      <c r="P50" s="2" t="str">
        <f ca="1">IFERROR(__xludf.DUMMYFUNCTION("""COMPUTED_VALUE"""),"No")</f>
        <v>No</v>
      </c>
      <c r="Q50" s="2" t="str">
        <f ca="1">IFERROR(__xludf.DUMMYFUNCTION("""COMPUTED_VALUE"""),"Don't know")</f>
        <v>Don't know</v>
      </c>
      <c r="R50" s="2" t="str">
        <f ca="1">IFERROR(__xludf.DUMMYFUNCTION("""COMPUTED_VALUE"""),"Unk")</f>
        <v>Unk</v>
      </c>
      <c r="S50" s="2" t="str">
        <f ca="1">IFERROR(__xludf.DUMMYFUNCTION("""COMPUTED_VALUE"""),"100 (Estuary edge)")</f>
        <v>100 (Estuary edge)</v>
      </c>
      <c r="T50" s="2" t="str">
        <f ca="1">IFERROR(__xludf.DUMMYFUNCTION("""COMPUTED_VALUE"""),"Salt marsh")</f>
        <v>Salt marsh</v>
      </c>
      <c r="U50" s="2" t="str">
        <f ca="1">IFERROR(__xludf.DUMMYFUNCTION("""COMPUTED_VALUE"""),"Training day with Rhys, Hamish, Sheelagh, Julian - Bird North side of corse way (salt W) in salt marsh. Small waterway present at its location. Got up &amp; flew several 100m to freshwater side of reserve close to Pongakawa canal. Looked strong in flight, fec"&amp;"al matter when first took to flight.  ")</f>
        <v>Training day with Rhys, Hamish, Sheelagh, Julian - Bird North side of corse way (salt W) in salt marsh. Small waterway present at its location. Got up &amp; flew several 100m to freshwater side of reserve close to Pongakawa canal. Looked strong in flight, fecal matter when first took to flight.  </v>
      </c>
      <c r="V50" s="2" t="str">
        <f ca="1">IFERROR(__xludf.DUMMYFUNCTION("""COMPUTED_VALUE"""),"")</f>
        <v/>
      </c>
      <c r="W50" s="2" t="str">
        <f ca="1">IFERROR(__xludf.DUMMYFUNCTION("""COMPUTED_VALUE"""),"")</f>
        <v/>
      </c>
      <c r="X50" s="2" t="str">
        <f ca="1">IFERROR(__xludf.DUMMYFUNCTION("""COMPUTED_VALUE"""),"")</f>
        <v/>
      </c>
      <c r="Y50" s="2" t="str">
        <f ca="1">IFERROR(__xludf.DUMMYFUNCTION("""COMPUTED_VALUE"""),"")</f>
        <v/>
      </c>
      <c r="Z50" s="2" t="str">
        <f ca="1">IFERROR(__xludf.DUMMYFUNCTION("""COMPUTED_VALUE"""),"")</f>
        <v/>
      </c>
      <c r="AA50" s="2" t="str">
        <f ca="1">IFERROR(__xludf.DUMMYFUNCTION("""COMPUTED_VALUE"""),"")</f>
        <v/>
      </c>
      <c r="AB50" s="2" t="str">
        <f ca="1">IFERROR(__xludf.DUMMYFUNCTION("""COMPUTED_VALUE"""),"")</f>
        <v/>
      </c>
      <c r="AC50" s="2" t="str">
        <f ca="1">IFERROR(__xludf.DUMMYFUNCTION("""COMPUTED_VALUE"""),"")</f>
        <v/>
      </c>
      <c r="AD50" s="2" t="str">
        <f ca="1">IFERROR(__xludf.DUMMYFUNCTION("""COMPUTED_VALUE"""),"")</f>
        <v/>
      </c>
      <c r="AE50" s="2" t="str">
        <f ca="1">IFERROR(__xludf.DUMMYFUNCTION("""COMPUTED_VALUE"""),"")</f>
        <v/>
      </c>
      <c r="AF50" s="2" t="str">
        <f ca="1">IFERROR(__xludf.DUMMYFUNCTION("""COMPUTED_VALUE"""),"")</f>
        <v/>
      </c>
      <c r="AG50" s="2" t="str">
        <f ca="1">IFERROR(__xludf.DUMMYFUNCTION("""COMPUTED_VALUE"""),"")</f>
        <v/>
      </c>
      <c r="AH50" s="2" t="str">
        <f ca="1">IFERROR(__xludf.DUMMYFUNCTION("""COMPUTED_VALUE"""),"")</f>
        <v/>
      </c>
      <c r="AI50" s="2" t="str">
        <f ca="1">IFERROR(__xludf.DUMMYFUNCTION("""COMPUTED_VALUE"""),"")</f>
        <v/>
      </c>
      <c r="AJ50" s="2" t="str">
        <f ca="1">IFERROR(__xludf.DUMMYFUNCTION("""COMPUTED_VALUE"""),"")</f>
        <v/>
      </c>
      <c r="AK50" s="2" t="str">
        <f ca="1">IFERROR(__xludf.DUMMYFUNCTION("""COMPUTED_VALUE"""),"")</f>
        <v/>
      </c>
      <c r="AL50" s="2" t="str">
        <f ca="1">IFERROR(__xludf.DUMMYFUNCTION("""COMPUTED_VALUE"""),"")</f>
        <v/>
      </c>
      <c r="AM50" s="2" t="str">
        <f ca="1">IFERROR(__xludf.DUMMYFUNCTION("""COMPUTED_VALUE"""),"")</f>
        <v/>
      </c>
      <c r="AN50" s="2" t="str">
        <f ca="1">IFERROR(__xludf.DUMMYFUNCTION("""COMPUTED_VALUE"""),"")</f>
        <v/>
      </c>
      <c r="AO50" s="2" t="str">
        <f ca="1">IFERROR(__xludf.DUMMYFUNCTION("""COMPUTED_VALUE"""),"")</f>
        <v/>
      </c>
      <c r="AP50" s="2" t="str">
        <f ca="1">IFERROR(__xludf.DUMMYFUNCTION("""COMPUTED_VALUE"""),"")</f>
        <v/>
      </c>
      <c r="AQ50" s="2" t="str">
        <f ca="1">IFERROR(__xludf.DUMMYFUNCTION("""COMPUTED_VALUE"""),"")</f>
        <v/>
      </c>
      <c r="AR50" s="2" t="str">
        <f ca="1">IFERROR(__xludf.DUMMYFUNCTION("""COMPUTED_VALUE"""),"")</f>
        <v/>
      </c>
      <c r="AS50" s="2" t="str">
        <f ca="1">IFERROR(__xludf.DUMMYFUNCTION("""COMPUTED_VALUE"""),"")</f>
        <v/>
      </c>
      <c r="AT50" s="2" t="str">
        <f ca="1">IFERROR(__xludf.DUMMYFUNCTION("""COMPUTED_VALUE"""),"")</f>
        <v/>
      </c>
      <c r="AU50" s="2" t="str">
        <f ca="1">IFERROR(__xludf.DUMMYFUNCTION("""COMPUTED_VALUE"""),"")</f>
        <v/>
      </c>
      <c r="AV50" s="2" t="str">
        <f ca="1">IFERROR(__xludf.DUMMYFUNCTION("""COMPUTED_VALUE"""),"")</f>
        <v/>
      </c>
      <c r="AW50" s="2" t="str">
        <f ca="1">IFERROR(__xludf.DUMMYFUNCTION("""COMPUTED_VALUE"""),"")</f>
        <v/>
      </c>
      <c r="AX50" s="2" t="str">
        <f ca="1">IFERROR(__xludf.DUMMYFUNCTION("""COMPUTED_VALUE"""),"")</f>
        <v/>
      </c>
      <c r="AY50" s="2" t="str">
        <f ca="1">IFERROR(__xludf.DUMMYFUNCTION("""COMPUTED_VALUE"""),"")</f>
        <v/>
      </c>
      <c r="AZ50" s="2" t="str">
        <f ca="1">IFERROR(__xludf.DUMMYFUNCTION("""COMPUTED_VALUE"""),"")</f>
        <v/>
      </c>
      <c r="BA50" s="2" t="str">
        <f ca="1">IFERROR(__xludf.DUMMYFUNCTION("""COMPUTED_VALUE"""),"")</f>
        <v/>
      </c>
      <c r="BB50" s="2" t="str">
        <f ca="1">IFERROR(__xludf.DUMMYFUNCTION("""COMPUTED_VALUE"""),"")</f>
        <v/>
      </c>
      <c r="BC50" s="2" t="str">
        <f ca="1">IFERROR(__xludf.DUMMYFUNCTION("""COMPUTED_VALUE"""),"")</f>
        <v/>
      </c>
      <c r="BD50" s="2" t="str">
        <f ca="1">IFERROR(__xludf.DUMMYFUNCTION("""COMPUTED_VALUE"""),"")</f>
        <v/>
      </c>
      <c r="BE50" s="2" t="str">
        <f ca="1">IFERROR(__xludf.DUMMYFUNCTION("""COMPUTED_VALUE"""),"")</f>
        <v/>
      </c>
      <c r="BF50" t="str">
        <f ca="1">IFERROR(__xludf.DUMMYFUNCTION("""COMPUTED_VALUE"""),"")</f>
        <v/>
      </c>
      <c r="BG50" t="str">
        <f ca="1">IFERROR(__xludf.DUMMYFUNCTION("""COMPUTED_VALUE"""),"")</f>
        <v/>
      </c>
      <c r="BH50" t="str">
        <f ca="1">IFERROR(__xludf.DUMMYFUNCTION("""COMPUTED_VALUE"""),"")</f>
        <v/>
      </c>
      <c r="BI50" t="str">
        <f ca="1">IFERROR(__xludf.DUMMYFUNCTION("""COMPUTED_VALUE"""),"")</f>
        <v/>
      </c>
      <c r="BJ50" s="3" t="str">
        <f ca="1">IFERROR(__xludf.DUMMYFUNCTION("""COMPUTED_VALUE"""),"")</f>
        <v/>
      </c>
    </row>
    <row r="51" spans="1:62" ht="12.5" x14ac:dyDescent="0.25">
      <c r="A51" s="6">
        <f ca="1">IFERROR(__xludf.DUMMYFUNCTION("""COMPUTED_VALUE"""),43258.6193754166)</f>
        <v>43258.619375416602</v>
      </c>
      <c r="B51" s="2" t="str">
        <f ca="1">IFERROR(__xludf.DUMMYFUNCTION("""COMPUTED_VALUE"""),"Bay of Plenty")</f>
        <v>Bay of Plenty</v>
      </c>
      <c r="C51" s="2" t="str">
        <f ca="1">IFERROR(__xludf.DUMMYFUNCTION("""COMPUTED_VALUE"""),"Tx 36 - M-91429")</f>
        <v>Tx 36 - M-91429</v>
      </c>
      <c r="D51" s="10">
        <f ca="1">IFERROR(__xludf.DUMMYFUNCTION("""COMPUTED_VALUE"""),42618)</f>
        <v>42618</v>
      </c>
      <c r="E51" s="4">
        <f ca="1">IFERROR(__xludf.DUMMYFUNCTION("""COMPUTED_VALUE"""),0.681944444444525)</f>
        <v>0.68194444444452496</v>
      </c>
      <c r="F51" s="2" t="str">
        <f ca="1">IFERROR(__xludf.DUMMYFUNCTION("""COMPUTED_VALUE"""),"Private Waewaetutuki wetland")</f>
        <v>Private Waewaetutuki wetland</v>
      </c>
      <c r="G51" s="2" t="str">
        <f ca="1">IFERROR(__xludf.DUMMYFUNCTION("""COMPUTED_VALUE"""),"VHF (close approach): I followed the signal until I got within 50 m of the bird")</f>
        <v>VHF (close approach): I followed the signal until I got within 50 m of the bird</v>
      </c>
      <c r="H51" s="2" t="str">
        <f ca="1">IFERROR(__xludf.DUMMYFUNCTION("""COMPUTED_VALUE"""),"")</f>
        <v/>
      </c>
      <c r="I51" s="2" t="str">
        <f ca="1">IFERROR(__xludf.DUMMYFUNCTION("""COMPUTED_VALUE"""),"")</f>
        <v/>
      </c>
      <c r="J51" s="2" t="str">
        <f ca="1">IFERROR(__xludf.DUMMYFUNCTION("""COMPUTED_VALUE"""),"")</f>
        <v/>
      </c>
      <c r="K51" s="2" t="str">
        <f ca="1">IFERROR(__xludf.DUMMYFUNCTION("""COMPUTED_VALUE"""),"")</f>
        <v/>
      </c>
      <c r="L51" s="2" t="str">
        <f ca="1">IFERROR(__xludf.DUMMYFUNCTION("""COMPUTED_VALUE"""),"No - I got very close to the bird but it was well hidden in the vegetation")</f>
        <v>No - I got very close to the bird but it was well hidden in the vegetation</v>
      </c>
      <c r="M51" s="5">
        <f ca="1">IFERROR(__xludf.DUMMYFUNCTION("""COMPUTED_VALUE"""),1906172)</f>
        <v>1906172</v>
      </c>
      <c r="N51" s="5">
        <f ca="1">IFERROR(__xludf.DUMMYFUNCTION("""COMPUTED_VALUE"""),5813445)</f>
        <v>5813445</v>
      </c>
      <c r="O51" s="2" t="str">
        <f ca="1">IFERROR(__xludf.DUMMYFUNCTION("""COMPUTED_VALUE"""),"")</f>
        <v/>
      </c>
      <c r="P51" s="2" t="str">
        <f ca="1">IFERROR(__xludf.DUMMYFUNCTION("""COMPUTED_VALUE"""),"No")</f>
        <v>No</v>
      </c>
      <c r="Q51" s="2" t="str">
        <f ca="1">IFERROR(__xludf.DUMMYFUNCTION("""COMPUTED_VALUE"""),"Don't know")</f>
        <v>Don't know</v>
      </c>
      <c r="R51" s="2" t="str">
        <f ca="1">IFERROR(__xludf.DUMMYFUNCTION("""COMPUTED_VALUE"""),"Unk")</f>
        <v>Unk</v>
      </c>
      <c r="S51" s="2" t="str">
        <f ca="1">IFERROR(__xludf.DUMMYFUNCTION("""COMPUTED_VALUE"""),"Unk")</f>
        <v>Unk</v>
      </c>
      <c r="T51" s="2" t="str">
        <f ca="1">IFERROR(__xludf.DUMMYFUNCTION("""COMPUTED_VALUE"""),"Raupo?")</f>
        <v>Raupo?</v>
      </c>
      <c r="U51" s="2" t="str">
        <f ca="1">IFERROR(__xludf.DUMMYFUNCTION("""COMPUTED_VALUE"""),"Not an accurate fix: Compass bear 250* Magnetic from E1905799 N5812692 (hand held GPS) Bird on private property. Location estimated by EW using distance, bearing info from Karl. Topo map.")</f>
        <v>Not an accurate fix: Compass bear 250* Magnetic from E1905799 N5812692 (hand held GPS) Bird on private property. Location estimated by EW using distance, bearing info from Karl. Topo map.</v>
      </c>
      <c r="V51" s="2" t="str">
        <f ca="1">IFERROR(__xludf.DUMMYFUNCTION("""COMPUTED_VALUE"""),"")</f>
        <v/>
      </c>
      <c r="W51" s="2" t="str">
        <f ca="1">IFERROR(__xludf.DUMMYFUNCTION("""COMPUTED_VALUE"""),"")</f>
        <v/>
      </c>
      <c r="X51" s="2" t="str">
        <f ca="1">IFERROR(__xludf.DUMMYFUNCTION("""COMPUTED_VALUE"""),"")</f>
        <v/>
      </c>
      <c r="Y51" s="2" t="str">
        <f ca="1">IFERROR(__xludf.DUMMYFUNCTION("""COMPUTED_VALUE"""),"")</f>
        <v/>
      </c>
      <c r="Z51" s="2" t="str">
        <f ca="1">IFERROR(__xludf.DUMMYFUNCTION("""COMPUTED_VALUE"""),"")</f>
        <v/>
      </c>
      <c r="AA51" s="2" t="str">
        <f ca="1">IFERROR(__xludf.DUMMYFUNCTION("""COMPUTED_VALUE"""),"")</f>
        <v/>
      </c>
      <c r="AB51" s="2" t="str">
        <f ca="1">IFERROR(__xludf.DUMMYFUNCTION("""COMPUTED_VALUE"""),"")</f>
        <v/>
      </c>
      <c r="AC51" s="2" t="str">
        <f ca="1">IFERROR(__xludf.DUMMYFUNCTION("""COMPUTED_VALUE"""),"")</f>
        <v/>
      </c>
      <c r="AD51" s="2" t="str">
        <f ca="1">IFERROR(__xludf.DUMMYFUNCTION("""COMPUTED_VALUE"""),"")</f>
        <v/>
      </c>
      <c r="AE51" s="2" t="str">
        <f ca="1">IFERROR(__xludf.DUMMYFUNCTION("""COMPUTED_VALUE"""),"")</f>
        <v/>
      </c>
      <c r="AF51" s="2" t="str">
        <f ca="1">IFERROR(__xludf.DUMMYFUNCTION("""COMPUTED_VALUE"""),"")</f>
        <v/>
      </c>
      <c r="AG51" s="2" t="str">
        <f ca="1">IFERROR(__xludf.DUMMYFUNCTION("""COMPUTED_VALUE"""),"")</f>
        <v/>
      </c>
      <c r="AH51" s="2" t="str">
        <f ca="1">IFERROR(__xludf.DUMMYFUNCTION("""COMPUTED_VALUE"""),"")</f>
        <v/>
      </c>
      <c r="AI51" s="2" t="str">
        <f ca="1">IFERROR(__xludf.DUMMYFUNCTION("""COMPUTED_VALUE"""),"")</f>
        <v/>
      </c>
      <c r="AJ51" s="2" t="str">
        <f ca="1">IFERROR(__xludf.DUMMYFUNCTION("""COMPUTED_VALUE"""),"")</f>
        <v/>
      </c>
      <c r="AK51" s="2" t="str">
        <f ca="1">IFERROR(__xludf.DUMMYFUNCTION("""COMPUTED_VALUE"""),"")</f>
        <v/>
      </c>
      <c r="AL51" s="2" t="str">
        <f ca="1">IFERROR(__xludf.DUMMYFUNCTION("""COMPUTED_VALUE"""),"")</f>
        <v/>
      </c>
      <c r="AM51" s="2" t="str">
        <f ca="1">IFERROR(__xludf.DUMMYFUNCTION("""COMPUTED_VALUE"""),"")</f>
        <v/>
      </c>
      <c r="AN51" s="2" t="str">
        <f ca="1">IFERROR(__xludf.DUMMYFUNCTION("""COMPUTED_VALUE"""),"")</f>
        <v/>
      </c>
      <c r="AO51" s="2" t="str">
        <f ca="1">IFERROR(__xludf.DUMMYFUNCTION("""COMPUTED_VALUE"""),"")</f>
        <v/>
      </c>
      <c r="AP51" s="2" t="str">
        <f ca="1">IFERROR(__xludf.DUMMYFUNCTION("""COMPUTED_VALUE"""),"")</f>
        <v/>
      </c>
      <c r="AQ51" s="2" t="str">
        <f ca="1">IFERROR(__xludf.DUMMYFUNCTION("""COMPUTED_VALUE"""),"")</f>
        <v/>
      </c>
      <c r="AR51" s="2" t="str">
        <f ca="1">IFERROR(__xludf.DUMMYFUNCTION("""COMPUTED_VALUE"""),"")</f>
        <v/>
      </c>
      <c r="AS51" s="2" t="str">
        <f ca="1">IFERROR(__xludf.DUMMYFUNCTION("""COMPUTED_VALUE"""),"")</f>
        <v/>
      </c>
      <c r="AT51" s="2" t="str">
        <f ca="1">IFERROR(__xludf.DUMMYFUNCTION("""COMPUTED_VALUE"""),"")</f>
        <v/>
      </c>
      <c r="AU51" s="2" t="str">
        <f ca="1">IFERROR(__xludf.DUMMYFUNCTION("""COMPUTED_VALUE"""),"")</f>
        <v/>
      </c>
      <c r="AV51" s="2" t="str">
        <f ca="1">IFERROR(__xludf.DUMMYFUNCTION("""COMPUTED_VALUE"""),"")</f>
        <v/>
      </c>
      <c r="AW51" s="2" t="str">
        <f ca="1">IFERROR(__xludf.DUMMYFUNCTION("""COMPUTED_VALUE"""),"")</f>
        <v/>
      </c>
      <c r="AX51" s="2" t="str">
        <f ca="1">IFERROR(__xludf.DUMMYFUNCTION("""COMPUTED_VALUE"""),"")</f>
        <v/>
      </c>
      <c r="AY51" s="2" t="str">
        <f ca="1">IFERROR(__xludf.DUMMYFUNCTION("""COMPUTED_VALUE"""),"")</f>
        <v/>
      </c>
      <c r="AZ51" s="2" t="str">
        <f ca="1">IFERROR(__xludf.DUMMYFUNCTION("""COMPUTED_VALUE"""),"")</f>
        <v/>
      </c>
      <c r="BA51" s="2" t="str">
        <f ca="1">IFERROR(__xludf.DUMMYFUNCTION("""COMPUTED_VALUE"""),"")</f>
        <v/>
      </c>
      <c r="BB51" s="2" t="str">
        <f ca="1">IFERROR(__xludf.DUMMYFUNCTION("""COMPUTED_VALUE"""),"")</f>
        <v/>
      </c>
      <c r="BC51" s="2" t="str">
        <f ca="1">IFERROR(__xludf.DUMMYFUNCTION("""COMPUTED_VALUE"""),"")</f>
        <v/>
      </c>
      <c r="BD51" s="2" t="str">
        <f ca="1">IFERROR(__xludf.DUMMYFUNCTION("""COMPUTED_VALUE"""),"")</f>
        <v/>
      </c>
      <c r="BE51" s="2" t="str">
        <f ca="1">IFERROR(__xludf.DUMMYFUNCTION("""COMPUTED_VALUE"""),"")</f>
        <v/>
      </c>
      <c r="BF51" t="str">
        <f ca="1">IFERROR(__xludf.DUMMYFUNCTION("""COMPUTED_VALUE"""),"")</f>
        <v/>
      </c>
      <c r="BG51" t="str">
        <f ca="1">IFERROR(__xludf.DUMMYFUNCTION("""COMPUTED_VALUE"""),"")</f>
        <v/>
      </c>
      <c r="BH51" t="str">
        <f ca="1">IFERROR(__xludf.DUMMYFUNCTION("""COMPUTED_VALUE"""),"")</f>
        <v/>
      </c>
      <c r="BI51" t="str">
        <f ca="1">IFERROR(__xludf.DUMMYFUNCTION("""COMPUTED_VALUE"""),"")</f>
        <v/>
      </c>
      <c r="BJ51" s="3" t="str">
        <f ca="1">IFERROR(__xludf.DUMMYFUNCTION("""COMPUTED_VALUE"""),"")</f>
        <v/>
      </c>
    </row>
    <row r="52" spans="1:62" ht="12.5" x14ac:dyDescent="0.25">
      <c r="A52" s="6">
        <f ca="1">IFERROR(__xludf.DUMMYFUNCTION("""COMPUTED_VALUE"""),43258.6223134259)</f>
        <v>43258.622313425898</v>
      </c>
      <c r="B52" s="2" t="str">
        <f ca="1">IFERROR(__xludf.DUMMYFUNCTION("""COMPUTED_VALUE"""),"Bay of Plenty")</f>
        <v>Bay of Plenty</v>
      </c>
      <c r="C52" s="2" t="str">
        <f ca="1">IFERROR(__xludf.DUMMYFUNCTION("""COMPUTED_VALUE"""),"Tx 38 - Pearl")</f>
        <v>Tx 38 - Pearl</v>
      </c>
      <c r="D52" s="10">
        <f ca="1">IFERROR(__xludf.DUMMYFUNCTION("""COMPUTED_VALUE"""),42629)</f>
        <v>42629</v>
      </c>
      <c r="E52" s="4">
        <f ca="1">IFERROR(__xludf.DUMMYFUNCTION("""COMPUTED_VALUE"""),0)</f>
        <v>0</v>
      </c>
      <c r="F52" s="2" t="str">
        <f ca="1">IFERROR(__xludf.DUMMYFUNCTION("""COMPUTED_VALUE"""),"Farmland South of Little Waihi")</f>
        <v>Farmland South of Little Waihi</v>
      </c>
      <c r="G52" s="2" t="str">
        <f ca="1">IFERROR(__xludf.DUMMYFUNCTION("""COMPUTED_VALUE"""),"VHF (close approach): I followed the signal until I got within 50 m of the bird")</f>
        <v>VHF (close approach): I followed the signal until I got within 50 m of the bird</v>
      </c>
      <c r="H52" s="2" t="str">
        <f ca="1">IFERROR(__xludf.DUMMYFUNCTION("""COMPUTED_VALUE"""),"")</f>
        <v/>
      </c>
      <c r="I52" s="2" t="str">
        <f ca="1">IFERROR(__xludf.DUMMYFUNCTION("""COMPUTED_VALUE"""),"")</f>
        <v/>
      </c>
      <c r="J52" s="2" t="str">
        <f ca="1">IFERROR(__xludf.DUMMYFUNCTION("""COMPUTED_VALUE"""),"")</f>
        <v/>
      </c>
      <c r="K52" s="2" t="str">
        <f ca="1">IFERROR(__xludf.DUMMYFUNCTION("""COMPUTED_VALUE"""),"")</f>
        <v/>
      </c>
      <c r="L52" s="2" t="str">
        <f ca="1">IFERROR(__xludf.DUMMYFUNCTION("""COMPUTED_VALUE"""),"No - I got very close to the bird but it was well hidden in the vegetation")</f>
        <v>No - I got very close to the bird but it was well hidden in the vegetation</v>
      </c>
      <c r="M52" s="5">
        <f ca="1">IFERROR(__xludf.DUMMYFUNCTION("""COMPUTED_VALUE"""),1905830)</f>
        <v>1905830</v>
      </c>
      <c r="N52" s="5">
        <f ca="1">IFERROR(__xludf.DUMMYFUNCTION("""COMPUTED_VALUE"""),5811976)</f>
        <v>5811976</v>
      </c>
      <c r="O52" s="2" t="str">
        <f ca="1">IFERROR(__xludf.DUMMYFUNCTION("""COMPUTED_VALUE"""),"")</f>
        <v/>
      </c>
      <c r="P52" s="2" t="str">
        <f ca="1">IFERROR(__xludf.DUMMYFUNCTION("""COMPUTED_VALUE"""),"Don't know")</f>
        <v>Don't know</v>
      </c>
      <c r="Q52" s="2" t="str">
        <f ca="1">IFERROR(__xludf.DUMMYFUNCTION("""COMPUTED_VALUE"""),"Don't know")</f>
        <v>Don't know</v>
      </c>
      <c r="R52" s="2" t="str">
        <f ca="1">IFERROR(__xludf.DUMMYFUNCTION("""COMPUTED_VALUE"""),"Unk")</f>
        <v>Unk</v>
      </c>
      <c r="S52" s="2" t="str">
        <f ca="1">IFERROR(__xludf.DUMMYFUNCTION("""COMPUTED_VALUE"""),"Unk")</f>
        <v>Unk</v>
      </c>
      <c r="T52" s="2" t="str">
        <f ca="1">IFERROR(__xludf.DUMMYFUNCTION("""COMPUTED_VALUE"""),"Drainage Channel")</f>
        <v>Drainage Channel</v>
      </c>
      <c r="U52" s="2" t="str">
        <f ca="1">IFERROR(__xludf.DUMMYFUNCTION("""COMPUTED_VALUE"""),"Not an accurate fix. 38 has been in much the same area on 8th, 12th and 16th On western side of area immedatly behind Wauhi wetalnd")</f>
        <v>Not an accurate fix. 38 has been in much the same area on 8th, 12th and 16th On western side of area immedatly behind Wauhi wetalnd</v>
      </c>
      <c r="V52" s="2" t="str">
        <f ca="1">IFERROR(__xludf.DUMMYFUNCTION("""COMPUTED_VALUE"""),"")</f>
        <v/>
      </c>
      <c r="W52" s="2" t="str">
        <f ca="1">IFERROR(__xludf.DUMMYFUNCTION("""COMPUTED_VALUE"""),"")</f>
        <v/>
      </c>
      <c r="X52" s="2" t="str">
        <f ca="1">IFERROR(__xludf.DUMMYFUNCTION("""COMPUTED_VALUE"""),"")</f>
        <v/>
      </c>
      <c r="Y52" s="2" t="str">
        <f ca="1">IFERROR(__xludf.DUMMYFUNCTION("""COMPUTED_VALUE"""),"")</f>
        <v/>
      </c>
      <c r="Z52" s="2" t="str">
        <f ca="1">IFERROR(__xludf.DUMMYFUNCTION("""COMPUTED_VALUE"""),"")</f>
        <v/>
      </c>
      <c r="AA52" s="2" t="str">
        <f ca="1">IFERROR(__xludf.DUMMYFUNCTION("""COMPUTED_VALUE"""),"")</f>
        <v/>
      </c>
      <c r="AB52" s="2" t="str">
        <f ca="1">IFERROR(__xludf.DUMMYFUNCTION("""COMPUTED_VALUE"""),"")</f>
        <v/>
      </c>
      <c r="AC52" s="2" t="str">
        <f ca="1">IFERROR(__xludf.DUMMYFUNCTION("""COMPUTED_VALUE"""),"")</f>
        <v/>
      </c>
      <c r="AD52" s="2" t="str">
        <f ca="1">IFERROR(__xludf.DUMMYFUNCTION("""COMPUTED_VALUE"""),"")</f>
        <v/>
      </c>
      <c r="AE52" s="2" t="str">
        <f ca="1">IFERROR(__xludf.DUMMYFUNCTION("""COMPUTED_VALUE"""),"")</f>
        <v/>
      </c>
      <c r="AF52" s="2" t="str">
        <f ca="1">IFERROR(__xludf.DUMMYFUNCTION("""COMPUTED_VALUE"""),"")</f>
        <v/>
      </c>
      <c r="AG52" s="2" t="str">
        <f ca="1">IFERROR(__xludf.DUMMYFUNCTION("""COMPUTED_VALUE"""),"")</f>
        <v/>
      </c>
      <c r="AH52" s="2" t="str">
        <f ca="1">IFERROR(__xludf.DUMMYFUNCTION("""COMPUTED_VALUE"""),"")</f>
        <v/>
      </c>
      <c r="AI52" s="2" t="str">
        <f ca="1">IFERROR(__xludf.DUMMYFUNCTION("""COMPUTED_VALUE"""),"")</f>
        <v/>
      </c>
      <c r="AJ52" s="2" t="str">
        <f ca="1">IFERROR(__xludf.DUMMYFUNCTION("""COMPUTED_VALUE"""),"")</f>
        <v/>
      </c>
      <c r="AK52" s="2" t="str">
        <f ca="1">IFERROR(__xludf.DUMMYFUNCTION("""COMPUTED_VALUE"""),"")</f>
        <v/>
      </c>
      <c r="AL52" s="2" t="str">
        <f ca="1">IFERROR(__xludf.DUMMYFUNCTION("""COMPUTED_VALUE"""),"")</f>
        <v/>
      </c>
      <c r="AM52" s="2" t="str">
        <f ca="1">IFERROR(__xludf.DUMMYFUNCTION("""COMPUTED_VALUE"""),"")</f>
        <v/>
      </c>
      <c r="AN52" s="2" t="str">
        <f ca="1">IFERROR(__xludf.DUMMYFUNCTION("""COMPUTED_VALUE"""),"")</f>
        <v/>
      </c>
      <c r="AO52" s="2" t="str">
        <f ca="1">IFERROR(__xludf.DUMMYFUNCTION("""COMPUTED_VALUE"""),"")</f>
        <v/>
      </c>
      <c r="AP52" s="2" t="str">
        <f ca="1">IFERROR(__xludf.DUMMYFUNCTION("""COMPUTED_VALUE"""),"")</f>
        <v/>
      </c>
      <c r="AQ52" s="2" t="str">
        <f ca="1">IFERROR(__xludf.DUMMYFUNCTION("""COMPUTED_VALUE"""),"")</f>
        <v/>
      </c>
      <c r="AR52" s="2" t="str">
        <f ca="1">IFERROR(__xludf.DUMMYFUNCTION("""COMPUTED_VALUE"""),"")</f>
        <v/>
      </c>
      <c r="AS52" s="2" t="str">
        <f ca="1">IFERROR(__xludf.DUMMYFUNCTION("""COMPUTED_VALUE"""),"")</f>
        <v/>
      </c>
      <c r="AT52" s="2" t="str">
        <f ca="1">IFERROR(__xludf.DUMMYFUNCTION("""COMPUTED_VALUE"""),"")</f>
        <v/>
      </c>
      <c r="AU52" s="2" t="str">
        <f ca="1">IFERROR(__xludf.DUMMYFUNCTION("""COMPUTED_VALUE"""),"")</f>
        <v/>
      </c>
      <c r="AV52" s="2" t="str">
        <f ca="1">IFERROR(__xludf.DUMMYFUNCTION("""COMPUTED_VALUE"""),"")</f>
        <v/>
      </c>
      <c r="AW52" s="2" t="str">
        <f ca="1">IFERROR(__xludf.DUMMYFUNCTION("""COMPUTED_VALUE"""),"")</f>
        <v/>
      </c>
      <c r="AX52" s="2" t="str">
        <f ca="1">IFERROR(__xludf.DUMMYFUNCTION("""COMPUTED_VALUE"""),"")</f>
        <v/>
      </c>
      <c r="AY52" s="2" t="str">
        <f ca="1">IFERROR(__xludf.DUMMYFUNCTION("""COMPUTED_VALUE"""),"")</f>
        <v/>
      </c>
      <c r="AZ52" s="2" t="str">
        <f ca="1">IFERROR(__xludf.DUMMYFUNCTION("""COMPUTED_VALUE"""),"")</f>
        <v/>
      </c>
      <c r="BA52" s="2" t="str">
        <f ca="1">IFERROR(__xludf.DUMMYFUNCTION("""COMPUTED_VALUE"""),"")</f>
        <v/>
      </c>
      <c r="BB52" s="2" t="str">
        <f ca="1">IFERROR(__xludf.DUMMYFUNCTION("""COMPUTED_VALUE"""),"")</f>
        <v/>
      </c>
      <c r="BC52" s="2" t="str">
        <f ca="1">IFERROR(__xludf.DUMMYFUNCTION("""COMPUTED_VALUE"""),"")</f>
        <v/>
      </c>
      <c r="BD52" s="2" t="str">
        <f ca="1">IFERROR(__xludf.DUMMYFUNCTION("""COMPUTED_VALUE"""),"")</f>
        <v/>
      </c>
      <c r="BE52" s="2" t="str">
        <f ca="1">IFERROR(__xludf.DUMMYFUNCTION("""COMPUTED_VALUE"""),"")</f>
        <v/>
      </c>
      <c r="BF52" t="str">
        <f ca="1">IFERROR(__xludf.DUMMYFUNCTION("""COMPUTED_VALUE"""),"")</f>
        <v/>
      </c>
      <c r="BG52" t="str">
        <f ca="1">IFERROR(__xludf.DUMMYFUNCTION("""COMPUTED_VALUE"""),"")</f>
        <v/>
      </c>
      <c r="BH52" t="str">
        <f ca="1">IFERROR(__xludf.DUMMYFUNCTION("""COMPUTED_VALUE"""),"")</f>
        <v/>
      </c>
      <c r="BI52" t="str">
        <f ca="1">IFERROR(__xludf.DUMMYFUNCTION("""COMPUTED_VALUE"""),"")</f>
        <v/>
      </c>
      <c r="BJ52" s="3" t="str">
        <f ca="1">IFERROR(__xludf.DUMMYFUNCTION("""COMPUTED_VALUE"""),"")</f>
        <v/>
      </c>
    </row>
    <row r="53" spans="1:62" ht="12.5" x14ac:dyDescent="0.25">
      <c r="A53" s="6">
        <f ca="1">IFERROR(__xludf.DUMMYFUNCTION("""COMPUTED_VALUE"""),43258.6268896064)</f>
        <v>43258.626889606399</v>
      </c>
      <c r="B53" s="2" t="str">
        <f ca="1">IFERROR(__xludf.DUMMYFUNCTION("""COMPUTED_VALUE"""),"Bay of Plenty")</f>
        <v>Bay of Plenty</v>
      </c>
      <c r="C53" s="2" t="str">
        <f ca="1">IFERROR(__xludf.DUMMYFUNCTION("""COMPUTED_VALUE"""),"Tx 38 - Pearl")</f>
        <v>Tx 38 - Pearl</v>
      </c>
      <c r="D53" s="10">
        <f ca="1">IFERROR(__xludf.DUMMYFUNCTION("""COMPUTED_VALUE"""),42625)</f>
        <v>42625</v>
      </c>
      <c r="E53" s="4">
        <f ca="1">IFERROR(__xludf.DUMMYFUNCTION("""COMPUTED_VALUE"""),0)</f>
        <v>0</v>
      </c>
      <c r="F53" s="2" t="str">
        <f ca="1">IFERROR(__xludf.DUMMYFUNCTION("""COMPUTED_VALUE"""),"Farmland South of Little Waihi")</f>
        <v>Farmland South of Little Waihi</v>
      </c>
      <c r="G53" s="2" t="str">
        <f ca="1">IFERROR(__xludf.DUMMYFUNCTION("""COMPUTED_VALUE"""),"VHF (close approach): I followed the signal until I got within 50 m of the bird")</f>
        <v>VHF (close approach): I followed the signal until I got within 50 m of the bird</v>
      </c>
      <c r="H53" s="2" t="str">
        <f ca="1">IFERROR(__xludf.DUMMYFUNCTION("""COMPUTED_VALUE"""),"")</f>
        <v/>
      </c>
      <c r="I53" s="2" t="str">
        <f ca="1">IFERROR(__xludf.DUMMYFUNCTION("""COMPUTED_VALUE"""),"")</f>
        <v/>
      </c>
      <c r="J53" s="2" t="str">
        <f ca="1">IFERROR(__xludf.DUMMYFUNCTION("""COMPUTED_VALUE"""),"")</f>
        <v/>
      </c>
      <c r="K53" s="2" t="str">
        <f ca="1">IFERROR(__xludf.DUMMYFUNCTION("""COMPUTED_VALUE"""),"")</f>
        <v/>
      </c>
      <c r="L53" s="2" t="str">
        <f ca="1">IFERROR(__xludf.DUMMYFUNCTION("""COMPUTED_VALUE"""),"No - I got very close to the bird but it was well hidden in the vegetation")</f>
        <v>No - I got very close to the bird but it was well hidden in the vegetation</v>
      </c>
      <c r="M53" s="5">
        <f ca="1">IFERROR(__xludf.DUMMYFUNCTION("""COMPUTED_VALUE"""),1905721)</f>
        <v>1905721</v>
      </c>
      <c r="N53" s="5">
        <f ca="1">IFERROR(__xludf.DUMMYFUNCTION("""COMPUTED_VALUE"""),5812195)</f>
        <v>5812195</v>
      </c>
      <c r="O53" s="2" t="str">
        <f ca="1">IFERROR(__xludf.DUMMYFUNCTION("""COMPUTED_VALUE"""),"")</f>
        <v/>
      </c>
      <c r="P53" s="2" t="str">
        <f ca="1">IFERROR(__xludf.DUMMYFUNCTION("""COMPUTED_VALUE"""),"Don't know")</f>
        <v>Don't know</v>
      </c>
      <c r="Q53" s="2" t="str">
        <f ca="1">IFERROR(__xludf.DUMMYFUNCTION("""COMPUTED_VALUE"""),"Don't know")</f>
        <v>Don't know</v>
      </c>
      <c r="R53" s="2" t="str">
        <f ca="1">IFERROR(__xludf.DUMMYFUNCTION("""COMPUTED_VALUE"""),"Unk")</f>
        <v>Unk</v>
      </c>
      <c r="S53" s="2" t="str">
        <f ca="1">IFERROR(__xludf.DUMMYFUNCTION("""COMPUTED_VALUE"""),"Unk")</f>
        <v>Unk</v>
      </c>
      <c r="T53" s="2" t="str">
        <f ca="1">IFERROR(__xludf.DUMMYFUNCTION("""COMPUTED_VALUE"""),"Drainage Channel")</f>
        <v>Drainage Channel</v>
      </c>
      <c r="U53" s="2" t="str">
        <f ca="1">IFERROR(__xludf.DUMMYFUNCTION("""COMPUTED_VALUE"""),"Not an accurate fix. 38 has been in much the same area on 8th, 12th and 16th On western side of area immedatly behind Wauhi wetalnd")</f>
        <v>Not an accurate fix. 38 has been in much the same area on 8th, 12th and 16th On western side of area immedatly behind Wauhi wetalnd</v>
      </c>
      <c r="V53" s="2" t="str">
        <f ca="1">IFERROR(__xludf.DUMMYFUNCTION("""COMPUTED_VALUE"""),"")</f>
        <v/>
      </c>
      <c r="W53" s="2" t="str">
        <f ca="1">IFERROR(__xludf.DUMMYFUNCTION("""COMPUTED_VALUE"""),"")</f>
        <v/>
      </c>
      <c r="X53" s="2" t="str">
        <f ca="1">IFERROR(__xludf.DUMMYFUNCTION("""COMPUTED_VALUE"""),"")</f>
        <v/>
      </c>
      <c r="Y53" s="2" t="str">
        <f ca="1">IFERROR(__xludf.DUMMYFUNCTION("""COMPUTED_VALUE"""),"")</f>
        <v/>
      </c>
      <c r="Z53" s="2" t="str">
        <f ca="1">IFERROR(__xludf.DUMMYFUNCTION("""COMPUTED_VALUE"""),"")</f>
        <v/>
      </c>
      <c r="AA53" s="2" t="str">
        <f ca="1">IFERROR(__xludf.DUMMYFUNCTION("""COMPUTED_VALUE"""),"")</f>
        <v/>
      </c>
      <c r="AB53" s="2" t="str">
        <f ca="1">IFERROR(__xludf.DUMMYFUNCTION("""COMPUTED_VALUE"""),"")</f>
        <v/>
      </c>
      <c r="AC53" s="2" t="str">
        <f ca="1">IFERROR(__xludf.DUMMYFUNCTION("""COMPUTED_VALUE"""),"")</f>
        <v/>
      </c>
      <c r="AD53" s="2" t="str">
        <f ca="1">IFERROR(__xludf.DUMMYFUNCTION("""COMPUTED_VALUE"""),"")</f>
        <v/>
      </c>
      <c r="AE53" s="2" t="str">
        <f ca="1">IFERROR(__xludf.DUMMYFUNCTION("""COMPUTED_VALUE"""),"")</f>
        <v/>
      </c>
      <c r="AF53" s="2" t="str">
        <f ca="1">IFERROR(__xludf.DUMMYFUNCTION("""COMPUTED_VALUE"""),"")</f>
        <v/>
      </c>
      <c r="AG53" s="2" t="str">
        <f ca="1">IFERROR(__xludf.DUMMYFUNCTION("""COMPUTED_VALUE"""),"")</f>
        <v/>
      </c>
      <c r="AH53" s="2" t="str">
        <f ca="1">IFERROR(__xludf.DUMMYFUNCTION("""COMPUTED_VALUE"""),"")</f>
        <v/>
      </c>
      <c r="AI53" s="2" t="str">
        <f ca="1">IFERROR(__xludf.DUMMYFUNCTION("""COMPUTED_VALUE"""),"")</f>
        <v/>
      </c>
      <c r="AJ53" s="2" t="str">
        <f ca="1">IFERROR(__xludf.DUMMYFUNCTION("""COMPUTED_VALUE"""),"")</f>
        <v/>
      </c>
      <c r="AK53" s="2" t="str">
        <f ca="1">IFERROR(__xludf.DUMMYFUNCTION("""COMPUTED_VALUE"""),"")</f>
        <v/>
      </c>
      <c r="AL53" s="2" t="str">
        <f ca="1">IFERROR(__xludf.DUMMYFUNCTION("""COMPUTED_VALUE"""),"")</f>
        <v/>
      </c>
      <c r="AM53" s="2" t="str">
        <f ca="1">IFERROR(__xludf.DUMMYFUNCTION("""COMPUTED_VALUE"""),"")</f>
        <v/>
      </c>
      <c r="AN53" s="2" t="str">
        <f ca="1">IFERROR(__xludf.DUMMYFUNCTION("""COMPUTED_VALUE"""),"")</f>
        <v/>
      </c>
      <c r="AO53" s="2" t="str">
        <f ca="1">IFERROR(__xludf.DUMMYFUNCTION("""COMPUTED_VALUE"""),"")</f>
        <v/>
      </c>
      <c r="AP53" s="2" t="str">
        <f ca="1">IFERROR(__xludf.DUMMYFUNCTION("""COMPUTED_VALUE"""),"")</f>
        <v/>
      </c>
      <c r="AQ53" s="2" t="str">
        <f ca="1">IFERROR(__xludf.DUMMYFUNCTION("""COMPUTED_VALUE"""),"")</f>
        <v/>
      </c>
      <c r="AR53" s="2" t="str">
        <f ca="1">IFERROR(__xludf.DUMMYFUNCTION("""COMPUTED_VALUE"""),"")</f>
        <v/>
      </c>
      <c r="AS53" s="2" t="str">
        <f ca="1">IFERROR(__xludf.DUMMYFUNCTION("""COMPUTED_VALUE"""),"")</f>
        <v/>
      </c>
      <c r="AT53" s="2" t="str">
        <f ca="1">IFERROR(__xludf.DUMMYFUNCTION("""COMPUTED_VALUE"""),"")</f>
        <v/>
      </c>
      <c r="AU53" s="2" t="str">
        <f ca="1">IFERROR(__xludf.DUMMYFUNCTION("""COMPUTED_VALUE"""),"")</f>
        <v/>
      </c>
      <c r="AV53" s="2" t="str">
        <f ca="1">IFERROR(__xludf.DUMMYFUNCTION("""COMPUTED_VALUE"""),"")</f>
        <v/>
      </c>
      <c r="AW53" s="2" t="str">
        <f ca="1">IFERROR(__xludf.DUMMYFUNCTION("""COMPUTED_VALUE"""),"")</f>
        <v/>
      </c>
      <c r="AX53" s="2" t="str">
        <f ca="1">IFERROR(__xludf.DUMMYFUNCTION("""COMPUTED_VALUE"""),"")</f>
        <v/>
      </c>
      <c r="AY53" s="2" t="str">
        <f ca="1">IFERROR(__xludf.DUMMYFUNCTION("""COMPUTED_VALUE"""),"")</f>
        <v/>
      </c>
      <c r="AZ53" s="2" t="str">
        <f ca="1">IFERROR(__xludf.DUMMYFUNCTION("""COMPUTED_VALUE"""),"")</f>
        <v/>
      </c>
      <c r="BA53" s="2" t="str">
        <f ca="1">IFERROR(__xludf.DUMMYFUNCTION("""COMPUTED_VALUE"""),"")</f>
        <v/>
      </c>
      <c r="BB53" s="2" t="str">
        <f ca="1">IFERROR(__xludf.DUMMYFUNCTION("""COMPUTED_VALUE"""),"")</f>
        <v/>
      </c>
      <c r="BC53" s="2" t="str">
        <f ca="1">IFERROR(__xludf.DUMMYFUNCTION("""COMPUTED_VALUE"""),"")</f>
        <v/>
      </c>
      <c r="BD53" s="2" t="str">
        <f ca="1">IFERROR(__xludf.DUMMYFUNCTION("""COMPUTED_VALUE"""),"")</f>
        <v/>
      </c>
      <c r="BE53" s="2" t="str">
        <f ca="1">IFERROR(__xludf.DUMMYFUNCTION("""COMPUTED_VALUE"""),"")</f>
        <v/>
      </c>
      <c r="BF53" t="str">
        <f ca="1">IFERROR(__xludf.DUMMYFUNCTION("""COMPUTED_VALUE"""),"")</f>
        <v/>
      </c>
      <c r="BG53" t="str">
        <f ca="1">IFERROR(__xludf.DUMMYFUNCTION("""COMPUTED_VALUE"""),"")</f>
        <v/>
      </c>
      <c r="BH53" t="str">
        <f ca="1">IFERROR(__xludf.DUMMYFUNCTION("""COMPUTED_VALUE"""),"")</f>
        <v/>
      </c>
      <c r="BI53" t="str">
        <f ca="1">IFERROR(__xludf.DUMMYFUNCTION("""COMPUTED_VALUE"""),"")</f>
        <v/>
      </c>
      <c r="BJ53" s="3" t="str">
        <f ca="1">IFERROR(__xludf.DUMMYFUNCTION("""COMPUTED_VALUE"""),"")</f>
        <v/>
      </c>
    </row>
    <row r="54" spans="1:62" ht="12.5" x14ac:dyDescent="0.25">
      <c r="A54" s="6">
        <f ca="1">IFERROR(__xludf.DUMMYFUNCTION("""COMPUTED_VALUE"""),43258.6286067129)</f>
        <v>43258.628606712897</v>
      </c>
      <c r="B54" s="2" t="str">
        <f ca="1">IFERROR(__xludf.DUMMYFUNCTION("""COMPUTED_VALUE"""),"Bay of Plenty")</f>
        <v>Bay of Plenty</v>
      </c>
      <c r="C54" s="2" t="str">
        <f ca="1">IFERROR(__xludf.DUMMYFUNCTION("""COMPUTED_VALUE"""),"Tx 38 - Pearl")</f>
        <v>Tx 38 - Pearl</v>
      </c>
      <c r="D54" s="10">
        <f ca="1">IFERROR(__xludf.DUMMYFUNCTION("""COMPUTED_VALUE"""),42621)</f>
        <v>42621</v>
      </c>
      <c r="E54" s="4">
        <f ca="1">IFERROR(__xludf.DUMMYFUNCTION("""COMPUTED_VALUE"""),0)</f>
        <v>0</v>
      </c>
      <c r="F54" s="2" t="str">
        <f ca="1">IFERROR(__xludf.DUMMYFUNCTION("""COMPUTED_VALUE"""),"Farmland South of Little Waihi")</f>
        <v>Farmland South of Little Waihi</v>
      </c>
      <c r="G54" s="2" t="str">
        <f ca="1">IFERROR(__xludf.DUMMYFUNCTION("""COMPUTED_VALUE"""),"VHF (close approach): I followed the signal until I got within 50 m of the bird")</f>
        <v>VHF (close approach): I followed the signal until I got within 50 m of the bird</v>
      </c>
      <c r="H54" s="2" t="str">
        <f ca="1">IFERROR(__xludf.DUMMYFUNCTION("""COMPUTED_VALUE"""),"")</f>
        <v/>
      </c>
      <c r="I54" s="2" t="str">
        <f ca="1">IFERROR(__xludf.DUMMYFUNCTION("""COMPUTED_VALUE"""),"")</f>
        <v/>
      </c>
      <c r="J54" s="2" t="str">
        <f ca="1">IFERROR(__xludf.DUMMYFUNCTION("""COMPUTED_VALUE"""),"")</f>
        <v/>
      </c>
      <c r="K54" s="2" t="str">
        <f ca="1">IFERROR(__xludf.DUMMYFUNCTION("""COMPUTED_VALUE"""),"")</f>
        <v/>
      </c>
      <c r="L54" s="2" t="str">
        <f ca="1">IFERROR(__xludf.DUMMYFUNCTION("""COMPUTED_VALUE"""),"No - I got very close to the bird but it was well hidden in the vegetation")</f>
        <v>No - I got very close to the bird but it was well hidden in the vegetation</v>
      </c>
      <c r="M54" s="5">
        <f ca="1">IFERROR(__xludf.DUMMYFUNCTION("""COMPUTED_VALUE"""),1906073)</f>
        <v>1906073</v>
      </c>
      <c r="N54" s="5">
        <f ca="1">IFERROR(__xludf.DUMMYFUNCTION("""COMPUTED_VALUE"""),5812597)</f>
        <v>5812597</v>
      </c>
      <c r="O54" s="2" t="str">
        <f ca="1">IFERROR(__xludf.DUMMYFUNCTION("""COMPUTED_VALUE"""),"")</f>
        <v/>
      </c>
      <c r="P54" s="2" t="str">
        <f ca="1">IFERROR(__xludf.DUMMYFUNCTION("""COMPUTED_VALUE"""),"Don't know")</f>
        <v>Don't know</v>
      </c>
      <c r="Q54" s="2" t="str">
        <f ca="1">IFERROR(__xludf.DUMMYFUNCTION("""COMPUTED_VALUE"""),"Don't know")</f>
        <v>Don't know</v>
      </c>
      <c r="R54" s="2" t="str">
        <f ca="1">IFERROR(__xludf.DUMMYFUNCTION("""COMPUTED_VALUE"""),"Unk")</f>
        <v>Unk</v>
      </c>
      <c r="S54" s="2" t="str">
        <f ca="1">IFERROR(__xludf.DUMMYFUNCTION("""COMPUTED_VALUE"""),"Unk")</f>
        <v>Unk</v>
      </c>
      <c r="T54" s="2" t="str">
        <f ca="1">IFERROR(__xludf.DUMMYFUNCTION("""COMPUTED_VALUE"""),"Drainage Channel")</f>
        <v>Drainage Channel</v>
      </c>
      <c r="U54" s="2" t="str">
        <f ca="1">IFERROR(__xludf.DUMMYFUNCTION("""COMPUTED_VALUE"""),"Not an accurate fix. 38 has been in much the same area on 8th, 12th and 16th On western side of area immedatly behind Wauhi wetalnd")</f>
        <v>Not an accurate fix. 38 has been in much the same area on 8th, 12th and 16th On western side of area immedatly behind Wauhi wetalnd</v>
      </c>
      <c r="V54" s="2" t="str">
        <f ca="1">IFERROR(__xludf.DUMMYFUNCTION("""COMPUTED_VALUE"""),"")</f>
        <v/>
      </c>
      <c r="W54" s="2" t="str">
        <f ca="1">IFERROR(__xludf.DUMMYFUNCTION("""COMPUTED_VALUE"""),"")</f>
        <v/>
      </c>
      <c r="X54" s="2" t="str">
        <f ca="1">IFERROR(__xludf.DUMMYFUNCTION("""COMPUTED_VALUE"""),"")</f>
        <v/>
      </c>
      <c r="Y54" s="2" t="str">
        <f ca="1">IFERROR(__xludf.DUMMYFUNCTION("""COMPUTED_VALUE"""),"")</f>
        <v/>
      </c>
      <c r="Z54" s="2" t="str">
        <f ca="1">IFERROR(__xludf.DUMMYFUNCTION("""COMPUTED_VALUE"""),"")</f>
        <v/>
      </c>
      <c r="AA54" s="2" t="str">
        <f ca="1">IFERROR(__xludf.DUMMYFUNCTION("""COMPUTED_VALUE"""),"")</f>
        <v/>
      </c>
      <c r="AB54" s="2" t="str">
        <f ca="1">IFERROR(__xludf.DUMMYFUNCTION("""COMPUTED_VALUE"""),"")</f>
        <v/>
      </c>
      <c r="AC54" s="2" t="str">
        <f ca="1">IFERROR(__xludf.DUMMYFUNCTION("""COMPUTED_VALUE"""),"")</f>
        <v/>
      </c>
      <c r="AD54" s="2" t="str">
        <f ca="1">IFERROR(__xludf.DUMMYFUNCTION("""COMPUTED_VALUE"""),"")</f>
        <v/>
      </c>
      <c r="AE54" s="2" t="str">
        <f ca="1">IFERROR(__xludf.DUMMYFUNCTION("""COMPUTED_VALUE"""),"")</f>
        <v/>
      </c>
      <c r="AF54" s="2" t="str">
        <f ca="1">IFERROR(__xludf.DUMMYFUNCTION("""COMPUTED_VALUE"""),"")</f>
        <v/>
      </c>
      <c r="AG54" s="2" t="str">
        <f ca="1">IFERROR(__xludf.DUMMYFUNCTION("""COMPUTED_VALUE"""),"")</f>
        <v/>
      </c>
      <c r="AH54" s="2" t="str">
        <f ca="1">IFERROR(__xludf.DUMMYFUNCTION("""COMPUTED_VALUE"""),"")</f>
        <v/>
      </c>
      <c r="AI54" s="2" t="str">
        <f ca="1">IFERROR(__xludf.DUMMYFUNCTION("""COMPUTED_VALUE"""),"")</f>
        <v/>
      </c>
      <c r="AJ54" s="2" t="str">
        <f ca="1">IFERROR(__xludf.DUMMYFUNCTION("""COMPUTED_VALUE"""),"")</f>
        <v/>
      </c>
      <c r="AK54" s="2" t="str">
        <f ca="1">IFERROR(__xludf.DUMMYFUNCTION("""COMPUTED_VALUE"""),"")</f>
        <v/>
      </c>
      <c r="AL54" s="2" t="str">
        <f ca="1">IFERROR(__xludf.DUMMYFUNCTION("""COMPUTED_VALUE"""),"")</f>
        <v/>
      </c>
      <c r="AM54" s="2" t="str">
        <f ca="1">IFERROR(__xludf.DUMMYFUNCTION("""COMPUTED_VALUE"""),"")</f>
        <v/>
      </c>
      <c r="AN54" s="2" t="str">
        <f ca="1">IFERROR(__xludf.DUMMYFUNCTION("""COMPUTED_VALUE"""),"")</f>
        <v/>
      </c>
      <c r="AO54" s="2" t="str">
        <f ca="1">IFERROR(__xludf.DUMMYFUNCTION("""COMPUTED_VALUE"""),"")</f>
        <v/>
      </c>
      <c r="AP54" s="2" t="str">
        <f ca="1">IFERROR(__xludf.DUMMYFUNCTION("""COMPUTED_VALUE"""),"")</f>
        <v/>
      </c>
      <c r="AQ54" s="2" t="str">
        <f ca="1">IFERROR(__xludf.DUMMYFUNCTION("""COMPUTED_VALUE"""),"")</f>
        <v/>
      </c>
      <c r="AR54" s="2" t="str">
        <f ca="1">IFERROR(__xludf.DUMMYFUNCTION("""COMPUTED_VALUE"""),"")</f>
        <v/>
      </c>
      <c r="AS54" s="2" t="str">
        <f ca="1">IFERROR(__xludf.DUMMYFUNCTION("""COMPUTED_VALUE"""),"")</f>
        <v/>
      </c>
      <c r="AT54" s="2" t="str">
        <f ca="1">IFERROR(__xludf.DUMMYFUNCTION("""COMPUTED_VALUE"""),"")</f>
        <v/>
      </c>
      <c r="AU54" s="2" t="str">
        <f ca="1">IFERROR(__xludf.DUMMYFUNCTION("""COMPUTED_VALUE"""),"")</f>
        <v/>
      </c>
      <c r="AV54" s="2" t="str">
        <f ca="1">IFERROR(__xludf.DUMMYFUNCTION("""COMPUTED_VALUE"""),"")</f>
        <v/>
      </c>
      <c r="AW54" s="2" t="str">
        <f ca="1">IFERROR(__xludf.DUMMYFUNCTION("""COMPUTED_VALUE"""),"")</f>
        <v/>
      </c>
      <c r="AX54" s="2" t="str">
        <f ca="1">IFERROR(__xludf.DUMMYFUNCTION("""COMPUTED_VALUE"""),"")</f>
        <v/>
      </c>
      <c r="AY54" s="2" t="str">
        <f ca="1">IFERROR(__xludf.DUMMYFUNCTION("""COMPUTED_VALUE"""),"")</f>
        <v/>
      </c>
      <c r="AZ54" s="2" t="str">
        <f ca="1">IFERROR(__xludf.DUMMYFUNCTION("""COMPUTED_VALUE"""),"")</f>
        <v/>
      </c>
      <c r="BA54" s="2" t="str">
        <f ca="1">IFERROR(__xludf.DUMMYFUNCTION("""COMPUTED_VALUE"""),"")</f>
        <v/>
      </c>
      <c r="BB54" s="2" t="str">
        <f ca="1">IFERROR(__xludf.DUMMYFUNCTION("""COMPUTED_VALUE"""),"")</f>
        <v/>
      </c>
      <c r="BC54" s="2" t="str">
        <f ca="1">IFERROR(__xludf.DUMMYFUNCTION("""COMPUTED_VALUE"""),"")</f>
        <v/>
      </c>
      <c r="BD54" s="2" t="str">
        <f ca="1">IFERROR(__xludf.DUMMYFUNCTION("""COMPUTED_VALUE"""),"")</f>
        <v/>
      </c>
      <c r="BE54" s="2" t="str">
        <f ca="1">IFERROR(__xludf.DUMMYFUNCTION("""COMPUTED_VALUE"""),"")</f>
        <v/>
      </c>
      <c r="BF54" t="str">
        <f ca="1">IFERROR(__xludf.DUMMYFUNCTION("""COMPUTED_VALUE"""),"")</f>
        <v/>
      </c>
      <c r="BG54" t="str">
        <f ca="1">IFERROR(__xludf.DUMMYFUNCTION("""COMPUTED_VALUE"""),"")</f>
        <v/>
      </c>
      <c r="BH54" t="str">
        <f ca="1">IFERROR(__xludf.DUMMYFUNCTION("""COMPUTED_VALUE"""),"")</f>
        <v/>
      </c>
      <c r="BI54" t="str">
        <f ca="1">IFERROR(__xludf.DUMMYFUNCTION("""COMPUTED_VALUE"""),"")</f>
        <v/>
      </c>
      <c r="BJ54" s="3" t="str">
        <f ca="1">IFERROR(__xludf.DUMMYFUNCTION("""COMPUTED_VALUE"""),"")</f>
        <v/>
      </c>
    </row>
    <row r="55" spans="1:62" ht="12.5" x14ac:dyDescent="0.25">
      <c r="A55" s="6">
        <f ca="1">IFERROR(__xludf.DUMMYFUNCTION("""COMPUTED_VALUE"""),43258.6309302083)</f>
        <v>43258.630930208303</v>
      </c>
      <c r="B55" s="2" t="str">
        <f ca="1">IFERROR(__xludf.DUMMYFUNCTION("""COMPUTED_VALUE"""),"Bay of Plenty")</f>
        <v>Bay of Plenty</v>
      </c>
      <c r="C55" s="2" t="str">
        <f ca="1">IFERROR(__xludf.DUMMYFUNCTION("""COMPUTED_VALUE"""),"Tx 36 - M-91429")</f>
        <v>Tx 36 - M-91429</v>
      </c>
      <c r="D55" s="10">
        <f ca="1">IFERROR(__xludf.DUMMYFUNCTION("""COMPUTED_VALUE"""),42629)</f>
        <v>42629</v>
      </c>
      <c r="E55" s="4">
        <f ca="1">IFERROR(__xludf.DUMMYFUNCTION("""COMPUTED_VALUE"""),0)</f>
        <v>0</v>
      </c>
      <c r="F55" s="2" t="str">
        <f ca="1">IFERROR(__xludf.DUMMYFUNCTION("""COMPUTED_VALUE"""),"Not found")</f>
        <v>Not found</v>
      </c>
      <c r="G55" s="2" t="str">
        <f ca="1">IFERROR(__xludf.DUMMYFUNCTION("""COMPUTED_VALUE"""),"None: I listened for the bird but was unable to find it")</f>
        <v>None: I listened for the bird but was unable to find it</v>
      </c>
      <c r="H55" s="2" t="str">
        <f ca="1">IFERROR(__xludf.DUMMYFUNCTION("""COMPUTED_VALUE"""),"")</f>
        <v/>
      </c>
      <c r="I55" s="2" t="str">
        <f ca="1">IFERROR(__xludf.DUMMYFUNCTION("""COMPUTED_VALUE"""),"")</f>
        <v/>
      </c>
      <c r="J55" s="2" t="str">
        <f ca="1">IFERROR(__xludf.DUMMYFUNCTION("""COMPUTED_VALUE"""),"")</f>
        <v/>
      </c>
      <c r="K55" s="2" t="str">
        <f ca="1">IFERROR(__xludf.DUMMYFUNCTION("""COMPUTED_VALUE"""),"")</f>
        <v/>
      </c>
      <c r="L55" s="2" t="str">
        <f ca="1">IFERROR(__xludf.DUMMYFUNCTION("""COMPUTED_VALUE"""),"")</f>
        <v/>
      </c>
      <c r="M55" s="5" t="str">
        <f ca="1">IFERROR(__xludf.DUMMYFUNCTION("""COMPUTED_VALUE"""),"")</f>
        <v/>
      </c>
      <c r="N55" s="5" t="str">
        <f ca="1">IFERROR(__xludf.DUMMYFUNCTION("""COMPUTED_VALUE"""),"")</f>
        <v/>
      </c>
      <c r="O55" s="2" t="str">
        <f ca="1">IFERROR(__xludf.DUMMYFUNCTION("""COMPUTED_VALUE"""),"")</f>
        <v/>
      </c>
      <c r="P55" s="2" t="str">
        <f ca="1">IFERROR(__xludf.DUMMYFUNCTION("""COMPUTED_VALUE"""),"")</f>
        <v/>
      </c>
      <c r="Q55" s="2" t="str">
        <f ca="1">IFERROR(__xludf.DUMMYFUNCTION("""COMPUTED_VALUE"""),"")</f>
        <v/>
      </c>
      <c r="R55" s="2" t="str">
        <f ca="1">IFERROR(__xludf.DUMMYFUNCTION("""COMPUTED_VALUE"""),"")</f>
        <v/>
      </c>
      <c r="S55" s="2" t="str">
        <f ca="1">IFERROR(__xludf.DUMMYFUNCTION("""COMPUTED_VALUE"""),"")</f>
        <v/>
      </c>
      <c r="T55" s="2" t="str">
        <f ca="1">IFERROR(__xludf.DUMMYFUNCTION("""COMPUTED_VALUE"""),"")</f>
        <v/>
      </c>
      <c r="U55" s="2" t="str">
        <f ca="1">IFERROR(__xludf.DUMMYFUNCTION("""COMPUTED_VALUE"""),"")</f>
        <v/>
      </c>
      <c r="V55" s="2" t="str">
        <f ca="1">IFERROR(__xludf.DUMMYFUNCTION("""COMPUTED_VALUE"""),"")</f>
        <v/>
      </c>
      <c r="W55" s="2" t="str">
        <f ca="1">IFERROR(__xludf.DUMMYFUNCTION("""COMPUTED_VALUE"""),"")</f>
        <v/>
      </c>
      <c r="X55" s="2" t="str">
        <f ca="1">IFERROR(__xludf.DUMMYFUNCTION("""COMPUTED_VALUE"""),"")</f>
        <v/>
      </c>
      <c r="Y55" s="2" t="str">
        <f ca="1">IFERROR(__xludf.DUMMYFUNCTION("""COMPUTED_VALUE"""),"")</f>
        <v/>
      </c>
      <c r="Z55" s="2" t="str">
        <f ca="1">IFERROR(__xludf.DUMMYFUNCTION("""COMPUTED_VALUE"""),"")</f>
        <v/>
      </c>
      <c r="AA55" s="2" t="str">
        <f ca="1">IFERROR(__xludf.DUMMYFUNCTION("""COMPUTED_VALUE"""),"")</f>
        <v/>
      </c>
      <c r="AB55" s="2" t="str">
        <f ca="1">IFERROR(__xludf.DUMMYFUNCTION("""COMPUTED_VALUE"""),"")</f>
        <v/>
      </c>
      <c r="AC55" s="2" t="str">
        <f ca="1">IFERROR(__xludf.DUMMYFUNCTION("""COMPUTED_VALUE"""),"")</f>
        <v/>
      </c>
      <c r="AD55" s="2" t="str">
        <f ca="1">IFERROR(__xludf.DUMMYFUNCTION("""COMPUTED_VALUE"""),"")</f>
        <v/>
      </c>
      <c r="AE55" s="2" t="str">
        <f ca="1">IFERROR(__xludf.DUMMYFUNCTION("""COMPUTED_VALUE"""),"")</f>
        <v/>
      </c>
      <c r="AF55" s="2" t="str">
        <f ca="1">IFERROR(__xludf.DUMMYFUNCTION("""COMPUTED_VALUE"""),"")</f>
        <v/>
      </c>
      <c r="AG55" s="2" t="str">
        <f ca="1">IFERROR(__xludf.DUMMYFUNCTION("""COMPUTED_VALUE"""),"")</f>
        <v/>
      </c>
      <c r="AH55" s="2" t="str">
        <f ca="1">IFERROR(__xludf.DUMMYFUNCTION("""COMPUTED_VALUE"""),"")</f>
        <v/>
      </c>
      <c r="AI55" s="2" t="str">
        <f ca="1">IFERROR(__xludf.DUMMYFUNCTION("""COMPUTED_VALUE"""),"")</f>
        <v/>
      </c>
      <c r="AJ55" s="2" t="str">
        <f ca="1">IFERROR(__xludf.DUMMYFUNCTION("""COMPUTED_VALUE"""),"")</f>
        <v/>
      </c>
      <c r="AK55" s="2" t="str">
        <f ca="1">IFERROR(__xludf.DUMMYFUNCTION("""COMPUTED_VALUE"""),"")</f>
        <v/>
      </c>
      <c r="AL55" s="2" t="str">
        <f ca="1">IFERROR(__xludf.DUMMYFUNCTION("""COMPUTED_VALUE"""),"")</f>
        <v/>
      </c>
      <c r="AM55" s="2" t="str">
        <f ca="1">IFERROR(__xludf.DUMMYFUNCTION("""COMPUTED_VALUE"""),"")</f>
        <v/>
      </c>
      <c r="AN55" s="2" t="str">
        <f ca="1">IFERROR(__xludf.DUMMYFUNCTION("""COMPUTED_VALUE"""),"")</f>
        <v/>
      </c>
      <c r="AO55" s="2" t="str">
        <f ca="1">IFERROR(__xludf.DUMMYFUNCTION("""COMPUTED_VALUE"""),"")</f>
        <v/>
      </c>
      <c r="AP55" s="2" t="str">
        <f ca="1">IFERROR(__xludf.DUMMYFUNCTION("""COMPUTED_VALUE"""),"")</f>
        <v/>
      </c>
      <c r="AQ55" s="2" t="str">
        <f ca="1">IFERROR(__xludf.DUMMYFUNCTION("""COMPUTED_VALUE"""),"")</f>
        <v/>
      </c>
      <c r="AR55" s="2" t="str">
        <f ca="1">IFERROR(__xludf.DUMMYFUNCTION("""COMPUTED_VALUE"""),"")</f>
        <v/>
      </c>
      <c r="AS55" s="2" t="str">
        <f ca="1">IFERROR(__xludf.DUMMYFUNCTION("""COMPUTED_VALUE"""),"")</f>
        <v/>
      </c>
      <c r="AT55" s="2" t="str">
        <f ca="1">IFERROR(__xludf.DUMMYFUNCTION("""COMPUTED_VALUE"""),"")</f>
        <v/>
      </c>
      <c r="AU55" s="2" t="str">
        <f ca="1">IFERROR(__xludf.DUMMYFUNCTION("""COMPUTED_VALUE"""),"")</f>
        <v/>
      </c>
      <c r="AV55" s="2" t="str">
        <f ca="1">IFERROR(__xludf.DUMMYFUNCTION("""COMPUTED_VALUE"""),"")</f>
        <v/>
      </c>
      <c r="AW55" s="2" t="str">
        <f ca="1">IFERROR(__xludf.DUMMYFUNCTION("""COMPUTED_VALUE"""),"")</f>
        <v/>
      </c>
      <c r="AX55" s="2" t="str">
        <f ca="1">IFERROR(__xludf.DUMMYFUNCTION("""COMPUTED_VALUE"""),"")</f>
        <v/>
      </c>
      <c r="AY55" s="2" t="str">
        <f ca="1">IFERROR(__xludf.DUMMYFUNCTION("""COMPUTED_VALUE"""),"")</f>
        <v/>
      </c>
      <c r="AZ55" s="2" t="str">
        <f ca="1">IFERROR(__xludf.DUMMYFUNCTION("""COMPUTED_VALUE"""),"")</f>
        <v/>
      </c>
      <c r="BA55" s="2" t="str">
        <f ca="1">IFERROR(__xludf.DUMMYFUNCTION("""COMPUTED_VALUE"""),"")</f>
        <v/>
      </c>
      <c r="BB55" s="2" t="str">
        <f ca="1">IFERROR(__xludf.DUMMYFUNCTION("""COMPUTED_VALUE"""),"")</f>
        <v/>
      </c>
      <c r="BC55" s="2" t="str">
        <f ca="1">IFERROR(__xludf.DUMMYFUNCTION("""COMPUTED_VALUE"""),"")</f>
        <v/>
      </c>
      <c r="BD55" s="2" t="str">
        <f ca="1">IFERROR(__xludf.DUMMYFUNCTION("""COMPUTED_VALUE"""),"Little Waihi")</f>
        <v>Little Waihi</v>
      </c>
      <c r="BE55" s="2" t="str">
        <f ca="1">IFERROR(__xludf.DUMMYFUNCTION("""COMPUTED_VALUE"""),"36 on farmland to east of wetland. on 8th futher south than on 5th. On 12th in much the same are but further south still. 16th, today, could not get a signal. Tried on side road as well as from wetland but heard nothing.")</f>
        <v>36 on farmland to east of wetland. on 8th futher south than on 5th. On 12th in much the same are but further south still. 16th, today, could not get a signal. Tried on side road as well as from wetland but heard nothing.</v>
      </c>
      <c r="BF55" t="str">
        <f ca="1">IFERROR(__xludf.DUMMYFUNCTION("""COMPUTED_VALUE"""),"")</f>
        <v/>
      </c>
      <c r="BG55" t="str">
        <f ca="1">IFERROR(__xludf.DUMMYFUNCTION("""COMPUTED_VALUE"""),"")</f>
        <v/>
      </c>
      <c r="BH55" t="str">
        <f ca="1">IFERROR(__xludf.DUMMYFUNCTION("""COMPUTED_VALUE"""),"")</f>
        <v/>
      </c>
      <c r="BI55" t="str">
        <f ca="1">IFERROR(__xludf.DUMMYFUNCTION("""COMPUTED_VALUE"""),"")</f>
        <v/>
      </c>
      <c r="BJ55" s="3" t="str">
        <f ca="1">IFERROR(__xludf.DUMMYFUNCTION("""COMPUTED_VALUE"""),"")</f>
        <v/>
      </c>
    </row>
    <row r="56" spans="1:62" ht="12.5" x14ac:dyDescent="0.25">
      <c r="A56" s="6">
        <f ca="1">IFERROR(__xludf.DUMMYFUNCTION("""COMPUTED_VALUE"""),43258.6629767708)</f>
        <v>43258.6629767708</v>
      </c>
      <c r="B56" s="2" t="str">
        <f ca="1">IFERROR(__xludf.DUMMYFUNCTION("""COMPUTED_VALUE"""),"Bay of Plenty")</f>
        <v>Bay of Plenty</v>
      </c>
      <c r="C56" s="2" t="str">
        <f ca="1">IFERROR(__xludf.DUMMYFUNCTION("""COMPUTED_VALUE"""),"Tx 38 - Pearl")</f>
        <v>Tx 38 - Pearl</v>
      </c>
      <c r="D56" s="10">
        <f ca="1">IFERROR(__xludf.DUMMYFUNCTION("""COMPUTED_VALUE"""),42633)</f>
        <v>42633</v>
      </c>
      <c r="E56" s="4" t="str">
        <f ca="1">IFERROR(__xludf.DUMMYFUNCTION("""COMPUTED_VALUE"""),"")</f>
        <v/>
      </c>
      <c r="F56" s="2" t="str">
        <f ca="1">IFERROR(__xludf.DUMMYFUNCTION("""COMPUTED_VALUE"""),"Little Waihi")</f>
        <v>Little Waihi</v>
      </c>
      <c r="G56" s="2" t="str">
        <f ca="1">IFERROR(__xludf.DUMMYFUNCTION("""COMPUTED_VALUE"""),"VHF (close approach): I followed the signal until I got within 50 m of the bird")</f>
        <v>VHF (close approach): I followed the signal until I got within 50 m of the bird</v>
      </c>
      <c r="H56" s="2" t="str">
        <f ca="1">IFERROR(__xludf.DUMMYFUNCTION("""COMPUTED_VALUE"""),"")</f>
        <v/>
      </c>
      <c r="I56" s="2" t="str">
        <f ca="1">IFERROR(__xludf.DUMMYFUNCTION("""COMPUTED_VALUE"""),"")</f>
        <v/>
      </c>
      <c r="J56" s="2" t="str">
        <f ca="1">IFERROR(__xludf.DUMMYFUNCTION("""COMPUTED_VALUE"""),"")</f>
        <v/>
      </c>
      <c r="K56" s="2" t="str">
        <f ca="1">IFERROR(__xludf.DUMMYFUNCTION("""COMPUTED_VALUE"""),"")</f>
        <v/>
      </c>
      <c r="L56" s="2" t="str">
        <f ca="1">IFERROR(__xludf.DUMMYFUNCTION("""COMPUTED_VALUE"""),"No - I got very close to the bird but it was well hidden in the vegetation")</f>
        <v>No - I got very close to the bird but it was well hidden in the vegetation</v>
      </c>
      <c r="M56" s="5">
        <f ca="1">IFERROR(__xludf.DUMMYFUNCTION("""COMPUTED_VALUE"""),1907102)</f>
        <v>1907102</v>
      </c>
      <c r="N56" s="5">
        <f ca="1">IFERROR(__xludf.DUMMYFUNCTION("""COMPUTED_VALUE"""),5811582)</f>
        <v>5811582</v>
      </c>
      <c r="O56" s="2" t="str">
        <f ca="1">IFERROR(__xludf.DUMMYFUNCTION("""COMPUTED_VALUE"""),"")</f>
        <v/>
      </c>
      <c r="P56" s="2" t="str">
        <f ca="1">IFERROR(__xludf.DUMMYFUNCTION("""COMPUTED_VALUE"""),"Don't know")</f>
        <v>Don't know</v>
      </c>
      <c r="Q56" s="2" t="str">
        <f ca="1">IFERROR(__xludf.DUMMYFUNCTION("""COMPUTED_VALUE"""),"Don't know")</f>
        <v>Don't know</v>
      </c>
      <c r="R56" s="2" t="str">
        <f ca="1">IFERROR(__xludf.DUMMYFUNCTION("""COMPUTED_VALUE"""),"Unk")</f>
        <v>Unk</v>
      </c>
      <c r="S56" s="2" t="str">
        <f ca="1">IFERROR(__xludf.DUMMYFUNCTION("""COMPUTED_VALUE"""),"Unk")</f>
        <v>Unk</v>
      </c>
      <c r="T56" s="2" t="str">
        <f ca="1">IFERROR(__xludf.DUMMYFUNCTION("""COMPUTED_VALUE"""),"Rank grass")</f>
        <v>Rank grass</v>
      </c>
      <c r="U56" s="2" t="str">
        <f ca="1">IFERROR(__xludf.DUMMYFUNCTION("""COMPUTED_VALUE"""),"Not an accurate fix. Ran out of time to get a better fix. Spoke with whitebaiter on Pongakawa Canal who had heard booming in F/W Waihi wetland. Had also seen 2 bittern fly over the canal towards cutwater rd that morning. I flushed 1 bittern out of the dra"&amp;"in between reserve @ Pammets farm - E1906798 N5812972  flew into F/W part of Waihi Wetland")</f>
        <v>Not an accurate fix. Ran out of time to get a better fix. Spoke with whitebaiter on Pongakawa Canal who had heard booming in F/W Waihi wetland. Had also seen 2 bittern fly over the canal towards cutwater rd that morning. I flushed 1 bittern out of the drain between reserve @ Pammets farm - E1906798 N5812972  flew into F/W part of Waihi Wetland</v>
      </c>
      <c r="V56" s="2" t="str">
        <f ca="1">IFERROR(__xludf.DUMMYFUNCTION("""COMPUTED_VALUE"""),"")</f>
        <v/>
      </c>
      <c r="W56" s="2" t="str">
        <f ca="1">IFERROR(__xludf.DUMMYFUNCTION("""COMPUTED_VALUE"""),"")</f>
        <v/>
      </c>
      <c r="X56" s="2" t="str">
        <f ca="1">IFERROR(__xludf.DUMMYFUNCTION("""COMPUTED_VALUE"""),"")</f>
        <v/>
      </c>
      <c r="Y56" s="2" t="str">
        <f ca="1">IFERROR(__xludf.DUMMYFUNCTION("""COMPUTED_VALUE"""),"")</f>
        <v/>
      </c>
      <c r="Z56" s="2" t="str">
        <f ca="1">IFERROR(__xludf.DUMMYFUNCTION("""COMPUTED_VALUE"""),"")</f>
        <v/>
      </c>
      <c r="AA56" s="2" t="str">
        <f ca="1">IFERROR(__xludf.DUMMYFUNCTION("""COMPUTED_VALUE"""),"")</f>
        <v/>
      </c>
      <c r="AB56" s="2" t="str">
        <f ca="1">IFERROR(__xludf.DUMMYFUNCTION("""COMPUTED_VALUE"""),"")</f>
        <v/>
      </c>
      <c r="AC56" s="2" t="str">
        <f ca="1">IFERROR(__xludf.DUMMYFUNCTION("""COMPUTED_VALUE"""),"")</f>
        <v/>
      </c>
      <c r="AD56" s="2" t="str">
        <f ca="1">IFERROR(__xludf.DUMMYFUNCTION("""COMPUTED_VALUE"""),"")</f>
        <v/>
      </c>
      <c r="AE56" s="2" t="str">
        <f ca="1">IFERROR(__xludf.DUMMYFUNCTION("""COMPUTED_VALUE"""),"")</f>
        <v/>
      </c>
      <c r="AF56" s="2" t="str">
        <f ca="1">IFERROR(__xludf.DUMMYFUNCTION("""COMPUTED_VALUE"""),"")</f>
        <v/>
      </c>
      <c r="AG56" s="2" t="str">
        <f ca="1">IFERROR(__xludf.DUMMYFUNCTION("""COMPUTED_VALUE"""),"")</f>
        <v/>
      </c>
      <c r="AH56" s="2" t="str">
        <f ca="1">IFERROR(__xludf.DUMMYFUNCTION("""COMPUTED_VALUE"""),"")</f>
        <v/>
      </c>
      <c r="AI56" s="2" t="str">
        <f ca="1">IFERROR(__xludf.DUMMYFUNCTION("""COMPUTED_VALUE"""),"")</f>
        <v/>
      </c>
      <c r="AJ56" s="2" t="str">
        <f ca="1">IFERROR(__xludf.DUMMYFUNCTION("""COMPUTED_VALUE"""),"")</f>
        <v/>
      </c>
      <c r="AK56" s="2" t="str">
        <f ca="1">IFERROR(__xludf.DUMMYFUNCTION("""COMPUTED_VALUE"""),"")</f>
        <v/>
      </c>
      <c r="AL56" s="2" t="str">
        <f ca="1">IFERROR(__xludf.DUMMYFUNCTION("""COMPUTED_VALUE"""),"")</f>
        <v/>
      </c>
      <c r="AM56" s="2" t="str">
        <f ca="1">IFERROR(__xludf.DUMMYFUNCTION("""COMPUTED_VALUE"""),"")</f>
        <v/>
      </c>
      <c r="AN56" s="2" t="str">
        <f ca="1">IFERROR(__xludf.DUMMYFUNCTION("""COMPUTED_VALUE"""),"")</f>
        <v/>
      </c>
      <c r="AO56" s="2" t="str">
        <f ca="1">IFERROR(__xludf.DUMMYFUNCTION("""COMPUTED_VALUE"""),"")</f>
        <v/>
      </c>
      <c r="AP56" s="2" t="str">
        <f ca="1">IFERROR(__xludf.DUMMYFUNCTION("""COMPUTED_VALUE"""),"")</f>
        <v/>
      </c>
      <c r="AQ56" s="2" t="str">
        <f ca="1">IFERROR(__xludf.DUMMYFUNCTION("""COMPUTED_VALUE"""),"")</f>
        <v/>
      </c>
      <c r="AR56" s="2" t="str">
        <f ca="1">IFERROR(__xludf.DUMMYFUNCTION("""COMPUTED_VALUE"""),"")</f>
        <v/>
      </c>
      <c r="AS56" s="2" t="str">
        <f ca="1">IFERROR(__xludf.DUMMYFUNCTION("""COMPUTED_VALUE"""),"")</f>
        <v/>
      </c>
      <c r="AT56" s="2" t="str">
        <f ca="1">IFERROR(__xludf.DUMMYFUNCTION("""COMPUTED_VALUE"""),"")</f>
        <v/>
      </c>
      <c r="AU56" s="2" t="str">
        <f ca="1">IFERROR(__xludf.DUMMYFUNCTION("""COMPUTED_VALUE"""),"")</f>
        <v/>
      </c>
      <c r="AV56" s="2" t="str">
        <f ca="1">IFERROR(__xludf.DUMMYFUNCTION("""COMPUTED_VALUE"""),"")</f>
        <v/>
      </c>
      <c r="AW56" s="2" t="str">
        <f ca="1">IFERROR(__xludf.DUMMYFUNCTION("""COMPUTED_VALUE"""),"")</f>
        <v/>
      </c>
      <c r="AX56" s="2" t="str">
        <f ca="1">IFERROR(__xludf.DUMMYFUNCTION("""COMPUTED_VALUE"""),"")</f>
        <v/>
      </c>
      <c r="AY56" s="2" t="str">
        <f ca="1">IFERROR(__xludf.DUMMYFUNCTION("""COMPUTED_VALUE"""),"")</f>
        <v/>
      </c>
      <c r="AZ56" s="2" t="str">
        <f ca="1">IFERROR(__xludf.DUMMYFUNCTION("""COMPUTED_VALUE"""),"")</f>
        <v/>
      </c>
      <c r="BA56" s="2" t="str">
        <f ca="1">IFERROR(__xludf.DUMMYFUNCTION("""COMPUTED_VALUE"""),"")</f>
        <v/>
      </c>
      <c r="BB56" s="2" t="str">
        <f ca="1">IFERROR(__xludf.DUMMYFUNCTION("""COMPUTED_VALUE"""),"")</f>
        <v/>
      </c>
      <c r="BC56" s="2" t="str">
        <f ca="1">IFERROR(__xludf.DUMMYFUNCTION("""COMPUTED_VALUE"""),"")</f>
        <v/>
      </c>
      <c r="BD56" s="2" t="str">
        <f ca="1">IFERROR(__xludf.DUMMYFUNCTION("""COMPUTED_VALUE"""),"")</f>
        <v/>
      </c>
      <c r="BE56" s="2" t="str">
        <f ca="1">IFERROR(__xludf.DUMMYFUNCTION("""COMPUTED_VALUE"""),"")</f>
        <v/>
      </c>
      <c r="BF56" t="str">
        <f ca="1">IFERROR(__xludf.DUMMYFUNCTION("""COMPUTED_VALUE"""),"")</f>
        <v/>
      </c>
      <c r="BG56" t="str">
        <f ca="1">IFERROR(__xludf.DUMMYFUNCTION("""COMPUTED_VALUE"""),"")</f>
        <v/>
      </c>
      <c r="BH56" t="str">
        <f ca="1">IFERROR(__xludf.DUMMYFUNCTION("""COMPUTED_VALUE"""),"")</f>
        <v/>
      </c>
      <c r="BI56" t="str">
        <f ca="1">IFERROR(__xludf.DUMMYFUNCTION("""COMPUTED_VALUE"""),"")</f>
        <v/>
      </c>
      <c r="BJ56" s="3" t="str">
        <f ca="1">IFERROR(__xludf.DUMMYFUNCTION("""COMPUTED_VALUE"""),"")</f>
        <v/>
      </c>
    </row>
    <row r="57" spans="1:62" ht="12.5" x14ac:dyDescent="0.25">
      <c r="A57" s="6">
        <f ca="1">IFERROR(__xludf.DUMMYFUNCTION("""COMPUTED_VALUE"""),43258.6641177199)</f>
        <v>43258.664117719898</v>
      </c>
      <c r="B57" s="2" t="str">
        <f ca="1">IFERROR(__xludf.DUMMYFUNCTION("""COMPUTED_VALUE"""),"Bay of Plenty")</f>
        <v>Bay of Plenty</v>
      </c>
      <c r="C57" s="2" t="str">
        <f ca="1">IFERROR(__xludf.DUMMYFUNCTION("""COMPUTED_VALUE"""),"Tx 36 - M-91429")</f>
        <v>Tx 36 - M-91429</v>
      </c>
      <c r="D57" s="10">
        <f ca="1">IFERROR(__xludf.DUMMYFUNCTION("""COMPUTED_VALUE"""),42633)</f>
        <v>42633</v>
      </c>
      <c r="E57" s="4" t="str">
        <f ca="1">IFERROR(__xludf.DUMMYFUNCTION("""COMPUTED_VALUE"""),"")</f>
        <v/>
      </c>
      <c r="F57" s="2" t="str">
        <f ca="1">IFERROR(__xludf.DUMMYFUNCTION("""COMPUTED_VALUE"""),"Unknown")</f>
        <v>Unknown</v>
      </c>
      <c r="G57" s="2" t="str">
        <f ca="1">IFERROR(__xludf.DUMMYFUNCTION("""COMPUTED_VALUE"""),"None: I listened for the bird but was unable to find it")</f>
        <v>None: I listened for the bird but was unable to find it</v>
      </c>
      <c r="H57" s="2" t="str">
        <f ca="1">IFERROR(__xludf.DUMMYFUNCTION("""COMPUTED_VALUE"""),"")</f>
        <v/>
      </c>
      <c r="I57" s="2" t="str">
        <f ca="1">IFERROR(__xludf.DUMMYFUNCTION("""COMPUTED_VALUE"""),"")</f>
        <v/>
      </c>
      <c r="J57" s="2" t="str">
        <f ca="1">IFERROR(__xludf.DUMMYFUNCTION("""COMPUTED_VALUE"""),"")</f>
        <v/>
      </c>
      <c r="K57" s="2" t="str">
        <f ca="1">IFERROR(__xludf.DUMMYFUNCTION("""COMPUTED_VALUE"""),"")</f>
        <v/>
      </c>
      <c r="L57" s="2" t="str">
        <f ca="1">IFERROR(__xludf.DUMMYFUNCTION("""COMPUTED_VALUE"""),"")</f>
        <v/>
      </c>
      <c r="M57" s="5" t="str">
        <f ca="1">IFERROR(__xludf.DUMMYFUNCTION("""COMPUTED_VALUE"""),"")</f>
        <v/>
      </c>
      <c r="N57" s="5" t="str">
        <f ca="1">IFERROR(__xludf.DUMMYFUNCTION("""COMPUTED_VALUE"""),"")</f>
        <v/>
      </c>
      <c r="O57" s="2" t="str">
        <f ca="1">IFERROR(__xludf.DUMMYFUNCTION("""COMPUTED_VALUE"""),"")</f>
        <v/>
      </c>
      <c r="P57" s="2" t="str">
        <f ca="1">IFERROR(__xludf.DUMMYFUNCTION("""COMPUTED_VALUE"""),"")</f>
        <v/>
      </c>
      <c r="Q57" s="2" t="str">
        <f ca="1">IFERROR(__xludf.DUMMYFUNCTION("""COMPUTED_VALUE"""),"")</f>
        <v/>
      </c>
      <c r="R57" s="2" t="str">
        <f ca="1">IFERROR(__xludf.DUMMYFUNCTION("""COMPUTED_VALUE"""),"")</f>
        <v/>
      </c>
      <c r="S57" s="2" t="str">
        <f ca="1">IFERROR(__xludf.DUMMYFUNCTION("""COMPUTED_VALUE"""),"")</f>
        <v/>
      </c>
      <c r="T57" s="2" t="str">
        <f ca="1">IFERROR(__xludf.DUMMYFUNCTION("""COMPUTED_VALUE"""),"")</f>
        <v/>
      </c>
      <c r="U57" s="2" t="str">
        <f ca="1">IFERROR(__xludf.DUMMYFUNCTION("""COMPUTED_VALUE"""),"")</f>
        <v/>
      </c>
      <c r="V57" s="2" t="str">
        <f ca="1">IFERROR(__xludf.DUMMYFUNCTION("""COMPUTED_VALUE"""),"")</f>
        <v/>
      </c>
      <c r="W57" s="2" t="str">
        <f ca="1">IFERROR(__xludf.DUMMYFUNCTION("""COMPUTED_VALUE"""),"")</f>
        <v/>
      </c>
      <c r="X57" s="2" t="str">
        <f ca="1">IFERROR(__xludf.DUMMYFUNCTION("""COMPUTED_VALUE"""),"")</f>
        <v/>
      </c>
      <c r="Y57" s="2" t="str">
        <f ca="1">IFERROR(__xludf.DUMMYFUNCTION("""COMPUTED_VALUE"""),"")</f>
        <v/>
      </c>
      <c r="Z57" s="2" t="str">
        <f ca="1">IFERROR(__xludf.DUMMYFUNCTION("""COMPUTED_VALUE"""),"")</f>
        <v/>
      </c>
      <c r="AA57" s="2" t="str">
        <f ca="1">IFERROR(__xludf.DUMMYFUNCTION("""COMPUTED_VALUE"""),"")</f>
        <v/>
      </c>
      <c r="AB57" s="2" t="str">
        <f ca="1">IFERROR(__xludf.DUMMYFUNCTION("""COMPUTED_VALUE"""),"")</f>
        <v/>
      </c>
      <c r="AC57" s="2" t="str">
        <f ca="1">IFERROR(__xludf.DUMMYFUNCTION("""COMPUTED_VALUE"""),"")</f>
        <v/>
      </c>
      <c r="AD57" s="2" t="str">
        <f ca="1">IFERROR(__xludf.DUMMYFUNCTION("""COMPUTED_VALUE"""),"")</f>
        <v/>
      </c>
      <c r="AE57" s="2" t="str">
        <f ca="1">IFERROR(__xludf.DUMMYFUNCTION("""COMPUTED_VALUE"""),"")</f>
        <v/>
      </c>
      <c r="AF57" s="2" t="str">
        <f ca="1">IFERROR(__xludf.DUMMYFUNCTION("""COMPUTED_VALUE"""),"")</f>
        <v/>
      </c>
      <c r="AG57" s="2" t="str">
        <f ca="1">IFERROR(__xludf.DUMMYFUNCTION("""COMPUTED_VALUE"""),"")</f>
        <v/>
      </c>
      <c r="AH57" s="2" t="str">
        <f ca="1">IFERROR(__xludf.DUMMYFUNCTION("""COMPUTED_VALUE"""),"")</f>
        <v/>
      </c>
      <c r="AI57" s="2" t="str">
        <f ca="1">IFERROR(__xludf.DUMMYFUNCTION("""COMPUTED_VALUE"""),"")</f>
        <v/>
      </c>
      <c r="AJ57" s="2" t="str">
        <f ca="1">IFERROR(__xludf.DUMMYFUNCTION("""COMPUTED_VALUE"""),"")</f>
        <v/>
      </c>
      <c r="AK57" s="2" t="str">
        <f ca="1">IFERROR(__xludf.DUMMYFUNCTION("""COMPUTED_VALUE"""),"")</f>
        <v/>
      </c>
      <c r="AL57" s="2" t="str">
        <f ca="1">IFERROR(__xludf.DUMMYFUNCTION("""COMPUTED_VALUE"""),"")</f>
        <v/>
      </c>
      <c r="AM57" s="2" t="str">
        <f ca="1">IFERROR(__xludf.DUMMYFUNCTION("""COMPUTED_VALUE"""),"")</f>
        <v/>
      </c>
      <c r="AN57" s="2" t="str">
        <f ca="1">IFERROR(__xludf.DUMMYFUNCTION("""COMPUTED_VALUE"""),"")</f>
        <v/>
      </c>
      <c r="AO57" s="2" t="str">
        <f ca="1">IFERROR(__xludf.DUMMYFUNCTION("""COMPUTED_VALUE"""),"")</f>
        <v/>
      </c>
      <c r="AP57" s="2" t="str">
        <f ca="1">IFERROR(__xludf.DUMMYFUNCTION("""COMPUTED_VALUE"""),"")</f>
        <v/>
      </c>
      <c r="AQ57" s="2" t="str">
        <f ca="1">IFERROR(__xludf.DUMMYFUNCTION("""COMPUTED_VALUE"""),"")</f>
        <v/>
      </c>
      <c r="AR57" s="2" t="str">
        <f ca="1">IFERROR(__xludf.DUMMYFUNCTION("""COMPUTED_VALUE"""),"")</f>
        <v/>
      </c>
      <c r="AS57" s="2" t="str">
        <f ca="1">IFERROR(__xludf.DUMMYFUNCTION("""COMPUTED_VALUE"""),"")</f>
        <v/>
      </c>
      <c r="AT57" s="2" t="str">
        <f ca="1">IFERROR(__xludf.DUMMYFUNCTION("""COMPUTED_VALUE"""),"")</f>
        <v/>
      </c>
      <c r="AU57" s="2" t="str">
        <f ca="1">IFERROR(__xludf.DUMMYFUNCTION("""COMPUTED_VALUE"""),"")</f>
        <v/>
      </c>
      <c r="AV57" s="2" t="str">
        <f ca="1">IFERROR(__xludf.DUMMYFUNCTION("""COMPUTED_VALUE"""),"")</f>
        <v/>
      </c>
      <c r="AW57" s="2" t="str">
        <f ca="1">IFERROR(__xludf.DUMMYFUNCTION("""COMPUTED_VALUE"""),"")</f>
        <v/>
      </c>
      <c r="AX57" s="2" t="str">
        <f ca="1">IFERROR(__xludf.DUMMYFUNCTION("""COMPUTED_VALUE"""),"")</f>
        <v/>
      </c>
      <c r="AY57" s="2" t="str">
        <f ca="1">IFERROR(__xludf.DUMMYFUNCTION("""COMPUTED_VALUE"""),"")</f>
        <v/>
      </c>
      <c r="AZ57" s="2" t="str">
        <f ca="1">IFERROR(__xludf.DUMMYFUNCTION("""COMPUTED_VALUE"""),"")</f>
        <v/>
      </c>
      <c r="BA57" s="2" t="str">
        <f ca="1">IFERROR(__xludf.DUMMYFUNCTION("""COMPUTED_VALUE"""),"")</f>
        <v/>
      </c>
      <c r="BB57" s="2" t="str">
        <f ca="1">IFERROR(__xludf.DUMMYFUNCTION("""COMPUTED_VALUE"""),"")</f>
        <v/>
      </c>
      <c r="BC57" s="2" t="str">
        <f ca="1">IFERROR(__xludf.DUMMYFUNCTION("""COMPUTED_VALUE"""),"")</f>
        <v/>
      </c>
      <c r="BD57" s="2" t="str">
        <f ca="1">IFERROR(__xludf.DUMMYFUNCTION("""COMPUTED_VALUE"""),"Little Waihi")</f>
        <v>Little Waihi</v>
      </c>
      <c r="BE57" s="2" t="str">
        <f ca="1">IFERROR(__xludf.DUMMYFUNCTION("""COMPUTED_VALUE"""),"Listened up from good vantage point on Bledisloe park drive picked up 38 but not 36")</f>
        <v>Listened up from good vantage point on Bledisloe park drive picked up 38 but not 36</v>
      </c>
      <c r="BF57" t="str">
        <f ca="1">IFERROR(__xludf.DUMMYFUNCTION("""COMPUTED_VALUE"""),"")</f>
        <v/>
      </c>
      <c r="BG57" t="str">
        <f ca="1">IFERROR(__xludf.DUMMYFUNCTION("""COMPUTED_VALUE"""),"")</f>
        <v/>
      </c>
      <c r="BH57" t="str">
        <f ca="1">IFERROR(__xludf.DUMMYFUNCTION("""COMPUTED_VALUE"""),"")</f>
        <v/>
      </c>
      <c r="BI57" t="str">
        <f ca="1">IFERROR(__xludf.DUMMYFUNCTION("""COMPUTED_VALUE"""),"")</f>
        <v/>
      </c>
      <c r="BJ57" s="3" t="str">
        <f ca="1">IFERROR(__xludf.DUMMYFUNCTION("""COMPUTED_VALUE"""),"")</f>
        <v/>
      </c>
    </row>
    <row r="58" spans="1:62" ht="12.5" x14ac:dyDescent="0.25">
      <c r="A58" s="6">
        <f ca="1">IFERROR(__xludf.DUMMYFUNCTION("""COMPUTED_VALUE"""),43258.6712896759)</f>
        <v>43258.671289675898</v>
      </c>
      <c r="B58" s="2" t="str">
        <f ca="1">IFERROR(__xludf.DUMMYFUNCTION("""COMPUTED_VALUE"""),"Bay of Plenty")</f>
        <v>Bay of Plenty</v>
      </c>
      <c r="C58" s="2" t="str">
        <f ca="1">IFERROR(__xludf.DUMMYFUNCTION("""COMPUTED_VALUE"""),"Tx 38 - Pearl")</f>
        <v>Tx 38 - Pearl</v>
      </c>
      <c r="D58" s="10">
        <f ca="1">IFERROR(__xludf.DUMMYFUNCTION("""COMPUTED_VALUE"""),42634)</f>
        <v>42634</v>
      </c>
      <c r="E58" s="4" t="str">
        <f ca="1">IFERROR(__xludf.DUMMYFUNCTION("""COMPUTED_VALUE"""),"")</f>
        <v/>
      </c>
      <c r="F58" s="2" t="str">
        <f ca="1">IFERROR(__xludf.DUMMYFUNCTION("""COMPUTED_VALUE"""),"Farmland - Cutwater road")</f>
        <v>Farmland - Cutwater road</v>
      </c>
      <c r="G58" s="2" t="str">
        <f ca="1">IFERROR(__xludf.DUMMYFUNCTION("""COMPUTED_VALUE"""),"VHF (close approach): I followed the signal until I got within 50 m of the bird")</f>
        <v>VHF (close approach): I followed the signal until I got within 50 m of the bird</v>
      </c>
      <c r="H58" s="2" t="str">
        <f ca="1">IFERROR(__xludf.DUMMYFUNCTION("""COMPUTED_VALUE"""),"")</f>
        <v/>
      </c>
      <c r="I58" s="2" t="str">
        <f ca="1">IFERROR(__xludf.DUMMYFUNCTION("""COMPUTED_VALUE"""),"")</f>
        <v/>
      </c>
      <c r="J58" s="2" t="str">
        <f ca="1">IFERROR(__xludf.DUMMYFUNCTION("""COMPUTED_VALUE"""),"")</f>
        <v/>
      </c>
      <c r="K58" s="2" t="str">
        <f ca="1">IFERROR(__xludf.DUMMYFUNCTION("""COMPUTED_VALUE"""),"")</f>
        <v/>
      </c>
      <c r="L58" s="2" t="str">
        <f ca="1">IFERROR(__xludf.DUMMYFUNCTION("""COMPUTED_VALUE"""),"Yes - I managed to observe the bird without it flushing")</f>
        <v>Yes - I managed to observe the bird without it flushing</v>
      </c>
      <c r="M58" s="5">
        <f ca="1">IFERROR(__xludf.DUMMYFUNCTION("""COMPUTED_VALUE"""),1907568)</f>
        <v>1907568</v>
      </c>
      <c r="N58" s="5">
        <f ca="1">IFERROR(__xludf.DUMMYFUNCTION("""COMPUTED_VALUE"""),5812728)</f>
        <v>5812728</v>
      </c>
      <c r="O58" s="2" t="str">
        <f ca="1">IFERROR(__xludf.DUMMYFUNCTION("""COMPUTED_VALUE"""),"")</f>
        <v/>
      </c>
      <c r="P58" s="2" t="str">
        <f ca="1">IFERROR(__xludf.DUMMYFUNCTION("""COMPUTED_VALUE"""),"Yes")</f>
        <v>Yes</v>
      </c>
      <c r="Q58" s="2" t="str">
        <f ca="1">IFERROR(__xludf.DUMMYFUNCTION("""COMPUTED_VALUE"""),"Wet")</f>
        <v>Wet</v>
      </c>
      <c r="R58" s="2" t="str">
        <f ca="1">IFERROR(__xludf.DUMMYFUNCTION("""COMPUTED_VALUE"""),"10")</f>
        <v>10</v>
      </c>
      <c r="S58" s="2" t="str">
        <f ca="1">IFERROR(__xludf.DUMMYFUNCTION("""COMPUTED_VALUE"""),"0")</f>
        <v>0</v>
      </c>
      <c r="T58" s="2" t="str">
        <f ca="1">IFERROR(__xludf.DUMMYFUNCTION("""COMPUTED_VALUE"""),"Rank grass")</f>
        <v>Rank grass</v>
      </c>
      <c r="U58" s="2" t="str">
        <f ca="1">IFERROR(__xludf.DUMMYFUNCTION("""COMPUTED_VALUE"""),"Spotted bittern in paddock. Less than 15m another one appears weaving through long grass. Large dull in colour bird (first one spotted in resonably open grass) gets up &amp; flys 150-200m across road into long rank grass with mixed rushes. Flight movement is "&amp;"slow &amp; leisurly looking. Confirm with transmitter that the bird to take flight is not TX38. Stcok present but 50 m away. Photos taken (Spotted bittern in paddock. Less than 15m another one appears weaving through long grass. Large dull in colour bird (fir"&amp;"st one spotted in resonably open grass) gets up &amp; flys 150-200m across road into long rank grass with mixed rushes. Flight movement is slow &amp; leisurly looking. Confirm with transmitter that the bird to take flight is not TX38. Stock present but 50 m away."&amp;" Photos taken (20160921_131441[1]) and 20160921_133534[1]")</f>
        <v>Spotted bittern in paddock. Less than 15m another one appears weaving through long grass. Large dull in colour bird (first one spotted in resonably open grass) gets up &amp; flys 150-200m across road into long rank grass with mixed rushes. Flight movement is slow &amp; leisurly looking. Confirm with transmitter that the bird to take flight is not TX38. Stcok present but 50 m away. Photos taken (Spotted bittern in paddock. Less than 15m another one appears weaving through long grass. Large dull in colour bird (first one spotted in resonably open grass) gets up &amp; flys 150-200m across road into long rank grass with mixed rushes. Flight movement is slow &amp; leisurly looking. Confirm with transmitter that the bird to take flight is not TX38. Stock present but 50 m away. Photos taken (20160921_131441[1]) and 20160921_133534[1]</v>
      </c>
      <c r="V58" s="2" t="str">
        <f ca="1">IFERROR(__xludf.DUMMYFUNCTION("""COMPUTED_VALUE"""),"")</f>
        <v/>
      </c>
      <c r="W58" s="2" t="str">
        <f ca="1">IFERROR(__xludf.DUMMYFUNCTION("""COMPUTED_VALUE"""),"")</f>
        <v/>
      </c>
      <c r="X58" s="2" t="str">
        <f ca="1">IFERROR(__xludf.DUMMYFUNCTION("""COMPUTED_VALUE"""),"")</f>
        <v/>
      </c>
      <c r="Y58" s="2" t="str">
        <f ca="1">IFERROR(__xludf.DUMMYFUNCTION("""COMPUTED_VALUE"""),"")</f>
        <v/>
      </c>
      <c r="Z58" s="2" t="str">
        <f ca="1">IFERROR(__xludf.DUMMYFUNCTION("""COMPUTED_VALUE"""),"")</f>
        <v/>
      </c>
      <c r="AA58" s="2" t="str">
        <f ca="1">IFERROR(__xludf.DUMMYFUNCTION("""COMPUTED_VALUE"""),"")</f>
        <v/>
      </c>
      <c r="AB58" s="2" t="str">
        <f ca="1">IFERROR(__xludf.DUMMYFUNCTION("""COMPUTED_VALUE"""),"")</f>
        <v/>
      </c>
      <c r="AC58" s="2" t="str">
        <f ca="1">IFERROR(__xludf.DUMMYFUNCTION("""COMPUTED_VALUE"""),"")</f>
        <v/>
      </c>
      <c r="AD58" s="2" t="str">
        <f ca="1">IFERROR(__xludf.DUMMYFUNCTION("""COMPUTED_VALUE"""),"")</f>
        <v/>
      </c>
      <c r="AE58" s="2" t="str">
        <f ca="1">IFERROR(__xludf.DUMMYFUNCTION("""COMPUTED_VALUE"""),"")</f>
        <v/>
      </c>
      <c r="AF58" s="2" t="str">
        <f ca="1">IFERROR(__xludf.DUMMYFUNCTION("""COMPUTED_VALUE"""),"")</f>
        <v/>
      </c>
      <c r="AG58" s="2" t="str">
        <f ca="1">IFERROR(__xludf.DUMMYFUNCTION("""COMPUTED_VALUE"""),"")</f>
        <v/>
      </c>
      <c r="AH58" s="2" t="str">
        <f ca="1">IFERROR(__xludf.DUMMYFUNCTION("""COMPUTED_VALUE"""),"")</f>
        <v/>
      </c>
      <c r="AI58" s="2" t="str">
        <f ca="1">IFERROR(__xludf.DUMMYFUNCTION("""COMPUTED_VALUE"""),"")</f>
        <v/>
      </c>
      <c r="AJ58" s="2" t="str">
        <f ca="1">IFERROR(__xludf.DUMMYFUNCTION("""COMPUTED_VALUE"""),"")</f>
        <v/>
      </c>
      <c r="AK58" s="2" t="str">
        <f ca="1">IFERROR(__xludf.DUMMYFUNCTION("""COMPUTED_VALUE"""),"")</f>
        <v/>
      </c>
      <c r="AL58" s="2" t="str">
        <f ca="1">IFERROR(__xludf.DUMMYFUNCTION("""COMPUTED_VALUE"""),"")</f>
        <v/>
      </c>
      <c r="AM58" s="2" t="str">
        <f ca="1">IFERROR(__xludf.DUMMYFUNCTION("""COMPUTED_VALUE"""),"")</f>
        <v/>
      </c>
      <c r="AN58" s="2" t="str">
        <f ca="1">IFERROR(__xludf.DUMMYFUNCTION("""COMPUTED_VALUE"""),"")</f>
        <v/>
      </c>
      <c r="AO58" s="2" t="str">
        <f ca="1">IFERROR(__xludf.DUMMYFUNCTION("""COMPUTED_VALUE"""),"")</f>
        <v/>
      </c>
      <c r="AP58" s="2" t="str">
        <f ca="1">IFERROR(__xludf.DUMMYFUNCTION("""COMPUTED_VALUE"""),"")</f>
        <v/>
      </c>
      <c r="AQ58" s="2" t="str">
        <f ca="1">IFERROR(__xludf.DUMMYFUNCTION("""COMPUTED_VALUE"""),"")</f>
        <v/>
      </c>
      <c r="AR58" s="2" t="str">
        <f ca="1">IFERROR(__xludf.DUMMYFUNCTION("""COMPUTED_VALUE"""),"")</f>
        <v/>
      </c>
      <c r="AS58" s="2" t="str">
        <f ca="1">IFERROR(__xludf.DUMMYFUNCTION("""COMPUTED_VALUE"""),"")</f>
        <v/>
      </c>
      <c r="AT58" s="2" t="str">
        <f ca="1">IFERROR(__xludf.DUMMYFUNCTION("""COMPUTED_VALUE"""),"")</f>
        <v/>
      </c>
      <c r="AU58" s="2" t="str">
        <f ca="1">IFERROR(__xludf.DUMMYFUNCTION("""COMPUTED_VALUE"""),"")</f>
        <v/>
      </c>
      <c r="AV58" s="2" t="str">
        <f ca="1">IFERROR(__xludf.DUMMYFUNCTION("""COMPUTED_VALUE"""),"")</f>
        <v/>
      </c>
      <c r="AW58" s="2" t="str">
        <f ca="1">IFERROR(__xludf.DUMMYFUNCTION("""COMPUTED_VALUE"""),"")</f>
        <v/>
      </c>
      <c r="AX58" s="2" t="str">
        <f ca="1">IFERROR(__xludf.DUMMYFUNCTION("""COMPUTED_VALUE"""),"")</f>
        <v/>
      </c>
      <c r="AY58" s="2" t="str">
        <f ca="1">IFERROR(__xludf.DUMMYFUNCTION("""COMPUTED_VALUE"""),"")</f>
        <v/>
      </c>
      <c r="AZ58" s="2" t="str">
        <f ca="1">IFERROR(__xludf.DUMMYFUNCTION("""COMPUTED_VALUE"""),"")</f>
        <v/>
      </c>
      <c r="BA58" s="2" t="str">
        <f ca="1">IFERROR(__xludf.DUMMYFUNCTION("""COMPUTED_VALUE"""),"")</f>
        <v/>
      </c>
      <c r="BB58" s="2" t="str">
        <f ca="1">IFERROR(__xludf.DUMMYFUNCTION("""COMPUTED_VALUE"""),"")</f>
        <v/>
      </c>
      <c r="BC58" s="2" t="str">
        <f ca="1">IFERROR(__xludf.DUMMYFUNCTION("""COMPUTED_VALUE"""),"")</f>
        <v/>
      </c>
      <c r="BD58" s="2" t="str">
        <f ca="1">IFERROR(__xludf.DUMMYFUNCTION("""COMPUTED_VALUE"""),"")</f>
        <v/>
      </c>
      <c r="BE58" s="2" t="str">
        <f ca="1">IFERROR(__xludf.DUMMYFUNCTION("""COMPUTED_VALUE"""),"")</f>
        <v/>
      </c>
      <c r="BF58" t="str">
        <f ca="1">IFERROR(__xludf.DUMMYFUNCTION("""COMPUTED_VALUE"""),"")</f>
        <v/>
      </c>
      <c r="BG58" t="str">
        <f ca="1">IFERROR(__xludf.DUMMYFUNCTION("""COMPUTED_VALUE"""),"")</f>
        <v/>
      </c>
      <c r="BH58" t="str">
        <f ca="1">IFERROR(__xludf.DUMMYFUNCTION("""COMPUTED_VALUE"""),"")</f>
        <v/>
      </c>
      <c r="BI58" t="str">
        <f ca="1">IFERROR(__xludf.DUMMYFUNCTION("""COMPUTED_VALUE"""),"")</f>
        <v/>
      </c>
      <c r="BJ58" s="3" t="str">
        <f ca="1">IFERROR(__xludf.DUMMYFUNCTION("""COMPUTED_VALUE"""),"")</f>
        <v/>
      </c>
    </row>
    <row r="59" spans="1:62" ht="12.5" x14ac:dyDescent="0.25">
      <c r="A59" s="6">
        <f ca="1">IFERROR(__xludf.DUMMYFUNCTION("""COMPUTED_VALUE"""),43258.6741755324)</f>
        <v>43258.674175532396</v>
      </c>
      <c r="B59" s="2" t="str">
        <f ca="1">IFERROR(__xludf.DUMMYFUNCTION("""COMPUTED_VALUE"""),"Bay of Plenty")</f>
        <v>Bay of Plenty</v>
      </c>
      <c r="C59" s="2" t="str">
        <f ca="1">IFERROR(__xludf.DUMMYFUNCTION("""COMPUTED_VALUE"""),"Tx 36 - M-91429")</f>
        <v>Tx 36 - M-91429</v>
      </c>
      <c r="D59" s="10">
        <f ca="1">IFERROR(__xludf.DUMMYFUNCTION("""COMPUTED_VALUE"""),42634)</f>
        <v>42634</v>
      </c>
      <c r="E59" s="4" t="str">
        <f ca="1">IFERROR(__xludf.DUMMYFUNCTION("""COMPUTED_VALUE"""),"")</f>
        <v/>
      </c>
      <c r="F59" s="2" t="str">
        <f ca="1">IFERROR(__xludf.DUMMYFUNCTION("""COMPUTED_VALUE"""),"Waewaetutuki Rd end farm")</f>
        <v>Waewaetutuki Rd end farm</v>
      </c>
      <c r="G59" s="2" t="str">
        <f ca="1">IFERROR(__xludf.DUMMYFUNCTION("""COMPUTED_VALUE"""),"VHF (close approach): I followed the signal until I got within 50 m of the bird")</f>
        <v>VHF (close approach): I followed the signal until I got within 50 m of the bird</v>
      </c>
      <c r="H59" s="2" t="str">
        <f ca="1">IFERROR(__xludf.DUMMYFUNCTION("""COMPUTED_VALUE"""),"")</f>
        <v/>
      </c>
      <c r="I59" s="2" t="str">
        <f ca="1">IFERROR(__xludf.DUMMYFUNCTION("""COMPUTED_VALUE"""),"")</f>
        <v/>
      </c>
      <c r="J59" s="2" t="str">
        <f ca="1">IFERROR(__xludf.DUMMYFUNCTION("""COMPUTED_VALUE"""),"")</f>
        <v/>
      </c>
      <c r="K59" s="2" t="str">
        <f ca="1">IFERROR(__xludf.DUMMYFUNCTION("""COMPUTED_VALUE"""),"")</f>
        <v/>
      </c>
      <c r="L59" s="2" t="str">
        <f ca="1">IFERROR(__xludf.DUMMYFUNCTION("""COMPUTED_VALUE"""),"Yes - it flushed")</f>
        <v>Yes - it flushed</v>
      </c>
      <c r="M59" s="5">
        <f ca="1">IFERROR(__xludf.DUMMYFUNCTION("""COMPUTED_VALUE"""),1904738)</f>
        <v>1904738</v>
      </c>
      <c r="N59" s="5">
        <f ca="1">IFERROR(__xludf.DUMMYFUNCTION("""COMPUTED_VALUE"""),5811950)</f>
        <v>5811950</v>
      </c>
      <c r="O59" s="2" t="str">
        <f ca="1">IFERROR(__xludf.DUMMYFUNCTION("""COMPUTED_VALUE"""),"")</f>
        <v/>
      </c>
      <c r="P59" s="2" t="str">
        <f ca="1">IFERROR(__xludf.DUMMYFUNCTION("""COMPUTED_VALUE"""),"No")</f>
        <v>No</v>
      </c>
      <c r="Q59" s="2" t="str">
        <f ca="1">IFERROR(__xludf.DUMMYFUNCTION("""COMPUTED_VALUE"""),"Wet")</f>
        <v>Wet</v>
      </c>
      <c r="R59" s="2" t="str">
        <f ca="1">IFERROR(__xludf.DUMMYFUNCTION("""COMPUTED_VALUE"""),"2.5 cm")</f>
        <v>2.5 cm</v>
      </c>
      <c r="S59" s="2" t="str">
        <f ca="1">IFERROR(__xludf.DUMMYFUNCTION("""COMPUTED_VALUE"""),"0")</f>
        <v>0</v>
      </c>
      <c r="T59" s="2" t="str">
        <f ca="1">IFERROR(__xludf.DUMMYFUNCTION("""COMPUTED_VALUE"""),"Rank grass")</f>
        <v>Rank grass</v>
      </c>
      <c r="U59" s="2" t="str">
        <f ca="1">IFERROR(__xludf.DUMMYFUNCTION("""COMPUTED_VALUE"""),"Bird spotted flat to ground trying to sneak away, then took to flight flying 300 + meters NE. Spoke with farmer who says there is many frogs on the property. Surface water on paddocks. Photo taken (20160921_163737[1])")</f>
        <v>Bird spotted flat to ground trying to sneak away, then took to flight flying 300 + meters NE. Spoke with farmer who says there is many frogs on the property. Surface water on paddocks. Photo taken (20160921_163737[1])</v>
      </c>
      <c r="V59" s="2" t="str">
        <f ca="1">IFERROR(__xludf.DUMMYFUNCTION("""COMPUTED_VALUE"""),"")</f>
        <v/>
      </c>
      <c r="W59" s="2" t="str">
        <f ca="1">IFERROR(__xludf.DUMMYFUNCTION("""COMPUTED_VALUE"""),"")</f>
        <v/>
      </c>
      <c r="X59" s="2" t="str">
        <f ca="1">IFERROR(__xludf.DUMMYFUNCTION("""COMPUTED_VALUE"""),"")</f>
        <v/>
      </c>
      <c r="Y59" s="2" t="str">
        <f ca="1">IFERROR(__xludf.DUMMYFUNCTION("""COMPUTED_VALUE"""),"")</f>
        <v/>
      </c>
      <c r="Z59" s="2" t="str">
        <f ca="1">IFERROR(__xludf.DUMMYFUNCTION("""COMPUTED_VALUE"""),"")</f>
        <v/>
      </c>
      <c r="AA59" s="2" t="str">
        <f ca="1">IFERROR(__xludf.DUMMYFUNCTION("""COMPUTED_VALUE"""),"")</f>
        <v/>
      </c>
      <c r="AB59" s="2" t="str">
        <f ca="1">IFERROR(__xludf.DUMMYFUNCTION("""COMPUTED_VALUE"""),"")</f>
        <v/>
      </c>
      <c r="AC59" s="2" t="str">
        <f ca="1">IFERROR(__xludf.DUMMYFUNCTION("""COMPUTED_VALUE"""),"")</f>
        <v/>
      </c>
      <c r="AD59" s="2" t="str">
        <f ca="1">IFERROR(__xludf.DUMMYFUNCTION("""COMPUTED_VALUE"""),"")</f>
        <v/>
      </c>
      <c r="AE59" s="2" t="str">
        <f ca="1">IFERROR(__xludf.DUMMYFUNCTION("""COMPUTED_VALUE"""),"")</f>
        <v/>
      </c>
      <c r="AF59" s="2" t="str">
        <f ca="1">IFERROR(__xludf.DUMMYFUNCTION("""COMPUTED_VALUE"""),"")</f>
        <v/>
      </c>
      <c r="AG59" s="2" t="str">
        <f ca="1">IFERROR(__xludf.DUMMYFUNCTION("""COMPUTED_VALUE"""),"")</f>
        <v/>
      </c>
      <c r="AH59" s="2" t="str">
        <f ca="1">IFERROR(__xludf.DUMMYFUNCTION("""COMPUTED_VALUE"""),"")</f>
        <v/>
      </c>
      <c r="AI59" s="2" t="str">
        <f ca="1">IFERROR(__xludf.DUMMYFUNCTION("""COMPUTED_VALUE"""),"")</f>
        <v/>
      </c>
      <c r="AJ59" s="2" t="str">
        <f ca="1">IFERROR(__xludf.DUMMYFUNCTION("""COMPUTED_VALUE"""),"")</f>
        <v/>
      </c>
      <c r="AK59" s="2" t="str">
        <f ca="1">IFERROR(__xludf.DUMMYFUNCTION("""COMPUTED_VALUE"""),"")</f>
        <v/>
      </c>
      <c r="AL59" s="2" t="str">
        <f ca="1">IFERROR(__xludf.DUMMYFUNCTION("""COMPUTED_VALUE"""),"")</f>
        <v/>
      </c>
      <c r="AM59" s="2" t="str">
        <f ca="1">IFERROR(__xludf.DUMMYFUNCTION("""COMPUTED_VALUE"""),"")</f>
        <v/>
      </c>
      <c r="AN59" s="2" t="str">
        <f ca="1">IFERROR(__xludf.DUMMYFUNCTION("""COMPUTED_VALUE"""),"")</f>
        <v/>
      </c>
      <c r="AO59" s="2" t="str">
        <f ca="1">IFERROR(__xludf.DUMMYFUNCTION("""COMPUTED_VALUE"""),"")</f>
        <v/>
      </c>
      <c r="AP59" s="2" t="str">
        <f ca="1">IFERROR(__xludf.DUMMYFUNCTION("""COMPUTED_VALUE"""),"")</f>
        <v/>
      </c>
      <c r="AQ59" s="2" t="str">
        <f ca="1">IFERROR(__xludf.DUMMYFUNCTION("""COMPUTED_VALUE"""),"")</f>
        <v/>
      </c>
      <c r="AR59" s="2" t="str">
        <f ca="1">IFERROR(__xludf.DUMMYFUNCTION("""COMPUTED_VALUE"""),"")</f>
        <v/>
      </c>
      <c r="AS59" s="2" t="str">
        <f ca="1">IFERROR(__xludf.DUMMYFUNCTION("""COMPUTED_VALUE"""),"")</f>
        <v/>
      </c>
      <c r="AT59" s="2" t="str">
        <f ca="1">IFERROR(__xludf.DUMMYFUNCTION("""COMPUTED_VALUE"""),"")</f>
        <v/>
      </c>
      <c r="AU59" s="2" t="str">
        <f ca="1">IFERROR(__xludf.DUMMYFUNCTION("""COMPUTED_VALUE"""),"")</f>
        <v/>
      </c>
      <c r="AV59" s="2" t="str">
        <f ca="1">IFERROR(__xludf.DUMMYFUNCTION("""COMPUTED_VALUE"""),"")</f>
        <v/>
      </c>
      <c r="AW59" s="2" t="str">
        <f ca="1">IFERROR(__xludf.DUMMYFUNCTION("""COMPUTED_VALUE"""),"")</f>
        <v/>
      </c>
      <c r="AX59" s="2" t="str">
        <f ca="1">IFERROR(__xludf.DUMMYFUNCTION("""COMPUTED_VALUE"""),"")</f>
        <v/>
      </c>
      <c r="AY59" s="2" t="str">
        <f ca="1">IFERROR(__xludf.DUMMYFUNCTION("""COMPUTED_VALUE"""),"")</f>
        <v/>
      </c>
      <c r="AZ59" s="2" t="str">
        <f ca="1">IFERROR(__xludf.DUMMYFUNCTION("""COMPUTED_VALUE"""),"")</f>
        <v/>
      </c>
      <c r="BA59" s="2" t="str">
        <f ca="1">IFERROR(__xludf.DUMMYFUNCTION("""COMPUTED_VALUE"""),"")</f>
        <v/>
      </c>
      <c r="BB59" s="2" t="str">
        <f ca="1">IFERROR(__xludf.DUMMYFUNCTION("""COMPUTED_VALUE"""),"")</f>
        <v/>
      </c>
      <c r="BC59" s="2" t="str">
        <f ca="1">IFERROR(__xludf.DUMMYFUNCTION("""COMPUTED_VALUE"""),"")</f>
        <v/>
      </c>
      <c r="BD59" s="2" t="str">
        <f ca="1">IFERROR(__xludf.DUMMYFUNCTION("""COMPUTED_VALUE"""),"")</f>
        <v/>
      </c>
      <c r="BE59" s="2" t="str">
        <f ca="1">IFERROR(__xludf.DUMMYFUNCTION("""COMPUTED_VALUE"""),"")</f>
        <v/>
      </c>
      <c r="BF59" t="str">
        <f ca="1">IFERROR(__xludf.DUMMYFUNCTION("""COMPUTED_VALUE"""),"")</f>
        <v/>
      </c>
      <c r="BG59" t="str">
        <f ca="1">IFERROR(__xludf.DUMMYFUNCTION("""COMPUTED_VALUE"""),"")</f>
        <v/>
      </c>
      <c r="BH59" t="str">
        <f ca="1">IFERROR(__xludf.DUMMYFUNCTION("""COMPUTED_VALUE"""),"")</f>
        <v/>
      </c>
      <c r="BI59" t="str">
        <f ca="1">IFERROR(__xludf.DUMMYFUNCTION("""COMPUTED_VALUE"""),"")</f>
        <v/>
      </c>
      <c r="BJ59" s="3" t="str">
        <f ca="1">IFERROR(__xludf.DUMMYFUNCTION("""COMPUTED_VALUE"""),"")</f>
        <v/>
      </c>
    </row>
    <row r="60" spans="1:62" ht="12.5" x14ac:dyDescent="0.25">
      <c r="A60" s="6">
        <f ca="1">IFERROR(__xludf.DUMMYFUNCTION("""COMPUTED_VALUE"""),43258.6766117129)</f>
        <v>43258.676611712901</v>
      </c>
      <c r="B60" s="2" t="str">
        <f ca="1">IFERROR(__xludf.DUMMYFUNCTION("""COMPUTED_VALUE"""),"Bay of Plenty")</f>
        <v>Bay of Plenty</v>
      </c>
      <c r="C60" s="2" t="str">
        <f ca="1">IFERROR(__xludf.DUMMYFUNCTION("""COMPUTED_VALUE"""),"Tx 38 - Pearl")</f>
        <v>Tx 38 - Pearl</v>
      </c>
      <c r="D60" s="10">
        <f ca="1">IFERROR(__xludf.DUMMYFUNCTION("""COMPUTED_VALUE"""),42649)</f>
        <v>42649</v>
      </c>
      <c r="E60" s="4" t="str">
        <f ca="1">IFERROR(__xludf.DUMMYFUNCTION("""COMPUTED_VALUE"""),"")</f>
        <v/>
      </c>
      <c r="F60" s="2" t="str">
        <f ca="1">IFERROR(__xludf.DUMMYFUNCTION("""COMPUTED_VALUE"""),"Farmland off Little Waihi")</f>
        <v>Farmland off Little Waihi</v>
      </c>
      <c r="G60" s="2" t="str">
        <f ca="1">IFERROR(__xludf.DUMMYFUNCTION("""COMPUTED_VALUE"""),"VHF (close approach): I followed the signal until I got within 50 m of the bird")</f>
        <v>VHF (close approach): I followed the signal until I got within 50 m of the bird</v>
      </c>
      <c r="H60" s="2" t="str">
        <f ca="1">IFERROR(__xludf.DUMMYFUNCTION("""COMPUTED_VALUE"""),"")</f>
        <v/>
      </c>
      <c r="I60" s="2" t="str">
        <f ca="1">IFERROR(__xludf.DUMMYFUNCTION("""COMPUTED_VALUE"""),"")</f>
        <v/>
      </c>
      <c r="J60" s="2" t="str">
        <f ca="1">IFERROR(__xludf.DUMMYFUNCTION("""COMPUTED_VALUE"""),"")</f>
        <v/>
      </c>
      <c r="K60" s="2" t="str">
        <f ca="1">IFERROR(__xludf.DUMMYFUNCTION("""COMPUTED_VALUE"""),"")</f>
        <v/>
      </c>
      <c r="L60" s="2" t="str">
        <f ca="1">IFERROR(__xludf.DUMMYFUNCTION("""COMPUTED_VALUE"""),"No - I got very close to the bird but it was well hidden in the vegetation")</f>
        <v>No - I got very close to the bird but it was well hidden in the vegetation</v>
      </c>
      <c r="M60" s="5">
        <f ca="1">IFERROR(__xludf.DUMMYFUNCTION("""COMPUTED_VALUE"""),1905998)</f>
        <v>1905998</v>
      </c>
      <c r="N60" s="5">
        <f ca="1">IFERROR(__xludf.DUMMYFUNCTION("""COMPUTED_VALUE"""),5812180)</f>
        <v>5812180</v>
      </c>
      <c r="O60" s="2" t="str">
        <f ca="1">IFERROR(__xludf.DUMMYFUNCTION("""COMPUTED_VALUE"""),"")</f>
        <v/>
      </c>
      <c r="P60" s="2" t="str">
        <f ca="1">IFERROR(__xludf.DUMMYFUNCTION("""COMPUTED_VALUE"""),"Yes")</f>
        <v>Yes</v>
      </c>
      <c r="Q60" s="2" t="str">
        <f ca="1">IFERROR(__xludf.DUMMYFUNCTION("""COMPUTED_VALUE"""),"Wet")</f>
        <v>Wet</v>
      </c>
      <c r="R60" s="2" t="str">
        <f ca="1">IFERROR(__xludf.DUMMYFUNCTION("""COMPUTED_VALUE"""),"3 cm")</f>
        <v>3 cm</v>
      </c>
      <c r="S60" s="2" t="str">
        <f ca="1">IFERROR(__xludf.DUMMYFUNCTION("""COMPUTED_VALUE"""),"0")</f>
        <v>0</v>
      </c>
      <c r="T60" s="2" t="str">
        <f ca="1">IFERROR(__xludf.DUMMYFUNCTION("""COMPUTED_VALUE"""),"Rank grass")</f>
        <v>Rank grass</v>
      </c>
      <c r="U60" s="2" t="str">
        <f ca="1">IFERROR(__xludf.DUMMYFUNCTION("""COMPUTED_VALUE"""),"Moving. Accuracy +/- 200 m. Listened from Cutwater rd &amp; pump house, nothing heard. Listened from Wharere Rd end gate, faint signal of male West. louder signal of female also west. Listen from Kaikokopu rd heard male towards Waewaetetuki rd farm. Female no"&amp;"t heard from this location? Male heard loud and clear from Kaikokopu barn in approx samefemale again not picked up. Traveled back to Wharere rd end. female picked up, faint and moving N. West of Scott Pamments house moving NW. Lots of surface water from r"&amp;"ain.")</f>
        <v>Moving. Accuracy +/- 200 m. Listened from Cutwater rd &amp; pump house, nothing heard. Listened from Wharere Rd end gate, faint signal of male West. louder signal of female also west. Listen from Kaikokopu rd heard male towards Waewaetetuki rd farm. Female not heard from this location? Male heard loud and clear from Kaikokopu barn in approx samefemale again not picked up. Traveled back to Wharere rd end. female picked up, faint and moving N. West of Scott Pamments house moving NW. Lots of surface water from rain.</v>
      </c>
      <c r="V60" s="2" t="str">
        <f ca="1">IFERROR(__xludf.DUMMYFUNCTION("""COMPUTED_VALUE"""),"")</f>
        <v/>
      </c>
      <c r="W60" s="2" t="str">
        <f ca="1">IFERROR(__xludf.DUMMYFUNCTION("""COMPUTED_VALUE"""),"")</f>
        <v/>
      </c>
      <c r="X60" s="2" t="str">
        <f ca="1">IFERROR(__xludf.DUMMYFUNCTION("""COMPUTED_VALUE"""),"")</f>
        <v/>
      </c>
      <c r="Y60" s="2" t="str">
        <f ca="1">IFERROR(__xludf.DUMMYFUNCTION("""COMPUTED_VALUE"""),"")</f>
        <v/>
      </c>
      <c r="Z60" s="2" t="str">
        <f ca="1">IFERROR(__xludf.DUMMYFUNCTION("""COMPUTED_VALUE"""),"")</f>
        <v/>
      </c>
      <c r="AA60" s="2" t="str">
        <f ca="1">IFERROR(__xludf.DUMMYFUNCTION("""COMPUTED_VALUE"""),"")</f>
        <v/>
      </c>
      <c r="AB60" s="2" t="str">
        <f ca="1">IFERROR(__xludf.DUMMYFUNCTION("""COMPUTED_VALUE"""),"")</f>
        <v/>
      </c>
      <c r="AC60" s="2" t="str">
        <f ca="1">IFERROR(__xludf.DUMMYFUNCTION("""COMPUTED_VALUE"""),"")</f>
        <v/>
      </c>
      <c r="AD60" s="2" t="str">
        <f ca="1">IFERROR(__xludf.DUMMYFUNCTION("""COMPUTED_VALUE"""),"")</f>
        <v/>
      </c>
      <c r="AE60" s="2" t="str">
        <f ca="1">IFERROR(__xludf.DUMMYFUNCTION("""COMPUTED_VALUE"""),"")</f>
        <v/>
      </c>
      <c r="AF60" s="2" t="str">
        <f ca="1">IFERROR(__xludf.DUMMYFUNCTION("""COMPUTED_VALUE"""),"")</f>
        <v/>
      </c>
      <c r="AG60" s="2" t="str">
        <f ca="1">IFERROR(__xludf.DUMMYFUNCTION("""COMPUTED_VALUE"""),"")</f>
        <v/>
      </c>
      <c r="AH60" s="2" t="str">
        <f ca="1">IFERROR(__xludf.DUMMYFUNCTION("""COMPUTED_VALUE"""),"")</f>
        <v/>
      </c>
      <c r="AI60" s="2" t="str">
        <f ca="1">IFERROR(__xludf.DUMMYFUNCTION("""COMPUTED_VALUE"""),"")</f>
        <v/>
      </c>
      <c r="AJ60" s="2" t="str">
        <f ca="1">IFERROR(__xludf.DUMMYFUNCTION("""COMPUTED_VALUE"""),"")</f>
        <v/>
      </c>
      <c r="AK60" s="2" t="str">
        <f ca="1">IFERROR(__xludf.DUMMYFUNCTION("""COMPUTED_VALUE"""),"")</f>
        <v/>
      </c>
      <c r="AL60" s="2" t="str">
        <f ca="1">IFERROR(__xludf.DUMMYFUNCTION("""COMPUTED_VALUE"""),"")</f>
        <v/>
      </c>
      <c r="AM60" s="2" t="str">
        <f ca="1">IFERROR(__xludf.DUMMYFUNCTION("""COMPUTED_VALUE"""),"")</f>
        <v/>
      </c>
      <c r="AN60" s="2" t="str">
        <f ca="1">IFERROR(__xludf.DUMMYFUNCTION("""COMPUTED_VALUE"""),"")</f>
        <v/>
      </c>
      <c r="AO60" s="2" t="str">
        <f ca="1">IFERROR(__xludf.DUMMYFUNCTION("""COMPUTED_VALUE"""),"")</f>
        <v/>
      </c>
      <c r="AP60" s="2" t="str">
        <f ca="1">IFERROR(__xludf.DUMMYFUNCTION("""COMPUTED_VALUE"""),"")</f>
        <v/>
      </c>
      <c r="AQ60" s="2" t="str">
        <f ca="1">IFERROR(__xludf.DUMMYFUNCTION("""COMPUTED_VALUE"""),"")</f>
        <v/>
      </c>
      <c r="AR60" s="2" t="str">
        <f ca="1">IFERROR(__xludf.DUMMYFUNCTION("""COMPUTED_VALUE"""),"")</f>
        <v/>
      </c>
      <c r="AS60" s="2" t="str">
        <f ca="1">IFERROR(__xludf.DUMMYFUNCTION("""COMPUTED_VALUE"""),"")</f>
        <v/>
      </c>
      <c r="AT60" s="2" t="str">
        <f ca="1">IFERROR(__xludf.DUMMYFUNCTION("""COMPUTED_VALUE"""),"")</f>
        <v/>
      </c>
      <c r="AU60" s="2" t="str">
        <f ca="1">IFERROR(__xludf.DUMMYFUNCTION("""COMPUTED_VALUE"""),"")</f>
        <v/>
      </c>
      <c r="AV60" s="2" t="str">
        <f ca="1">IFERROR(__xludf.DUMMYFUNCTION("""COMPUTED_VALUE"""),"")</f>
        <v/>
      </c>
      <c r="AW60" s="2" t="str">
        <f ca="1">IFERROR(__xludf.DUMMYFUNCTION("""COMPUTED_VALUE"""),"")</f>
        <v/>
      </c>
      <c r="AX60" s="2" t="str">
        <f ca="1">IFERROR(__xludf.DUMMYFUNCTION("""COMPUTED_VALUE"""),"")</f>
        <v/>
      </c>
      <c r="AY60" s="2" t="str">
        <f ca="1">IFERROR(__xludf.DUMMYFUNCTION("""COMPUTED_VALUE"""),"")</f>
        <v/>
      </c>
      <c r="AZ60" s="2" t="str">
        <f ca="1">IFERROR(__xludf.DUMMYFUNCTION("""COMPUTED_VALUE"""),"")</f>
        <v/>
      </c>
      <c r="BA60" s="2" t="str">
        <f ca="1">IFERROR(__xludf.DUMMYFUNCTION("""COMPUTED_VALUE"""),"")</f>
        <v/>
      </c>
      <c r="BB60" s="2" t="str">
        <f ca="1">IFERROR(__xludf.DUMMYFUNCTION("""COMPUTED_VALUE"""),"")</f>
        <v/>
      </c>
      <c r="BC60" s="2" t="str">
        <f ca="1">IFERROR(__xludf.DUMMYFUNCTION("""COMPUTED_VALUE"""),"")</f>
        <v/>
      </c>
      <c r="BD60" s="2" t="str">
        <f ca="1">IFERROR(__xludf.DUMMYFUNCTION("""COMPUTED_VALUE"""),"")</f>
        <v/>
      </c>
      <c r="BE60" s="2" t="str">
        <f ca="1">IFERROR(__xludf.DUMMYFUNCTION("""COMPUTED_VALUE"""),"")</f>
        <v/>
      </c>
      <c r="BF60" t="str">
        <f ca="1">IFERROR(__xludf.DUMMYFUNCTION("""COMPUTED_VALUE"""),"")</f>
        <v/>
      </c>
      <c r="BG60" t="str">
        <f ca="1">IFERROR(__xludf.DUMMYFUNCTION("""COMPUTED_VALUE"""),"")</f>
        <v/>
      </c>
      <c r="BH60" t="str">
        <f ca="1">IFERROR(__xludf.DUMMYFUNCTION("""COMPUTED_VALUE"""),"")</f>
        <v/>
      </c>
      <c r="BI60" t="str">
        <f ca="1">IFERROR(__xludf.DUMMYFUNCTION("""COMPUTED_VALUE"""),"")</f>
        <v/>
      </c>
      <c r="BJ60" s="3" t="str">
        <f ca="1">IFERROR(__xludf.DUMMYFUNCTION("""COMPUTED_VALUE"""),"")</f>
        <v/>
      </c>
    </row>
    <row r="61" spans="1:62" ht="12.5" x14ac:dyDescent="0.25">
      <c r="A61" s="6">
        <f ca="1">IFERROR(__xludf.DUMMYFUNCTION("""COMPUTED_VALUE"""),43258.6800317591)</f>
        <v>43258.680031759097</v>
      </c>
      <c r="B61" s="2" t="str">
        <f ca="1">IFERROR(__xludf.DUMMYFUNCTION("""COMPUTED_VALUE"""),"Bay of Plenty")</f>
        <v>Bay of Plenty</v>
      </c>
      <c r="C61" s="2" t="str">
        <f ca="1">IFERROR(__xludf.DUMMYFUNCTION("""COMPUTED_VALUE"""),"Tx 36 - M-91429")</f>
        <v>Tx 36 - M-91429</v>
      </c>
      <c r="D61" s="10">
        <f ca="1">IFERROR(__xludf.DUMMYFUNCTION("""COMPUTED_VALUE"""),42649)</f>
        <v>42649</v>
      </c>
      <c r="E61" s="4" t="str">
        <f ca="1">IFERROR(__xludf.DUMMYFUNCTION("""COMPUTED_VALUE"""),"")</f>
        <v/>
      </c>
      <c r="F61" s="2" t="str">
        <f ca="1">IFERROR(__xludf.DUMMYFUNCTION("""COMPUTED_VALUE"""),"Waewaetutuki Rd end farm")</f>
        <v>Waewaetutuki Rd end farm</v>
      </c>
      <c r="G61" s="2" t="str">
        <f ca="1">IFERROR(__xludf.DUMMYFUNCTION("""COMPUTED_VALUE"""),"VHF (close approach): I followed the signal until I got within 50 m of the bird")</f>
        <v>VHF (close approach): I followed the signal until I got within 50 m of the bird</v>
      </c>
      <c r="H61" s="2" t="str">
        <f ca="1">IFERROR(__xludf.DUMMYFUNCTION("""COMPUTED_VALUE"""),"")</f>
        <v/>
      </c>
      <c r="I61" s="2" t="str">
        <f ca="1">IFERROR(__xludf.DUMMYFUNCTION("""COMPUTED_VALUE"""),"")</f>
        <v/>
      </c>
      <c r="J61" s="2" t="str">
        <f ca="1">IFERROR(__xludf.DUMMYFUNCTION("""COMPUTED_VALUE"""),"")</f>
        <v/>
      </c>
      <c r="K61" s="2" t="str">
        <f ca="1">IFERROR(__xludf.DUMMYFUNCTION("""COMPUTED_VALUE"""),"")</f>
        <v/>
      </c>
      <c r="L61" s="2" t="str">
        <f ca="1">IFERROR(__xludf.DUMMYFUNCTION("""COMPUTED_VALUE"""),"No - I got very close to the bird but it was well hidden in the vegetation")</f>
        <v>No - I got very close to the bird but it was well hidden in the vegetation</v>
      </c>
      <c r="M61" s="5">
        <f ca="1">IFERROR(__xludf.DUMMYFUNCTION("""COMPUTED_VALUE"""),1904655)</f>
        <v>1904655</v>
      </c>
      <c r="N61" s="5">
        <f ca="1">IFERROR(__xludf.DUMMYFUNCTION("""COMPUTED_VALUE"""),5811898)</f>
        <v>5811898</v>
      </c>
      <c r="O61" s="2" t="str">
        <f ca="1">IFERROR(__xludf.DUMMYFUNCTION("""COMPUTED_VALUE"""),"")</f>
        <v/>
      </c>
      <c r="P61" s="2" t="str">
        <f ca="1">IFERROR(__xludf.DUMMYFUNCTION("""COMPUTED_VALUE"""),"No")</f>
        <v>No</v>
      </c>
      <c r="Q61" s="2" t="str">
        <f ca="1">IFERROR(__xludf.DUMMYFUNCTION("""COMPUTED_VALUE"""),"Wet")</f>
        <v>Wet</v>
      </c>
      <c r="R61" s="2" t="str">
        <f ca="1">IFERROR(__xludf.DUMMYFUNCTION("""COMPUTED_VALUE"""),"2 cm")</f>
        <v>2 cm</v>
      </c>
      <c r="S61" s="2" t="str">
        <f ca="1">IFERROR(__xludf.DUMMYFUNCTION("""COMPUTED_VALUE"""),"0")</f>
        <v>0</v>
      </c>
      <c r="T61" s="2" t="str">
        <f ca="1">IFERROR(__xludf.DUMMYFUNCTION("""COMPUTED_VALUE"""),"Rank grass")</f>
        <v>Rank grass</v>
      </c>
      <c r="U61" s="2" t="str">
        <f ca="1">IFERROR(__xludf.DUMMYFUNCTION("""COMPUTED_VALUE"""),"Moving. Accuracy +/- 200 m. Listened from Cutwater rd &amp; pump house, nothing heard. Listened from Wharere Rd end gate, faint signal of male West. louder signal of female also west. Listen from Kaikokopu rd heard male towards Waewaetetuki rd farm. Female no"&amp;"t heard from this location? Male heard loud and clear from Kaikokopu barn in approx samefemale again not picked up. Traveled back to Wharere rd end. female picked up, faint and moving N. West of Scott Pamments house moving NW. Lots of surface water from r"&amp;"ain.")</f>
        <v>Moving. Accuracy +/- 200 m. Listened from Cutwater rd &amp; pump house, nothing heard. Listened from Wharere Rd end gate, faint signal of male West. louder signal of female also west. Listen from Kaikokopu rd heard male towards Waewaetetuki rd farm. Female not heard from this location? Male heard loud and clear from Kaikokopu barn in approx samefemale again not picked up. Traveled back to Wharere rd end. female picked up, faint and moving N. West of Scott Pamments house moving NW. Lots of surface water from rain.</v>
      </c>
      <c r="V61" s="2" t="str">
        <f ca="1">IFERROR(__xludf.DUMMYFUNCTION("""COMPUTED_VALUE"""),"")</f>
        <v/>
      </c>
      <c r="W61" s="2" t="str">
        <f ca="1">IFERROR(__xludf.DUMMYFUNCTION("""COMPUTED_VALUE"""),"")</f>
        <v/>
      </c>
      <c r="X61" s="2" t="str">
        <f ca="1">IFERROR(__xludf.DUMMYFUNCTION("""COMPUTED_VALUE"""),"")</f>
        <v/>
      </c>
      <c r="Y61" s="2" t="str">
        <f ca="1">IFERROR(__xludf.DUMMYFUNCTION("""COMPUTED_VALUE"""),"")</f>
        <v/>
      </c>
      <c r="Z61" s="2" t="str">
        <f ca="1">IFERROR(__xludf.DUMMYFUNCTION("""COMPUTED_VALUE"""),"")</f>
        <v/>
      </c>
      <c r="AA61" s="2" t="str">
        <f ca="1">IFERROR(__xludf.DUMMYFUNCTION("""COMPUTED_VALUE"""),"")</f>
        <v/>
      </c>
      <c r="AB61" s="2" t="str">
        <f ca="1">IFERROR(__xludf.DUMMYFUNCTION("""COMPUTED_VALUE"""),"")</f>
        <v/>
      </c>
      <c r="AC61" s="2" t="str">
        <f ca="1">IFERROR(__xludf.DUMMYFUNCTION("""COMPUTED_VALUE"""),"")</f>
        <v/>
      </c>
      <c r="AD61" s="2" t="str">
        <f ca="1">IFERROR(__xludf.DUMMYFUNCTION("""COMPUTED_VALUE"""),"")</f>
        <v/>
      </c>
      <c r="AE61" s="2" t="str">
        <f ca="1">IFERROR(__xludf.DUMMYFUNCTION("""COMPUTED_VALUE"""),"")</f>
        <v/>
      </c>
      <c r="AF61" s="2" t="str">
        <f ca="1">IFERROR(__xludf.DUMMYFUNCTION("""COMPUTED_VALUE"""),"")</f>
        <v/>
      </c>
      <c r="AG61" s="2" t="str">
        <f ca="1">IFERROR(__xludf.DUMMYFUNCTION("""COMPUTED_VALUE"""),"")</f>
        <v/>
      </c>
      <c r="AH61" s="2" t="str">
        <f ca="1">IFERROR(__xludf.DUMMYFUNCTION("""COMPUTED_VALUE"""),"")</f>
        <v/>
      </c>
      <c r="AI61" s="2" t="str">
        <f ca="1">IFERROR(__xludf.DUMMYFUNCTION("""COMPUTED_VALUE"""),"")</f>
        <v/>
      </c>
      <c r="AJ61" s="2" t="str">
        <f ca="1">IFERROR(__xludf.DUMMYFUNCTION("""COMPUTED_VALUE"""),"")</f>
        <v/>
      </c>
      <c r="AK61" s="2" t="str">
        <f ca="1">IFERROR(__xludf.DUMMYFUNCTION("""COMPUTED_VALUE"""),"")</f>
        <v/>
      </c>
      <c r="AL61" s="2" t="str">
        <f ca="1">IFERROR(__xludf.DUMMYFUNCTION("""COMPUTED_VALUE"""),"")</f>
        <v/>
      </c>
      <c r="AM61" s="2" t="str">
        <f ca="1">IFERROR(__xludf.DUMMYFUNCTION("""COMPUTED_VALUE"""),"")</f>
        <v/>
      </c>
      <c r="AN61" s="2" t="str">
        <f ca="1">IFERROR(__xludf.DUMMYFUNCTION("""COMPUTED_VALUE"""),"")</f>
        <v/>
      </c>
      <c r="AO61" s="2" t="str">
        <f ca="1">IFERROR(__xludf.DUMMYFUNCTION("""COMPUTED_VALUE"""),"")</f>
        <v/>
      </c>
      <c r="AP61" s="2" t="str">
        <f ca="1">IFERROR(__xludf.DUMMYFUNCTION("""COMPUTED_VALUE"""),"")</f>
        <v/>
      </c>
      <c r="AQ61" s="2" t="str">
        <f ca="1">IFERROR(__xludf.DUMMYFUNCTION("""COMPUTED_VALUE"""),"")</f>
        <v/>
      </c>
      <c r="AR61" s="2" t="str">
        <f ca="1">IFERROR(__xludf.DUMMYFUNCTION("""COMPUTED_VALUE"""),"")</f>
        <v/>
      </c>
      <c r="AS61" s="2" t="str">
        <f ca="1">IFERROR(__xludf.DUMMYFUNCTION("""COMPUTED_VALUE"""),"")</f>
        <v/>
      </c>
      <c r="AT61" s="2" t="str">
        <f ca="1">IFERROR(__xludf.DUMMYFUNCTION("""COMPUTED_VALUE"""),"")</f>
        <v/>
      </c>
      <c r="AU61" s="2" t="str">
        <f ca="1">IFERROR(__xludf.DUMMYFUNCTION("""COMPUTED_VALUE"""),"")</f>
        <v/>
      </c>
      <c r="AV61" s="2" t="str">
        <f ca="1">IFERROR(__xludf.DUMMYFUNCTION("""COMPUTED_VALUE"""),"")</f>
        <v/>
      </c>
      <c r="AW61" s="2" t="str">
        <f ca="1">IFERROR(__xludf.DUMMYFUNCTION("""COMPUTED_VALUE"""),"")</f>
        <v/>
      </c>
      <c r="AX61" s="2" t="str">
        <f ca="1">IFERROR(__xludf.DUMMYFUNCTION("""COMPUTED_VALUE"""),"")</f>
        <v/>
      </c>
      <c r="AY61" s="2" t="str">
        <f ca="1">IFERROR(__xludf.DUMMYFUNCTION("""COMPUTED_VALUE"""),"")</f>
        <v/>
      </c>
      <c r="AZ61" s="2" t="str">
        <f ca="1">IFERROR(__xludf.DUMMYFUNCTION("""COMPUTED_VALUE"""),"")</f>
        <v/>
      </c>
      <c r="BA61" s="2" t="str">
        <f ca="1">IFERROR(__xludf.DUMMYFUNCTION("""COMPUTED_VALUE"""),"")</f>
        <v/>
      </c>
      <c r="BB61" s="2" t="str">
        <f ca="1">IFERROR(__xludf.DUMMYFUNCTION("""COMPUTED_VALUE"""),"")</f>
        <v/>
      </c>
      <c r="BC61" s="2" t="str">
        <f ca="1">IFERROR(__xludf.DUMMYFUNCTION("""COMPUTED_VALUE"""),"")</f>
        <v/>
      </c>
      <c r="BD61" s="2" t="str">
        <f ca="1">IFERROR(__xludf.DUMMYFUNCTION("""COMPUTED_VALUE"""),"")</f>
        <v/>
      </c>
      <c r="BE61" s="2" t="str">
        <f ca="1">IFERROR(__xludf.DUMMYFUNCTION("""COMPUTED_VALUE"""),"")</f>
        <v/>
      </c>
      <c r="BF61" t="str">
        <f ca="1">IFERROR(__xludf.DUMMYFUNCTION("""COMPUTED_VALUE"""),"")</f>
        <v/>
      </c>
      <c r="BG61" t="str">
        <f ca="1">IFERROR(__xludf.DUMMYFUNCTION("""COMPUTED_VALUE"""),"")</f>
        <v/>
      </c>
      <c r="BH61" t="str">
        <f ca="1">IFERROR(__xludf.DUMMYFUNCTION("""COMPUTED_VALUE"""),"")</f>
        <v/>
      </c>
      <c r="BI61" t="str">
        <f ca="1">IFERROR(__xludf.DUMMYFUNCTION("""COMPUTED_VALUE"""),"")</f>
        <v/>
      </c>
      <c r="BJ61" s="3" t="str">
        <f ca="1">IFERROR(__xludf.DUMMYFUNCTION("""COMPUTED_VALUE"""),"")</f>
        <v/>
      </c>
    </row>
    <row r="62" spans="1:62" ht="12.5" x14ac:dyDescent="0.25">
      <c r="A62" s="6">
        <f ca="1">IFERROR(__xludf.DUMMYFUNCTION("""COMPUTED_VALUE"""),43258.6821376967)</f>
        <v>43258.682137696698</v>
      </c>
      <c r="B62" s="2" t="str">
        <f ca="1">IFERROR(__xludf.DUMMYFUNCTION("""COMPUTED_VALUE"""),"Bay of Plenty")</f>
        <v>Bay of Plenty</v>
      </c>
      <c r="C62" s="2" t="str">
        <f ca="1">IFERROR(__xludf.DUMMYFUNCTION("""COMPUTED_VALUE"""),"Tx 36 - M-91429")</f>
        <v>Tx 36 - M-91429</v>
      </c>
      <c r="D62" s="10">
        <f ca="1">IFERROR(__xludf.DUMMYFUNCTION("""COMPUTED_VALUE"""),42686)</f>
        <v>42686</v>
      </c>
      <c r="E62" s="4" t="str">
        <f ca="1">IFERROR(__xludf.DUMMYFUNCTION("""COMPUTED_VALUE"""),"")</f>
        <v/>
      </c>
      <c r="F62" s="2" t="str">
        <f ca="1">IFERROR(__xludf.DUMMYFUNCTION("""COMPUTED_VALUE"""),"Waewaetutuki rd end farm side")</f>
        <v>Waewaetutuki rd end farm side</v>
      </c>
      <c r="G62" s="2" t="str">
        <f ca="1">IFERROR(__xludf.DUMMYFUNCTION("""COMPUTED_VALUE"""),"VHF (close approach): I followed the signal until I got within 50 m of the bird")</f>
        <v>VHF (close approach): I followed the signal until I got within 50 m of the bird</v>
      </c>
      <c r="H62" s="2" t="str">
        <f ca="1">IFERROR(__xludf.DUMMYFUNCTION("""COMPUTED_VALUE"""),"")</f>
        <v/>
      </c>
      <c r="I62" s="2" t="str">
        <f ca="1">IFERROR(__xludf.DUMMYFUNCTION("""COMPUTED_VALUE"""),"")</f>
        <v/>
      </c>
      <c r="J62" s="2" t="str">
        <f ca="1">IFERROR(__xludf.DUMMYFUNCTION("""COMPUTED_VALUE"""),"")</f>
        <v/>
      </c>
      <c r="K62" s="2" t="str">
        <f ca="1">IFERROR(__xludf.DUMMYFUNCTION("""COMPUTED_VALUE"""),"")</f>
        <v/>
      </c>
      <c r="L62" s="2" t="str">
        <f ca="1">IFERROR(__xludf.DUMMYFUNCTION("""COMPUTED_VALUE"""),"No - I got very close to the bird but it was well hidden in the vegetation")</f>
        <v>No - I got very close to the bird but it was well hidden in the vegetation</v>
      </c>
      <c r="M62" s="5">
        <f ca="1">IFERROR(__xludf.DUMMYFUNCTION("""COMPUTED_VALUE"""),1904971)</f>
        <v>1904971</v>
      </c>
      <c r="N62" s="5">
        <f ca="1">IFERROR(__xludf.DUMMYFUNCTION("""COMPUTED_VALUE"""),5812207)</f>
        <v>5812207</v>
      </c>
      <c r="O62" s="2" t="str">
        <f ca="1">IFERROR(__xludf.DUMMYFUNCTION("""COMPUTED_VALUE"""),"")</f>
        <v/>
      </c>
      <c r="P62" s="2" t="str">
        <f ca="1">IFERROR(__xludf.DUMMYFUNCTION("""COMPUTED_VALUE"""),"Don't know")</f>
        <v>Don't know</v>
      </c>
      <c r="Q62" s="2" t="str">
        <f ca="1">IFERROR(__xludf.DUMMYFUNCTION("""COMPUTED_VALUE"""),"Don't know")</f>
        <v>Don't know</v>
      </c>
      <c r="R62" s="2" t="str">
        <f ca="1">IFERROR(__xludf.DUMMYFUNCTION("""COMPUTED_VALUE"""),"Unk")</f>
        <v>Unk</v>
      </c>
      <c r="S62" s="2" t="str">
        <f ca="1">IFERROR(__xludf.DUMMYFUNCTION("""COMPUTED_VALUE"""),"Unk")</f>
        <v>Unk</v>
      </c>
      <c r="T62" s="2" t="str">
        <f ca="1">IFERROR(__xludf.DUMMYFUNCTION("""COMPUTED_VALUE"""),"Unk")</f>
        <v>Unk</v>
      </c>
      <c r="U62" s="2" t="str">
        <f ca="1">IFERROR(__xludf.DUMMYFUNCTION("""COMPUTED_VALUE"""),"None")</f>
        <v>None</v>
      </c>
      <c r="V62" s="2" t="str">
        <f ca="1">IFERROR(__xludf.DUMMYFUNCTION("""COMPUTED_VALUE"""),"")</f>
        <v/>
      </c>
      <c r="W62" s="2" t="str">
        <f ca="1">IFERROR(__xludf.DUMMYFUNCTION("""COMPUTED_VALUE"""),"")</f>
        <v/>
      </c>
      <c r="X62" s="2" t="str">
        <f ca="1">IFERROR(__xludf.DUMMYFUNCTION("""COMPUTED_VALUE"""),"")</f>
        <v/>
      </c>
      <c r="Y62" s="2" t="str">
        <f ca="1">IFERROR(__xludf.DUMMYFUNCTION("""COMPUTED_VALUE"""),"")</f>
        <v/>
      </c>
      <c r="Z62" s="2" t="str">
        <f ca="1">IFERROR(__xludf.DUMMYFUNCTION("""COMPUTED_VALUE"""),"")</f>
        <v/>
      </c>
      <c r="AA62" s="2" t="str">
        <f ca="1">IFERROR(__xludf.DUMMYFUNCTION("""COMPUTED_VALUE"""),"")</f>
        <v/>
      </c>
      <c r="AB62" s="2" t="str">
        <f ca="1">IFERROR(__xludf.DUMMYFUNCTION("""COMPUTED_VALUE"""),"")</f>
        <v/>
      </c>
      <c r="AC62" s="2" t="str">
        <f ca="1">IFERROR(__xludf.DUMMYFUNCTION("""COMPUTED_VALUE"""),"")</f>
        <v/>
      </c>
      <c r="AD62" s="2" t="str">
        <f ca="1">IFERROR(__xludf.DUMMYFUNCTION("""COMPUTED_VALUE"""),"")</f>
        <v/>
      </c>
      <c r="AE62" s="2" t="str">
        <f ca="1">IFERROR(__xludf.DUMMYFUNCTION("""COMPUTED_VALUE"""),"")</f>
        <v/>
      </c>
      <c r="AF62" s="2" t="str">
        <f ca="1">IFERROR(__xludf.DUMMYFUNCTION("""COMPUTED_VALUE"""),"")</f>
        <v/>
      </c>
      <c r="AG62" s="2" t="str">
        <f ca="1">IFERROR(__xludf.DUMMYFUNCTION("""COMPUTED_VALUE"""),"")</f>
        <v/>
      </c>
      <c r="AH62" s="2" t="str">
        <f ca="1">IFERROR(__xludf.DUMMYFUNCTION("""COMPUTED_VALUE"""),"")</f>
        <v/>
      </c>
      <c r="AI62" s="2" t="str">
        <f ca="1">IFERROR(__xludf.DUMMYFUNCTION("""COMPUTED_VALUE"""),"")</f>
        <v/>
      </c>
      <c r="AJ62" s="2" t="str">
        <f ca="1">IFERROR(__xludf.DUMMYFUNCTION("""COMPUTED_VALUE"""),"")</f>
        <v/>
      </c>
      <c r="AK62" s="2" t="str">
        <f ca="1">IFERROR(__xludf.DUMMYFUNCTION("""COMPUTED_VALUE"""),"")</f>
        <v/>
      </c>
      <c r="AL62" s="2" t="str">
        <f ca="1">IFERROR(__xludf.DUMMYFUNCTION("""COMPUTED_VALUE"""),"")</f>
        <v/>
      </c>
      <c r="AM62" s="2" t="str">
        <f ca="1">IFERROR(__xludf.DUMMYFUNCTION("""COMPUTED_VALUE"""),"")</f>
        <v/>
      </c>
      <c r="AN62" s="2" t="str">
        <f ca="1">IFERROR(__xludf.DUMMYFUNCTION("""COMPUTED_VALUE"""),"")</f>
        <v/>
      </c>
      <c r="AO62" s="2" t="str">
        <f ca="1">IFERROR(__xludf.DUMMYFUNCTION("""COMPUTED_VALUE"""),"")</f>
        <v/>
      </c>
      <c r="AP62" s="2" t="str">
        <f ca="1">IFERROR(__xludf.DUMMYFUNCTION("""COMPUTED_VALUE"""),"")</f>
        <v/>
      </c>
      <c r="AQ62" s="2" t="str">
        <f ca="1">IFERROR(__xludf.DUMMYFUNCTION("""COMPUTED_VALUE"""),"")</f>
        <v/>
      </c>
      <c r="AR62" s="2" t="str">
        <f ca="1">IFERROR(__xludf.DUMMYFUNCTION("""COMPUTED_VALUE"""),"")</f>
        <v/>
      </c>
      <c r="AS62" s="2" t="str">
        <f ca="1">IFERROR(__xludf.DUMMYFUNCTION("""COMPUTED_VALUE"""),"")</f>
        <v/>
      </c>
      <c r="AT62" s="2" t="str">
        <f ca="1">IFERROR(__xludf.DUMMYFUNCTION("""COMPUTED_VALUE"""),"")</f>
        <v/>
      </c>
      <c r="AU62" s="2" t="str">
        <f ca="1">IFERROR(__xludf.DUMMYFUNCTION("""COMPUTED_VALUE"""),"")</f>
        <v/>
      </c>
      <c r="AV62" s="2" t="str">
        <f ca="1">IFERROR(__xludf.DUMMYFUNCTION("""COMPUTED_VALUE"""),"")</f>
        <v/>
      </c>
      <c r="AW62" s="2" t="str">
        <f ca="1">IFERROR(__xludf.DUMMYFUNCTION("""COMPUTED_VALUE"""),"")</f>
        <v/>
      </c>
      <c r="AX62" s="2" t="str">
        <f ca="1">IFERROR(__xludf.DUMMYFUNCTION("""COMPUTED_VALUE"""),"")</f>
        <v/>
      </c>
      <c r="AY62" s="2" t="str">
        <f ca="1">IFERROR(__xludf.DUMMYFUNCTION("""COMPUTED_VALUE"""),"")</f>
        <v/>
      </c>
      <c r="AZ62" s="2" t="str">
        <f ca="1">IFERROR(__xludf.DUMMYFUNCTION("""COMPUTED_VALUE"""),"")</f>
        <v/>
      </c>
      <c r="BA62" s="2" t="str">
        <f ca="1">IFERROR(__xludf.DUMMYFUNCTION("""COMPUTED_VALUE"""),"")</f>
        <v/>
      </c>
      <c r="BB62" s="2" t="str">
        <f ca="1">IFERROR(__xludf.DUMMYFUNCTION("""COMPUTED_VALUE"""),"")</f>
        <v/>
      </c>
      <c r="BC62" s="2" t="str">
        <f ca="1">IFERROR(__xludf.DUMMYFUNCTION("""COMPUTED_VALUE"""),"")</f>
        <v/>
      </c>
      <c r="BD62" s="2" t="str">
        <f ca="1">IFERROR(__xludf.DUMMYFUNCTION("""COMPUTED_VALUE"""),"")</f>
        <v/>
      </c>
      <c r="BE62" s="2" t="str">
        <f ca="1">IFERROR(__xludf.DUMMYFUNCTION("""COMPUTED_VALUE"""),"")</f>
        <v/>
      </c>
      <c r="BF62" t="str">
        <f ca="1">IFERROR(__xludf.DUMMYFUNCTION("""COMPUTED_VALUE"""),"")</f>
        <v/>
      </c>
      <c r="BG62" t="str">
        <f ca="1">IFERROR(__xludf.DUMMYFUNCTION("""COMPUTED_VALUE"""),"")</f>
        <v/>
      </c>
      <c r="BH62" t="str">
        <f ca="1">IFERROR(__xludf.DUMMYFUNCTION("""COMPUTED_VALUE"""),"")</f>
        <v/>
      </c>
      <c r="BI62" t="str">
        <f ca="1">IFERROR(__xludf.DUMMYFUNCTION("""COMPUTED_VALUE"""),"")</f>
        <v/>
      </c>
      <c r="BJ62" s="3" t="str">
        <f ca="1">IFERROR(__xludf.DUMMYFUNCTION("""COMPUTED_VALUE"""),"")</f>
        <v/>
      </c>
    </row>
    <row r="63" spans="1:62" ht="12.5" x14ac:dyDescent="0.25">
      <c r="A63" s="6">
        <f ca="1">IFERROR(__xludf.DUMMYFUNCTION("""COMPUTED_VALUE"""),43258.68513875)</f>
        <v>43258.685138749999</v>
      </c>
      <c r="B63" s="2" t="str">
        <f ca="1">IFERROR(__xludf.DUMMYFUNCTION("""COMPUTED_VALUE"""),"Bay of Plenty")</f>
        <v>Bay of Plenty</v>
      </c>
      <c r="C63" s="2" t="str">
        <f ca="1">IFERROR(__xludf.DUMMYFUNCTION("""COMPUTED_VALUE"""),"Tx 38 - Pearl")</f>
        <v>Tx 38 - Pearl</v>
      </c>
      <c r="D63" s="10">
        <f ca="1">IFERROR(__xludf.DUMMYFUNCTION("""COMPUTED_VALUE"""),42686)</f>
        <v>42686</v>
      </c>
      <c r="E63" s="4" t="str">
        <f ca="1">IFERROR(__xludf.DUMMYFUNCTION("""COMPUTED_VALUE"""),"")</f>
        <v/>
      </c>
      <c r="F63" s="2" t="str">
        <f ca="1">IFERROR(__xludf.DUMMYFUNCTION("""COMPUTED_VALUE"""),"Little Waihi")</f>
        <v>Little Waihi</v>
      </c>
      <c r="G63" s="2" t="str">
        <f ca="1">IFERROR(__xludf.DUMMYFUNCTION("""COMPUTED_VALUE"""),"VHF (close approach): I followed the signal until I got within 50 m of the bird")</f>
        <v>VHF (close approach): I followed the signal until I got within 50 m of the bird</v>
      </c>
      <c r="H63" s="2" t="str">
        <f ca="1">IFERROR(__xludf.DUMMYFUNCTION("""COMPUTED_VALUE"""),"")</f>
        <v/>
      </c>
      <c r="I63" s="2" t="str">
        <f ca="1">IFERROR(__xludf.DUMMYFUNCTION("""COMPUTED_VALUE"""),"")</f>
        <v/>
      </c>
      <c r="J63" s="2" t="str">
        <f ca="1">IFERROR(__xludf.DUMMYFUNCTION("""COMPUTED_VALUE"""),"")</f>
        <v/>
      </c>
      <c r="K63" s="2" t="str">
        <f ca="1">IFERROR(__xludf.DUMMYFUNCTION("""COMPUTED_VALUE"""),"")</f>
        <v/>
      </c>
      <c r="L63" s="2" t="str">
        <f ca="1">IFERROR(__xludf.DUMMYFUNCTION("""COMPUTED_VALUE"""),"No - I got very close to the bird but it was well hidden in the vegetation")</f>
        <v>No - I got very close to the bird but it was well hidden in the vegetation</v>
      </c>
      <c r="M63" s="5">
        <f ca="1">IFERROR(__xludf.DUMMYFUNCTION("""COMPUTED_VALUE"""),1907234)</f>
        <v>1907234</v>
      </c>
      <c r="N63" s="5">
        <f ca="1">IFERROR(__xludf.DUMMYFUNCTION("""COMPUTED_VALUE"""),5812031)</f>
        <v>5812031</v>
      </c>
      <c r="O63" s="2" t="str">
        <f ca="1">IFERROR(__xludf.DUMMYFUNCTION("""COMPUTED_VALUE"""),"")</f>
        <v/>
      </c>
      <c r="P63" s="2" t="str">
        <f ca="1">IFERROR(__xludf.DUMMYFUNCTION("""COMPUTED_VALUE"""),"Don't know")</f>
        <v>Don't know</v>
      </c>
      <c r="Q63" s="2" t="str">
        <f ca="1">IFERROR(__xludf.DUMMYFUNCTION("""COMPUTED_VALUE"""),"Don't know")</f>
        <v>Don't know</v>
      </c>
      <c r="R63" s="2" t="str">
        <f ca="1">IFERROR(__xludf.DUMMYFUNCTION("""COMPUTED_VALUE"""),"Unk")</f>
        <v>Unk</v>
      </c>
      <c r="S63" s="2" t="str">
        <f ca="1">IFERROR(__xludf.DUMMYFUNCTION("""COMPUTED_VALUE"""),"Unk")</f>
        <v>Unk</v>
      </c>
      <c r="T63" s="2" t="str">
        <f ca="1">IFERROR(__xludf.DUMMYFUNCTION("""COMPUTED_VALUE"""),"Unk")</f>
        <v>Unk</v>
      </c>
      <c r="U63" s="2" t="str">
        <f ca="1">IFERROR(__xludf.DUMMYFUNCTION("""COMPUTED_VALUE"""),"Some surface flooding in places. i.e cutwater rd lots of puddles all the way up rd. Locational notes: Pongakawa stock banks? Possibly around small pond on Pammetts?")</f>
        <v>Some surface flooding in places. i.e cutwater rd lots of puddles all the way up rd. Locational notes: Pongakawa stock banks? Possibly around small pond on Pammetts?</v>
      </c>
      <c r="V63" s="2" t="str">
        <f ca="1">IFERROR(__xludf.DUMMYFUNCTION("""COMPUTED_VALUE"""),"")</f>
        <v/>
      </c>
      <c r="W63" s="2" t="str">
        <f ca="1">IFERROR(__xludf.DUMMYFUNCTION("""COMPUTED_VALUE"""),"")</f>
        <v/>
      </c>
      <c r="X63" s="2" t="str">
        <f ca="1">IFERROR(__xludf.DUMMYFUNCTION("""COMPUTED_VALUE"""),"")</f>
        <v/>
      </c>
      <c r="Y63" s="2" t="str">
        <f ca="1">IFERROR(__xludf.DUMMYFUNCTION("""COMPUTED_VALUE"""),"")</f>
        <v/>
      </c>
      <c r="Z63" s="2" t="str">
        <f ca="1">IFERROR(__xludf.DUMMYFUNCTION("""COMPUTED_VALUE"""),"")</f>
        <v/>
      </c>
      <c r="AA63" s="2" t="str">
        <f ca="1">IFERROR(__xludf.DUMMYFUNCTION("""COMPUTED_VALUE"""),"")</f>
        <v/>
      </c>
      <c r="AB63" s="2" t="str">
        <f ca="1">IFERROR(__xludf.DUMMYFUNCTION("""COMPUTED_VALUE"""),"")</f>
        <v/>
      </c>
      <c r="AC63" s="2" t="str">
        <f ca="1">IFERROR(__xludf.DUMMYFUNCTION("""COMPUTED_VALUE"""),"")</f>
        <v/>
      </c>
      <c r="AD63" s="2" t="str">
        <f ca="1">IFERROR(__xludf.DUMMYFUNCTION("""COMPUTED_VALUE"""),"")</f>
        <v/>
      </c>
      <c r="AE63" s="2" t="str">
        <f ca="1">IFERROR(__xludf.DUMMYFUNCTION("""COMPUTED_VALUE"""),"")</f>
        <v/>
      </c>
      <c r="AF63" s="2" t="str">
        <f ca="1">IFERROR(__xludf.DUMMYFUNCTION("""COMPUTED_VALUE"""),"")</f>
        <v/>
      </c>
      <c r="AG63" s="2" t="str">
        <f ca="1">IFERROR(__xludf.DUMMYFUNCTION("""COMPUTED_VALUE"""),"")</f>
        <v/>
      </c>
      <c r="AH63" s="2" t="str">
        <f ca="1">IFERROR(__xludf.DUMMYFUNCTION("""COMPUTED_VALUE"""),"")</f>
        <v/>
      </c>
      <c r="AI63" s="2" t="str">
        <f ca="1">IFERROR(__xludf.DUMMYFUNCTION("""COMPUTED_VALUE"""),"")</f>
        <v/>
      </c>
      <c r="AJ63" s="2" t="str">
        <f ca="1">IFERROR(__xludf.DUMMYFUNCTION("""COMPUTED_VALUE"""),"")</f>
        <v/>
      </c>
      <c r="AK63" s="2" t="str">
        <f ca="1">IFERROR(__xludf.DUMMYFUNCTION("""COMPUTED_VALUE"""),"")</f>
        <v/>
      </c>
      <c r="AL63" s="2" t="str">
        <f ca="1">IFERROR(__xludf.DUMMYFUNCTION("""COMPUTED_VALUE"""),"")</f>
        <v/>
      </c>
      <c r="AM63" s="2" t="str">
        <f ca="1">IFERROR(__xludf.DUMMYFUNCTION("""COMPUTED_VALUE"""),"")</f>
        <v/>
      </c>
      <c r="AN63" s="2" t="str">
        <f ca="1">IFERROR(__xludf.DUMMYFUNCTION("""COMPUTED_VALUE"""),"")</f>
        <v/>
      </c>
      <c r="AO63" s="2" t="str">
        <f ca="1">IFERROR(__xludf.DUMMYFUNCTION("""COMPUTED_VALUE"""),"")</f>
        <v/>
      </c>
      <c r="AP63" s="2" t="str">
        <f ca="1">IFERROR(__xludf.DUMMYFUNCTION("""COMPUTED_VALUE"""),"")</f>
        <v/>
      </c>
      <c r="AQ63" s="2" t="str">
        <f ca="1">IFERROR(__xludf.DUMMYFUNCTION("""COMPUTED_VALUE"""),"")</f>
        <v/>
      </c>
      <c r="AR63" s="2" t="str">
        <f ca="1">IFERROR(__xludf.DUMMYFUNCTION("""COMPUTED_VALUE"""),"")</f>
        <v/>
      </c>
      <c r="AS63" s="2" t="str">
        <f ca="1">IFERROR(__xludf.DUMMYFUNCTION("""COMPUTED_VALUE"""),"")</f>
        <v/>
      </c>
      <c r="AT63" s="2" t="str">
        <f ca="1">IFERROR(__xludf.DUMMYFUNCTION("""COMPUTED_VALUE"""),"")</f>
        <v/>
      </c>
      <c r="AU63" s="2" t="str">
        <f ca="1">IFERROR(__xludf.DUMMYFUNCTION("""COMPUTED_VALUE"""),"")</f>
        <v/>
      </c>
      <c r="AV63" s="2" t="str">
        <f ca="1">IFERROR(__xludf.DUMMYFUNCTION("""COMPUTED_VALUE"""),"")</f>
        <v/>
      </c>
      <c r="AW63" s="2" t="str">
        <f ca="1">IFERROR(__xludf.DUMMYFUNCTION("""COMPUTED_VALUE"""),"")</f>
        <v/>
      </c>
      <c r="AX63" s="2" t="str">
        <f ca="1">IFERROR(__xludf.DUMMYFUNCTION("""COMPUTED_VALUE"""),"")</f>
        <v/>
      </c>
      <c r="AY63" s="2" t="str">
        <f ca="1">IFERROR(__xludf.DUMMYFUNCTION("""COMPUTED_VALUE"""),"")</f>
        <v/>
      </c>
      <c r="AZ63" s="2" t="str">
        <f ca="1">IFERROR(__xludf.DUMMYFUNCTION("""COMPUTED_VALUE"""),"")</f>
        <v/>
      </c>
      <c r="BA63" s="2" t="str">
        <f ca="1">IFERROR(__xludf.DUMMYFUNCTION("""COMPUTED_VALUE"""),"")</f>
        <v/>
      </c>
      <c r="BB63" s="2" t="str">
        <f ca="1">IFERROR(__xludf.DUMMYFUNCTION("""COMPUTED_VALUE"""),"")</f>
        <v/>
      </c>
      <c r="BC63" s="2" t="str">
        <f ca="1">IFERROR(__xludf.DUMMYFUNCTION("""COMPUTED_VALUE"""),"")</f>
        <v/>
      </c>
      <c r="BD63" s="2" t="str">
        <f ca="1">IFERROR(__xludf.DUMMYFUNCTION("""COMPUTED_VALUE"""),"")</f>
        <v/>
      </c>
      <c r="BE63" s="2" t="str">
        <f ca="1">IFERROR(__xludf.DUMMYFUNCTION("""COMPUTED_VALUE"""),"")</f>
        <v/>
      </c>
      <c r="BF63" t="str">
        <f ca="1">IFERROR(__xludf.DUMMYFUNCTION("""COMPUTED_VALUE"""),"")</f>
        <v/>
      </c>
      <c r="BG63" t="str">
        <f ca="1">IFERROR(__xludf.DUMMYFUNCTION("""COMPUTED_VALUE"""),"")</f>
        <v/>
      </c>
      <c r="BH63" t="str">
        <f ca="1">IFERROR(__xludf.DUMMYFUNCTION("""COMPUTED_VALUE"""),"")</f>
        <v/>
      </c>
      <c r="BI63" t="str">
        <f ca="1">IFERROR(__xludf.DUMMYFUNCTION("""COMPUTED_VALUE"""),"")</f>
        <v/>
      </c>
      <c r="BJ63" s="3" t="str">
        <f ca="1">IFERROR(__xludf.DUMMYFUNCTION("""COMPUTED_VALUE"""),"")</f>
        <v/>
      </c>
    </row>
    <row r="64" spans="1:62" ht="12.5" x14ac:dyDescent="0.25">
      <c r="A64" s="6">
        <f ca="1">IFERROR(__xludf.DUMMYFUNCTION("""COMPUTED_VALUE"""),43269.9059358564)</f>
        <v>43269.905935856397</v>
      </c>
      <c r="B64" s="2" t="str">
        <f ca="1">IFERROR(__xludf.DUMMYFUNCTION("""COMPUTED_VALUE"""),"Bay of Plenty")</f>
        <v>Bay of Plenty</v>
      </c>
      <c r="C64" s="2" t="str">
        <f ca="1">IFERROR(__xludf.DUMMYFUNCTION("""COMPUTED_VALUE"""),"Tx 17 - Teddy")</f>
        <v>Tx 17 - Teddy</v>
      </c>
      <c r="D64" s="10">
        <f ca="1">IFERROR(__xludf.DUMMYFUNCTION("""COMPUTED_VALUE"""),43238)</f>
        <v>43238</v>
      </c>
      <c r="E64" s="4">
        <f ca="1">IFERROR(__xludf.DUMMYFUNCTION("""COMPUTED_VALUE"""),0.329861111109494)</f>
        <v>0.32986111110949401</v>
      </c>
      <c r="F64" s="2" t="str">
        <f ca="1">IFERROR(__xludf.DUMMYFUNCTION("""COMPUTED_VALUE"""),"Little Waihi")</f>
        <v>Little Waihi</v>
      </c>
      <c r="G64" s="2" t="str">
        <f ca="1">IFERROR(__xludf.DUMMYFUNCTION("""COMPUTED_VALUE"""),"GPS: I converted data downloaded from ARGOS using Pinpoint software")</f>
        <v>GPS: I converted data downloaded from ARGOS using Pinpoint software</v>
      </c>
      <c r="H64" s="2" t="str">
        <f ca="1">IFERROR(__xludf.DUMMYFUNCTION("""COMPUTED_VALUE"""),"")</f>
        <v/>
      </c>
      <c r="I64" s="2" t="str">
        <f ca="1">IFERROR(__xludf.DUMMYFUNCTION("""COMPUTED_VALUE"""),"")</f>
        <v/>
      </c>
      <c r="J64" s="2" t="str">
        <f ca="1">IFERROR(__xludf.DUMMYFUNCTION("""COMPUTED_VALUE"""),"")</f>
        <v/>
      </c>
      <c r="K64" s="2" t="str">
        <f ca="1">IFERROR(__xludf.DUMMYFUNCTION("""COMPUTED_VALUE"""),"")</f>
        <v/>
      </c>
      <c r="L64" s="2" t="str">
        <f ca="1">IFERROR(__xludf.DUMMYFUNCTION("""COMPUTED_VALUE"""),"")</f>
        <v/>
      </c>
      <c r="M64" s="5" t="str">
        <f ca="1">IFERROR(__xludf.DUMMYFUNCTION("""COMPUTED_VALUE"""),"")</f>
        <v/>
      </c>
      <c r="N64" s="5" t="str">
        <f ca="1">IFERROR(__xludf.DUMMYFUNCTION("""COMPUTED_VALUE"""),"")</f>
        <v/>
      </c>
      <c r="O64" s="2" t="str">
        <f ca="1">IFERROR(__xludf.DUMMYFUNCTION("""COMPUTED_VALUE"""),"")</f>
        <v/>
      </c>
      <c r="P64" s="2" t="str">
        <f ca="1">IFERROR(__xludf.DUMMYFUNCTION("""COMPUTED_VALUE"""),"")</f>
        <v/>
      </c>
      <c r="Q64" s="2" t="str">
        <f ca="1">IFERROR(__xludf.DUMMYFUNCTION("""COMPUTED_VALUE"""),"")</f>
        <v/>
      </c>
      <c r="R64" s="2" t="str">
        <f ca="1">IFERROR(__xludf.DUMMYFUNCTION("""COMPUTED_VALUE"""),"")</f>
        <v/>
      </c>
      <c r="S64" s="2" t="str">
        <f ca="1">IFERROR(__xludf.DUMMYFUNCTION("""COMPUTED_VALUE"""),"")</f>
        <v/>
      </c>
      <c r="T64" s="2" t="str">
        <f ca="1">IFERROR(__xludf.DUMMYFUNCTION("""COMPUTED_VALUE"""),"")</f>
        <v/>
      </c>
      <c r="U64" s="2" t="str">
        <f ca="1">IFERROR(__xludf.DUMMYFUNCTION("""COMPUTED_VALUE"""),"")</f>
        <v/>
      </c>
      <c r="V64" s="2" t="str">
        <f ca="1">IFERROR(__xludf.DUMMYFUNCTION("""COMPUTED_VALUE"""),"")</f>
        <v/>
      </c>
      <c r="W64" s="2" t="str">
        <f ca="1">IFERROR(__xludf.DUMMYFUNCTION("""COMPUTED_VALUE"""),"")</f>
        <v/>
      </c>
      <c r="X64" s="2" t="str">
        <f ca="1">IFERROR(__xludf.DUMMYFUNCTION("""COMPUTED_VALUE"""),"")</f>
        <v/>
      </c>
      <c r="Y64" s="2" t="str">
        <f ca="1">IFERROR(__xludf.DUMMYFUNCTION("""COMPUTED_VALUE"""),"")</f>
        <v/>
      </c>
      <c r="Z64" s="2" t="str">
        <f ca="1">IFERROR(__xludf.DUMMYFUNCTION("""COMPUTED_VALUE"""),"")</f>
        <v/>
      </c>
      <c r="AA64" s="2" t="str">
        <f ca="1">IFERROR(__xludf.DUMMYFUNCTION("""COMPUTED_VALUE"""),"")</f>
        <v/>
      </c>
      <c r="AB64" s="2" t="str">
        <f ca="1">IFERROR(__xludf.DUMMYFUNCTION("""COMPUTED_VALUE"""),"")</f>
        <v/>
      </c>
      <c r="AC64" s="2" t="str">
        <f ca="1">IFERROR(__xludf.DUMMYFUNCTION("""COMPUTED_VALUE"""),"")</f>
        <v/>
      </c>
      <c r="AD64" s="2" t="str">
        <f ca="1">IFERROR(__xludf.DUMMYFUNCTION("""COMPUTED_VALUE"""),"")</f>
        <v/>
      </c>
      <c r="AE64" s="2" t="str">
        <f ca="1">IFERROR(__xludf.DUMMYFUNCTION("""COMPUTED_VALUE"""),"")</f>
        <v/>
      </c>
      <c r="AF64" s="2" t="str">
        <f ca="1">IFERROR(__xludf.DUMMYFUNCTION("""COMPUTED_VALUE"""),"")</f>
        <v/>
      </c>
      <c r="AG64" s="2" t="str">
        <f ca="1">IFERROR(__xludf.DUMMYFUNCTION("""COMPUTED_VALUE"""),"")</f>
        <v/>
      </c>
      <c r="AH64" s="2" t="str">
        <f ca="1">IFERROR(__xludf.DUMMYFUNCTION("""COMPUTED_VALUE"""),"")</f>
        <v/>
      </c>
      <c r="AI64" s="2" t="str">
        <f ca="1">IFERROR(__xludf.DUMMYFUNCTION("""COMPUTED_VALUE"""),"")</f>
        <v/>
      </c>
      <c r="AJ64" s="2" t="str">
        <f ca="1">IFERROR(__xludf.DUMMYFUNCTION("""COMPUTED_VALUE"""),"")</f>
        <v/>
      </c>
      <c r="AK64" s="2" t="str">
        <f ca="1">IFERROR(__xludf.DUMMYFUNCTION("""COMPUTED_VALUE"""),"")</f>
        <v/>
      </c>
      <c r="AL64" s="2" t="str">
        <f ca="1">IFERROR(__xludf.DUMMYFUNCTION("""COMPUTED_VALUE"""),"")</f>
        <v/>
      </c>
      <c r="AM64" s="2" t="str">
        <f ca="1">IFERROR(__xludf.DUMMYFUNCTION("""COMPUTED_VALUE"""),"")</f>
        <v/>
      </c>
      <c r="AN64" s="2" t="str">
        <f ca="1">IFERROR(__xludf.DUMMYFUNCTION("""COMPUTED_VALUE"""),"")</f>
        <v/>
      </c>
      <c r="AO64" s="2" t="str">
        <f ca="1">IFERROR(__xludf.DUMMYFUNCTION("""COMPUTED_VALUE"""),"")</f>
        <v/>
      </c>
      <c r="AP64" s="2" t="str">
        <f ca="1">IFERROR(__xludf.DUMMYFUNCTION("""COMPUTED_VALUE"""),"")</f>
        <v/>
      </c>
      <c r="AQ64" s="2" t="str">
        <f ca="1">IFERROR(__xludf.DUMMYFUNCTION("""COMPUTED_VALUE"""),"")</f>
        <v/>
      </c>
      <c r="AR64" s="2" t="str">
        <f ca="1">IFERROR(__xludf.DUMMYFUNCTION("""COMPUTED_VALUE"""),"")</f>
        <v/>
      </c>
      <c r="AS64" s="2" t="str">
        <f ca="1">IFERROR(__xludf.DUMMYFUNCTION("""COMPUTED_VALUE"""),"")</f>
        <v/>
      </c>
      <c r="AT64" s="2" t="str">
        <f ca="1">IFERROR(__xludf.DUMMYFUNCTION("""COMPUTED_VALUE"""),"")</f>
        <v/>
      </c>
      <c r="AU64" s="2" t="str">
        <f ca="1">IFERROR(__xludf.DUMMYFUNCTION("""COMPUTED_VALUE"""),"")</f>
        <v/>
      </c>
      <c r="AV64" s="2" t="str">
        <f ca="1">IFERROR(__xludf.DUMMYFUNCTION("""COMPUTED_VALUE"""),"")</f>
        <v/>
      </c>
      <c r="AW64" s="2" t="str">
        <f ca="1">IFERROR(__xludf.DUMMYFUNCTION("""COMPUTED_VALUE"""),"")</f>
        <v/>
      </c>
      <c r="AX64" s="2" t="str">
        <f ca="1">IFERROR(__xludf.DUMMYFUNCTION("""COMPUTED_VALUE"""),"")</f>
        <v/>
      </c>
      <c r="AY64" s="2" t="str">
        <f ca="1">IFERROR(__xludf.DUMMYFUNCTION("""COMPUTED_VALUE"""),"")</f>
        <v/>
      </c>
      <c r="AZ64" s="2" t="str">
        <f ca="1">IFERROR(__xludf.DUMMYFUNCTION("""COMPUTED_VALUE"""),"3D")</f>
        <v>3D</v>
      </c>
      <c r="BA64" s="2">
        <f ca="1">IFERROR(__xludf.DUMMYFUNCTION("""COMPUTED_VALUE"""),1906774)</f>
        <v>1906774</v>
      </c>
      <c r="BB64" s="2">
        <f ca="1">IFERROR(__xludf.DUMMYFUNCTION("""COMPUTED_VALUE"""),5813192)</f>
        <v>5813192</v>
      </c>
      <c r="BC64" s="2" t="str">
        <f ca="1">IFERROR(__xludf.DUMMYFUNCTION("""COMPUTED_VALUE"""),"No")</f>
        <v>No</v>
      </c>
      <c r="BD64" s="2" t="str">
        <f ca="1">IFERROR(__xludf.DUMMYFUNCTION("""COMPUTED_VALUE"""),"")</f>
        <v/>
      </c>
      <c r="BE64" s="2" t="str">
        <f ca="1">IFERROR(__xludf.DUMMYFUNCTION("""COMPUTED_VALUE"""),"")</f>
        <v/>
      </c>
      <c r="BF64" t="str">
        <f ca="1">IFERROR(__xludf.DUMMYFUNCTION("""COMPUTED_VALUE"""),"")</f>
        <v/>
      </c>
      <c r="BG64" t="str">
        <f ca="1">IFERROR(__xludf.DUMMYFUNCTION("""COMPUTED_VALUE"""),"")</f>
        <v/>
      </c>
      <c r="BH64" t="str">
        <f ca="1">IFERROR(__xludf.DUMMYFUNCTION("""COMPUTED_VALUE"""),"")</f>
        <v/>
      </c>
      <c r="BI64" t="str">
        <f ca="1">IFERROR(__xludf.DUMMYFUNCTION("""COMPUTED_VALUE"""),"")</f>
        <v/>
      </c>
      <c r="BJ64" s="3" t="str">
        <f ca="1">IFERROR(__xludf.DUMMYFUNCTION("""COMPUTED_VALUE"""),"")</f>
        <v/>
      </c>
    </row>
    <row r="65" spans="1:62" ht="12.5" x14ac:dyDescent="0.25">
      <c r="A65" s="6">
        <f ca="1">IFERROR(__xludf.DUMMYFUNCTION("""COMPUTED_VALUE"""),43269.9072018402)</f>
        <v>43269.9072018402</v>
      </c>
      <c r="B65" s="2" t="str">
        <f ca="1">IFERROR(__xludf.DUMMYFUNCTION("""COMPUTED_VALUE"""),"Bay of Plenty")</f>
        <v>Bay of Plenty</v>
      </c>
      <c r="C65" s="2" t="str">
        <f ca="1">IFERROR(__xludf.DUMMYFUNCTION("""COMPUTED_VALUE"""),"Tx 17 - Teddy")</f>
        <v>Tx 17 - Teddy</v>
      </c>
      <c r="D65" s="10">
        <f ca="1">IFERROR(__xludf.DUMMYFUNCTION("""COMPUTED_VALUE"""),43245)</f>
        <v>43245</v>
      </c>
      <c r="E65" s="4">
        <f ca="1">IFERROR(__xludf.DUMMYFUNCTION("""COMPUTED_VALUE"""),0.33333333333212)</f>
        <v>0.33333333333212001</v>
      </c>
      <c r="F65" s="2" t="str">
        <f ca="1">IFERROR(__xludf.DUMMYFUNCTION("""COMPUTED_VALUE"""),"Little Waihi")</f>
        <v>Little Waihi</v>
      </c>
      <c r="G65" s="2" t="str">
        <f ca="1">IFERROR(__xludf.DUMMYFUNCTION("""COMPUTED_VALUE"""),"GPS: I converted data downloaded from ARGOS using Pinpoint software")</f>
        <v>GPS: I converted data downloaded from ARGOS using Pinpoint software</v>
      </c>
      <c r="H65" s="2" t="str">
        <f ca="1">IFERROR(__xludf.DUMMYFUNCTION("""COMPUTED_VALUE"""),"")</f>
        <v/>
      </c>
      <c r="I65" s="2" t="str">
        <f ca="1">IFERROR(__xludf.DUMMYFUNCTION("""COMPUTED_VALUE"""),"")</f>
        <v/>
      </c>
      <c r="J65" s="2" t="str">
        <f ca="1">IFERROR(__xludf.DUMMYFUNCTION("""COMPUTED_VALUE"""),"")</f>
        <v/>
      </c>
      <c r="K65" s="2" t="str">
        <f ca="1">IFERROR(__xludf.DUMMYFUNCTION("""COMPUTED_VALUE"""),"")</f>
        <v/>
      </c>
      <c r="L65" s="2" t="str">
        <f ca="1">IFERROR(__xludf.DUMMYFUNCTION("""COMPUTED_VALUE"""),"")</f>
        <v/>
      </c>
      <c r="M65" s="5" t="str">
        <f ca="1">IFERROR(__xludf.DUMMYFUNCTION("""COMPUTED_VALUE"""),"")</f>
        <v/>
      </c>
      <c r="N65" s="5" t="str">
        <f ca="1">IFERROR(__xludf.DUMMYFUNCTION("""COMPUTED_VALUE"""),"")</f>
        <v/>
      </c>
      <c r="O65" s="2" t="str">
        <f ca="1">IFERROR(__xludf.DUMMYFUNCTION("""COMPUTED_VALUE"""),"")</f>
        <v/>
      </c>
      <c r="P65" s="2" t="str">
        <f ca="1">IFERROR(__xludf.DUMMYFUNCTION("""COMPUTED_VALUE"""),"")</f>
        <v/>
      </c>
      <c r="Q65" s="2" t="str">
        <f ca="1">IFERROR(__xludf.DUMMYFUNCTION("""COMPUTED_VALUE"""),"")</f>
        <v/>
      </c>
      <c r="R65" s="2" t="str">
        <f ca="1">IFERROR(__xludf.DUMMYFUNCTION("""COMPUTED_VALUE"""),"")</f>
        <v/>
      </c>
      <c r="S65" s="2" t="str">
        <f ca="1">IFERROR(__xludf.DUMMYFUNCTION("""COMPUTED_VALUE"""),"")</f>
        <v/>
      </c>
      <c r="T65" s="2" t="str">
        <f ca="1">IFERROR(__xludf.DUMMYFUNCTION("""COMPUTED_VALUE"""),"")</f>
        <v/>
      </c>
      <c r="U65" s="2" t="str">
        <f ca="1">IFERROR(__xludf.DUMMYFUNCTION("""COMPUTED_VALUE"""),"")</f>
        <v/>
      </c>
      <c r="V65" s="2" t="str">
        <f ca="1">IFERROR(__xludf.DUMMYFUNCTION("""COMPUTED_VALUE"""),"")</f>
        <v/>
      </c>
      <c r="W65" s="2" t="str">
        <f ca="1">IFERROR(__xludf.DUMMYFUNCTION("""COMPUTED_VALUE"""),"")</f>
        <v/>
      </c>
      <c r="X65" s="2" t="str">
        <f ca="1">IFERROR(__xludf.DUMMYFUNCTION("""COMPUTED_VALUE"""),"")</f>
        <v/>
      </c>
      <c r="Y65" s="2" t="str">
        <f ca="1">IFERROR(__xludf.DUMMYFUNCTION("""COMPUTED_VALUE"""),"")</f>
        <v/>
      </c>
      <c r="Z65" s="2" t="str">
        <f ca="1">IFERROR(__xludf.DUMMYFUNCTION("""COMPUTED_VALUE"""),"")</f>
        <v/>
      </c>
      <c r="AA65" s="2" t="str">
        <f ca="1">IFERROR(__xludf.DUMMYFUNCTION("""COMPUTED_VALUE"""),"")</f>
        <v/>
      </c>
      <c r="AB65" s="2" t="str">
        <f ca="1">IFERROR(__xludf.DUMMYFUNCTION("""COMPUTED_VALUE"""),"")</f>
        <v/>
      </c>
      <c r="AC65" s="2" t="str">
        <f ca="1">IFERROR(__xludf.DUMMYFUNCTION("""COMPUTED_VALUE"""),"")</f>
        <v/>
      </c>
      <c r="AD65" s="2" t="str">
        <f ca="1">IFERROR(__xludf.DUMMYFUNCTION("""COMPUTED_VALUE"""),"")</f>
        <v/>
      </c>
      <c r="AE65" s="2" t="str">
        <f ca="1">IFERROR(__xludf.DUMMYFUNCTION("""COMPUTED_VALUE"""),"")</f>
        <v/>
      </c>
      <c r="AF65" s="2" t="str">
        <f ca="1">IFERROR(__xludf.DUMMYFUNCTION("""COMPUTED_VALUE"""),"")</f>
        <v/>
      </c>
      <c r="AG65" s="2" t="str">
        <f ca="1">IFERROR(__xludf.DUMMYFUNCTION("""COMPUTED_VALUE"""),"")</f>
        <v/>
      </c>
      <c r="AH65" s="2" t="str">
        <f ca="1">IFERROR(__xludf.DUMMYFUNCTION("""COMPUTED_VALUE"""),"")</f>
        <v/>
      </c>
      <c r="AI65" s="2" t="str">
        <f ca="1">IFERROR(__xludf.DUMMYFUNCTION("""COMPUTED_VALUE"""),"")</f>
        <v/>
      </c>
      <c r="AJ65" s="2" t="str">
        <f ca="1">IFERROR(__xludf.DUMMYFUNCTION("""COMPUTED_VALUE"""),"")</f>
        <v/>
      </c>
      <c r="AK65" s="2" t="str">
        <f ca="1">IFERROR(__xludf.DUMMYFUNCTION("""COMPUTED_VALUE"""),"")</f>
        <v/>
      </c>
      <c r="AL65" s="2" t="str">
        <f ca="1">IFERROR(__xludf.DUMMYFUNCTION("""COMPUTED_VALUE"""),"")</f>
        <v/>
      </c>
      <c r="AM65" s="2" t="str">
        <f ca="1">IFERROR(__xludf.DUMMYFUNCTION("""COMPUTED_VALUE"""),"")</f>
        <v/>
      </c>
      <c r="AN65" s="2" t="str">
        <f ca="1">IFERROR(__xludf.DUMMYFUNCTION("""COMPUTED_VALUE"""),"")</f>
        <v/>
      </c>
      <c r="AO65" s="2" t="str">
        <f ca="1">IFERROR(__xludf.DUMMYFUNCTION("""COMPUTED_VALUE"""),"")</f>
        <v/>
      </c>
      <c r="AP65" s="2" t="str">
        <f ca="1">IFERROR(__xludf.DUMMYFUNCTION("""COMPUTED_VALUE"""),"")</f>
        <v/>
      </c>
      <c r="AQ65" s="2" t="str">
        <f ca="1">IFERROR(__xludf.DUMMYFUNCTION("""COMPUTED_VALUE"""),"")</f>
        <v/>
      </c>
      <c r="AR65" s="2" t="str">
        <f ca="1">IFERROR(__xludf.DUMMYFUNCTION("""COMPUTED_VALUE"""),"")</f>
        <v/>
      </c>
      <c r="AS65" s="2" t="str">
        <f ca="1">IFERROR(__xludf.DUMMYFUNCTION("""COMPUTED_VALUE"""),"")</f>
        <v/>
      </c>
      <c r="AT65" s="2" t="str">
        <f ca="1">IFERROR(__xludf.DUMMYFUNCTION("""COMPUTED_VALUE"""),"")</f>
        <v/>
      </c>
      <c r="AU65" s="2" t="str">
        <f ca="1">IFERROR(__xludf.DUMMYFUNCTION("""COMPUTED_VALUE"""),"")</f>
        <v/>
      </c>
      <c r="AV65" s="2" t="str">
        <f ca="1">IFERROR(__xludf.DUMMYFUNCTION("""COMPUTED_VALUE"""),"")</f>
        <v/>
      </c>
      <c r="AW65" s="2" t="str">
        <f ca="1">IFERROR(__xludf.DUMMYFUNCTION("""COMPUTED_VALUE"""),"")</f>
        <v/>
      </c>
      <c r="AX65" s="2" t="str">
        <f ca="1">IFERROR(__xludf.DUMMYFUNCTION("""COMPUTED_VALUE"""),"")</f>
        <v/>
      </c>
      <c r="AY65" s="2" t="str">
        <f ca="1">IFERROR(__xludf.DUMMYFUNCTION("""COMPUTED_VALUE"""),"")</f>
        <v/>
      </c>
      <c r="AZ65" s="2" t="str">
        <f ca="1">IFERROR(__xludf.DUMMYFUNCTION("""COMPUTED_VALUE"""),"3D")</f>
        <v>3D</v>
      </c>
      <c r="BA65" s="2">
        <f ca="1">IFERROR(__xludf.DUMMYFUNCTION("""COMPUTED_VALUE"""),1906870)</f>
        <v>1906870</v>
      </c>
      <c r="BB65" s="2">
        <f ca="1">IFERROR(__xludf.DUMMYFUNCTION("""COMPUTED_VALUE"""),5813101)</f>
        <v>5813101</v>
      </c>
      <c r="BC65" s="2" t="str">
        <f ca="1">IFERROR(__xludf.DUMMYFUNCTION("""COMPUTED_VALUE"""),"No")</f>
        <v>No</v>
      </c>
      <c r="BD65" s="2" t="str">
        <f ca="1">IFERROR(__xludf.DUMMYFUNCTION("""COMPUTED_VALUE"""),"")</f>
        <v/>
      </c>
      <c r="BE65" s="2" t="str">
        <f ca="1">IFERROR(__xludf.DUMMYFUNCTION("""COMPUTED_VALUE"""),"")</f>
        <v/>
      </c>
      <c r="BF65" t="str">
        <f ca="1">IFERROR(__xludf.DUMMYFUNCTION("""COMPUTED_VALUE"""),"")</f>
        <v/>
      </c>
      <c r="BG65" t="str">
        <f ca="1">IFERROR(__xludf.DUMMYFUNCTION("""COMPUTED_VALUE"""),"")</f>
        <v/>
      </c>
      <c r="BH65" t="str">
        <f ca="1">IFERROR(__xludf.DUMMYFUNCTION("""COMPUTED_VALUE"""),"")</f>
        <v/>
      </c>
      <c r="BI65" t="str">
        <f ca="1">IFERROR(__xludf.DUMMYFUNCTION("""COMPUTED_VALUE"""),"")</f>
        <v/>
      </c>
      <c r="BJ65" s="3" t="str">
        <f ca="1">IFERROR(__xludf.DUMMYFUNCTION("""COMPUTED_VALUE"""),"")</f>
        <v/>
      </c>
    </row>
    <row r="66" spans="1:62" ht="12.5" x14ac:dyDescent="0.25">
      <c r="A66" s="6">
        <f ca="1">IFERROR(__xludf.DUMMYFUNCTION("""COMPUTED_VALUE"""),43269.9086179513)</f>
        <v>43269.908617951303</v>
      </c>
      <c r="B66" s="2" t="str">
        <f ca="1">IFERROR(__xludf.DUMMYFUNCTION("""COMPUTED_VALUE"""),"Bay of Plenty")</f>
        <v>Bay of Plenty</v>
      </c>
      <c r="C66" s="2" t="str">
        <f ca="1">IFERROR(__xludf.DUMMYFUNCTION("""COMPUTED_VALUE"""),"Tx 17 - Teddy")</f>
        <v>Tx 17 - Teddy</v>
      </c>
      <c r="D66" s="10">
        <f ca="1">IFERROR(__xludf.DUMMYFUNCTION("""COMPUTED_VALUE"""),43252)</f>
        <v>43252</v>
      </c>
      <c r="E66" s="4">
        <f ca="1">IFERROR(__xludf.DUMMYFUNCTION("""COMPUTED_VALUE"""),0.329861111109494)</f>
        <v>0.32986111110949401</v>
      </c>
      <c r="F66" s="2" t="str">
        <f ca="1">IFERROR(__xludf.DUMMYFUNCTION("""COMPUTED_VALUE"""),"Little Waihi")</f>
        <v>Little Waihi</v>
      </c>
      <c r="G66" s="2" t="str">
        <f ca="1">IFERROR(__xludf.DUMMYFUNCTION("""COMPUTED_VALUE"""),"GPS: I converted data downloaded from ARGOS using Pinpoint software")</f>
        <v>GPS: I converted data downloaded from ARGOS using Pinpoint software</v>
      </c>
      <c r="H66" s="2" t="str">
        <f ca="1">IFERROR(__xludf.DUMMYFUNCTION("""COMPUTED_VALUE"""),"")</f>
        <v/>
      </c>
      <c r="I66" s="2" t="str">
        <f ca="1">IFERROR(__xludf.DUMMYFUNCTION("""COMPUTED_VALUE"""),"")</f>
        <v/>
      </c>
      <c r="J66" s="2" t="str">
        <f ca="1">IFERROR(__xludf.DUMMYFUNCTION("""COMPUTED_VALUE"""),"")</f>
        <v/>
      </c>
      <c r="K66" s="2" t="str">
        <f ca="1">IFERROR(__xludf.DUMMYFUNCTION("""COMPUTED_VALUE"""),"")</f>
        <v/>
      </c>
      <c r="L66" s="2" t="str">
        <f ca="1">IFERROR(__xludf.DUMMYFUNCTION("""COMPUTED_VALUE"""),"")</f>
        <v/>
      </c>
      <c r="M66" s="5" t="str">
        <f ca="1">IFERROR(__xludf.DUMMYFUNCTION("""COMPUTED_VALUE"""),"")</f>
        <v/>
      </c>
      <c r="N66" s="5" t="str">
        <f ca="1">IFERROR(__xludf.DUMMYFUNCTION("""COMPUTED_VALUE"""),"")</f>
        <v/>
      </c>
      <c r="O66" s="2" t="str">
        <f ca="1">IFERROR(__xludf.DUMMYFUNCTION("""COMPUTED_VALUE"""),"")</f>
        <v/>
      </c>
      <c r="P66" s="2" t="str">
        <f ca="1">IFERROR(__xludf.DUMMYFUNCTION("""COMPUTED_VALUE"""),"")</f>
        <v/>
      </c>
      <c r="Q66" s="2" t="str">
        <f ca="1">IFERROR(__xludf.DUMMYFUNCTION("""COMPUTED_VALUE"""),"")</f>
        <v/>
      </c>
      <c r="R66" s="2" t="str">
        <f ca="1">IFERROR(__xludf.DUMMYFUNCTION("""COMPUTED_VALUE"""),"")</f>
        <v/>
      </c>
      <c r="S66" s="2" t="str">
        <f ca="1">IFERROR(__xludf.DUMMYFUNCTION("""COMPUTED_VALUE"""),"")</f>
        <v/>
      </c>
      <c r="T66" s="2" t="str">
        <f ca="1">IFERROR(__xludf.DUMMYFUNCTION("""COMPUTED_VALUE"""),"")</f>
        <v/>
      </c>
      <c r="U66" s="2" t="str">
        <f ca="1">IFERROR(__xludf.DUMMYFUNCTION("""COMPUTED_VALUE"""),"")</f>
        <v/>
      </c>
      <c r="V66" s="2" t="str">
        <f ca="1">IFERROR(__xludf.DUMMYFUNCTION("""COMPUTED_VALUE"""),"")</f>
        <v/>
      </c>
      <c r="W66" s="2" t="str">
        <f ca="1">IFERROR(__xludf.DUMMYFUNCTION("""COMPUTED_VALUE"""),"")</f>
        <v/>
      </c>
      <c r="X66" s="2" t="str">
        <f ca="1">IFERROR(__xludf.DUMMYFUNCTION("""COMPUTED_VALUE"""),"")</f>
        <v/>
      </c>
      <c r="Y66" s="2" t="str">
        <f ca="1">IFERROR(__xludf.DUMMYFUNCTION("""COMPUTED_VALUE"""),"")</f>
        <v/>
      </c>
      <c r="Z66" s="2" t="str">
        <f ca="1">IFERROR(__xludf.DUMMYFUNCTION("""COMPUTED_VALUE"""),"")</f>
        <v/>
      </c>
      <c r="AA66" s="2" t="str">
        <f ca="1">IFERROR(__xludf.DUMMYFUNCTION("""COMPUTED_VALUE"""),"")</f>
        <v/>
      </c>
      <c r="AB66" s="2" t="str">
        <f ca="1">IFERROR(__xludf.DUMMYFUNCTION("""COMPUTED_VALUE"""),"")</f>
        <v/>
      </c>
      <c r="AC66" s="2" t="str">
        <f ca="1">IFERROR(__xludf.DUMMYFUNCTION("""COMPUTED_VALUE"""),"")</f>
        <v/>
      </c>
      <c r="AD66" s="2" t="str">
        <f ca="1">IFERROR(__xludf.DUMMYFUNCTION("""COMPUTED_VALUE"""),"")</f>
        <v/>
      </c>
      <c r="AE66" s="2" t="str">
        <f ca="1">IFERROR(__xludf.DUMMYFUNCTION("""COMPUTED_VALUE"""),"")</f>
        <v/>
      </c>
      <c r="AF66" s="2" t="str">
        <f ca="1">IFERROR(__xludf.DUMMYFUNCTION("""COMPUTED_VALUE"""),"")</f>
        <v/>
      </c>
      <c r="AG66" s="2" t="str">
        <f ca="1">IFERROR(__xludf.DUMMYFUNCTION("""COMPUTED_VALUE"""),"")</f>
        <v/>
      </c>
      <c r="AH66" s="2" t="str">
        <f ca="1">IFERROR(__xludf.DUMMYFUNCTION("""COMPUTED_VALUE"""),"")</f>
        <v/>
      </c>
      <c r="AI66" s="2" t="str">
        <f ca="1">IFERROR(__xludf.DUMMYFUNCTION("""COMPUTED_VALUE"""),"")</f>
        <v/>
      </c>
      <c r="AJ66" s="2" t="str">
        <f ca="1">IFERROR(__xludf.DUMMYFUNCTION("""COMPUTED_VALUE"""),"")</f>
        <v/>
      </c>
      <c r="AK66" s="2" t="str">
        <f ca="1">IFERROR(__xludf.DUMMYFUNCTION("""COMPUTED_VALUE"""),"")</f>
        <v/>
      </c>
      <c r="AL66" s="2" t="str">
        <f ca="1">IFERROR(__xludf.DUMMYFUNCTION("""COMPUTED_VALUE"""),"")</f>
        <v/>
      </c>
      <c r="AM66" s="2" t="str">
        <f ca="1">IFERROR(__xludf.DUMMYFUNCTION("""COMPUTED_VALUE"""),"")</f>
        <v/>
      </c>
      <c r="AN66" s="2" t="str">
        <f ca="1">IFERROR(__xludf.DUMMYFUNCTION("""COMPUTED_VALUE"""),"")</f>
        <v/>
      </c>
      <c r="AO66" s="2" t="str">
        <f ca="1">IFERROR(__xludf.DUMMYFUNCTION("""COMPUTED_VALUE"""),"")</f>
        <v/>
      </c>
      <c r="AP66" s="2" t="str">
        <f ca="1">IFERROR(__xludf.DUMMYFUNCTION("""COMPUTED_VALUE"""),"")</f>
        <v/>
      </c>
      <c r="AQ66" s="2" t="str">
        <f ca="1">IFERROR(__xludf.DUMMYFUNCTION("""COMPUTED_VALUE"""),"")</f>
        <v/>
      </c>
      <c r="AR66" s="2" t="str">
        <f ca="1">IFERROR(__xludf.DUMMYFUNCTION("""COMPUTED_VALUE"""),"")</f>
        <v/>
      </c>
      <c r="AS66" s="2" t="str">
        <f ca="1">IFERROR(__xludf.DUMMYFUNCTION("""COMPUTED_VALUE"""),"")</f>
        <v/>
      </c>
      <c r="AT66" s="2" t="str">
        <f ca="1">IFERROR(__xludf.DUMMYFUNCTION("""COMPUTED_VALUE"""),"")</f>
        <v/>
      </c>
      <c r="AU66" s="2" t="str">
        <f ca="1">IFERROR(__xludf.DUMMYFUNCTION("""COMPUTED_VALUE"""),"")</f>
        <v/>
      </c>
      <c r="AV66" s="2" t="str">
        <f ca="1">IFERROR(__xludf.DUMMYFUNCTION("""COMPUTED_VALUE"""),"")</f>
        <v/>
      </c>
      <c r="AW66" s="2" t="str">
        <f ca="1">IFERROR(__xludf.DUMMYFUNCTION("""COMPUTED_VALUE"""),"")</f>
        <v/>
      </c>
      <c r="AX66" s="2" t="str">
        <f ca="1">IFERROR(__xludf.DUMMYFUNCTION("""COMPUTED_VALUE"""),"")</f>
        <v/>
      </c>
      <c r="AY66" s="2" t="str">
        <f ca="1">IFERROR(__xludf.DUMMYFUNCTION("""COMPUTED_VALUE"""),"")</f>
        <v/>
      </c>
      <c r="AZ66" s="2" t="str">
        <f ca="1">IFERROR(__xludf.DUMMYFUNCTION("""COMPUTED_VALUE"""),"3D")</f>
        <v>3D</v>
      </c>
      <c r="BA66" s="2">
        <f ca="1">IFERROR(__xludf.DUMMYFUNCTION("""COMPUTED_VALUE"""),1906909)</f>
        <v>1906909</v>
      </c>
      <c r="BB66" s="2">
        <f ca="1">IFERROR(__xludf.DUMMYFUNCTION("""COMPUTED_VALUE"""),5812069)</f>
        <v>5812069</v>
      </c>
      <c r="BC66" s="2" t="str">
        <f ca="1">IFERROR(__xludf.DUMMYFUNCTION("""COMPUTED_VALUE"""),"No")</f>
        <v>No</v>
      </c>
      <c r="BD66" s="2" t="str">
        <f ca="1">IFERROR(__xludf.DUMMYFUNCTION("""COMPUTED_VALUE"""),"")</f>
        <v/>
      </c>
      <c r="BE66" s="2" t="str">
        <f ca="1">IFERROR(__xludf.DUMMYFUNCTION("""COMPUTED_VALUE"""),"")</f>
        <v/>
      </c>
      <c r="BF66" t="str">
        <f ca="1">IFERROR(__xludf.DUMMYFUNCTION("""COMPUTED_VALUE"""),"")</f>
        <v/>
      </c>
      <c r="BG66" t="str">
        <f ca="1">IFERROR(__xludf.DUMMYFUNCTION("""COMPUTED_VALUE"""),"")</f>
        <v/>
      </c>
      <c r="BH66" t="str">
        <f ca="1">IFERROR(__xludf.DUMMYFUNCTION("""COMPUTED_VALUE"""),"")</f>
        <v/>
      </c>
      <c r="BI66" t="str">
        <f ca="1">IFERROR(__xludf.DUMMYFUNCTION("""COMPUTED_VALUE"""),"")</f>
        <v/>
      </c>
      <c r="BJ66" s="3" t="str">
        <f ca="1">IFERROR(__xludf.DUMMYFUNCTION("""COMPUTED_VALUE"""),"")</f>
        <v/>
      </c>
    </row>
    <row r="67" spans="1:62" ht="12.5" x14ac:dyDescent="0.25">
      <c r="A67" s="6">
        <f ca="1">IFERROR(__xludf.DUMMYFUNCTION("""COMPUTED_VALUE"""),43269.9097979282)</f>
        <v>43269.909797928201</v>
      </c>
      <c r="B67" s="2" t="str">
        <f ca="1">IFERROR(__xludf.DUMMYFUNCTION("""COMPUTED_VALUE"""),"Bay of Plenty")</f>
        <v>Bay of Plenty</v>
      </c>
      <c r="C67" s="2" t="str">
        <f ca="1">IFERROR(__xludf.DUMMYFUNCTION("""COMPUTED_VALUE"""),"Tx 17 - Teddy")</f>
        <v>Tx 17 - Teddy</v>
      </c>
      <c r="D67" s="10">
        <f ca="1">IFERROR(__xludf.DUMMYFUNCTION("""COMPUTED_VALUE"""),43266)</f>
        <v>43266</v>
      </c>
      <c r="E67" s="4">
        <f ca="1">IFERROR(__xludf.DUMMYFUNCTION("""COMPUTED_VALUE"""),0.347222222222626)</f>
        <v>0.347222222222626</v>
      </c>
      <c r="F67" s="2" t="str">
        <f ca="1">IFERROR(__xludf.DUMMYFUNCTION("""COMPUTED_VALUE"""),"Little Waihi")</f>
        <v>Little Waihi</v>
      </c>
      <c r="G67" s="2" t="str">
        <f ca="1">IFERROR(__xludf.DUMMYFUNCTION("""COMPUTED_VALUE"""),"GPS: I converted data downloaded from ARGOS using Pinpoint software")</f>
        <v>GPS: I converted data downloaded from ARGOS using Pinpoint software</v>
      </c>
      <c r="H67" s="2" t="str">
        <f ca="1">IFERROR(__xludf.DUMMYFUNCTION("""COMPUTED_VALUE"""),"")</f>
        <v/>
      </c>
      <c r="I67" s="2" t="str">
        <f ca="1">IFERROR(__xludf.DUMMYFUNCTION("""COMPUTED_VALUE"""),"")</f>
        <v/>
      </c>
      <c r="J67" s="2" t="str">
        <f ca="1">IFERROR(__xludf.DUMMYFUNCTION("""COMPUTED_VALUE"""),"")</f>
        <v/>
      </c>
      <c r="K67" s="2" t="str">
        <f ca="1">IFERROR(__xludf.DUMMYFUNCTION("""COMPUTED_VALUE"""),"")</f>
        <v/>
      </c>
      <c r="L67" s="2" t="str">
        <f ca="1">IFERROR(__xludf.DUMMYFUNCTION("""COMPUTED_VALUE"""),"")</f>
        <v/>
      </c>
      <c r="M67" s="5" t="str">
        <f ca="1">IFERROR(__xludf.DUMMYFUNCTION("""COMPUTED_VALUE"""),"")</f>
        <v/>
      </c>
      <c r="N67" s="5" t="str">
        <f ca="1">IFERROR(__xludf.DUMMYFUNCTION("""COMPUTED_VALUE"""),"")</f>
        <v/>
      </c>
      <c r="O67" s="2" t="str">
        <f ca="1">IFERROR(__xludf.DUMMYFUNCTION("""COMPUTED_VALUE"""),"")</f>
        <v/>
      </c>
      <c r="P67" s="2" t="str">
        <f ca="1">IFERROR(__xludf.DUMMYFUNCTION("""COMPUTED_VALUE"""),"")</f>
        <v/>
      </c>
      <c r="Q67" s="2" t="str">
        <f ca="1">IFERROR(__xludf.DUMMYFUNCTION("""COMPUTED_VALUE"""),"")</f>
        <v/>
      </c>
      <c r="R67" s="2" t="str">
        <f ca="1">IFERROR(__xludf.DUMMYFUNCTION("""COMPUTED_VALUE"""),"")</f>
        <v/>
      </c>
      <c r="S67" s="2" t="str">
        <f ca="1">IFERROR(__xludf.DUMMYFUNCTION("""COMPUTED_VALUE"""),"")</f>
        <v/>
      </c>
      <c r="T67" s="2" t="str">
        <f ca="1">IFERROR(__xludf.DUMMYFUNCTION("""COMPUTED_VALUE"""),"")</f>
        <v/>
      </c>
      <c r="U67" s="2" t="str">
        <f ca="1">IFERROR(__xludf.DUMMYFUNCTION("""COMPUTED_VALUE"""),"")</f>
        <v/>
      </c>
      <c r="V67" s="2" t="str">
        <f ca="1">IFERROR(__xludf.DUMMYFUNCTION("""COMPUTED_VALUE"""),"")</f>
        <v/>
      </c>
      <c r="W67" s="2" t="str">
        <f ca="1">IFERROR(__xludf.DUMMYFUNCTION("""COMPUTED_VALUE"""),"")</f>
        <v/>
      </c>
      <c r="X67" s="2" t="str">
        <f ca="1">IFERROR(__xludf.DUMMYFUNCTION("""COMPUTED_VALUE"""),"")</f>
        <v/>
      </c>
      <c r="Y67" s="2" t="str">
        <f ca="1">IFERROR(__xludf.DUMMYFUNCTION("""COMPUTED_VALUE"""),"")</f>
        <v/>
      </c>
      <c r="Z67" s="2" t="str">
        <f ca="1">IFERROR(__xludf.DUMMYFUNCTION("""COMPUTED_VALUE"""),"")</f>
        <v/>
      </c>
      <c r="AA67" s="2" t="str">
        <f ca="1">IFERROR(__xludf.DUMMYFUNCTION("""COMPUTED_VALUE"""),"")</f>
        <v/>
      </c>
      <c r="AB67" s="2" t="str">
        <f ca="1">IFERROR(__xludf.DUMMYFUNCTION("""COMPUTED_VALUE"""),"")</f>
        <v/>
      </c>
      <c r="AC67" s="2" t="str">
        <f ca="1">IFERROR(__xludf.DUMMYFUNCTION("""COMPUTED_VALUE"""),"")</f>
        <v/>
      </c>
      <c r="AD67" s="2" t="str">
        <f ca="1">IFERROR(__xludf.DUMMYFUNCTION("""COMPUTED_VALUE"""),"")</f>
        <v/>
      </c>
      <c r="AE67" s="2" t="str">
        <f ca="1">IFERROR(__xludf.DUMMYFUNCTION("""COMPUTED_VALUE"""),"")</f>
        <v/>
      </c>
      <c r="AF67" s="2" t="str">
        <f ca="1">IFERROR(__xludf.DUMMYFUNCTION("""COMPUTED_VALUE"""),"")</f>
        <v/>
      </c>
      <c r="AG67" s="2" t="str">
        <f ca="1">IFERROR(__xludf.DUMMYFUNCTION("""COMPUTED_VALUE"""),"")</f>
        <v/>
      </c>
      <c r="AH67" s="2" t="str">
        <f ca="1">IFERROR(__xludf.DUMMYFUNCTION("""COMPUTED_VALUE"""),"")</f>
        <v/>
      </c>
      <c r="AI67" s="2" t="str">
        <f ca="1">IFERROR(__xludf.DUMMYFUNCTION("""COMPUTED_VALUE"""),"")</f>
        <v/>
      </c>
      <c r="AJ67" s="2" t="str">
        <f ca="1">IFERROR(__xludf.DUMMYFUNCTION("""COMPUTED_VALUE"""),"")</f>
        <v/>
      </c>
      <c r="AK67" s="2" t="str">
        <f ca="1">IFERROR(__xludf.DUMMYFUNCTION("""COMPUTED_VALUE"""),"")</f>
        <v/>
      </c>
      <c r="AL67" s="2" t="str">
        <f ca="1">IFERROR(__xludf.DUMMYFUNCTION("""COMPUTED_VALUE"""),"")</f>
        <v/>
      </c>
      <c r="AM67" s="2" t="str">
        <f ca="1">IFERROR(__xludf.DUMMYFUNCTION("""COMPUTED_VALUE"""),"")</f>
        <v/>
      </c>
      <c r="AN67" s="2" t="str">
        <f ca="1">IFERROR(__xludf.DUMMYFUNCTION("""COMPUTED_VALUE"""),"")</f>
        <v/>
      </c>
      <c r="AO67" s="2" t="str">
        <f ca="1">IFERROR(__xludf.DUMMYFUNCTION("""COMPUTED_VALUE"""),"")</f>
        <v/>
      </c>
      <c r="AP67" s="2" t="str">
        <f ca="1">IFERROR(__xludf.DUMMYFUNCTION("""COMPUTED_VALUE"""),"")</f>
        <v/>
      </c>
      <c r="AQ67" s="2" t="str">
        <f ca="1">IFERROR(__xludf.DUMMYFUNCTION("""COMPUTED_VALUE"""),"")</f>
        <v/>
      </c>
      <c r="AR67" s="2" t="str">
        <f ca="1">IFERROR(__xludf.DUMMYFUNCTION("""COMPUTED_VALUE"""),"")</f>
        <v/>
      </c>
      <c r="AS67" s="2" t="str">
        <f ca="1">IFERROR(__xludf.DUMMYFUNCTION("""COMPUTED_VALUE"""),"")</f>
        <v/>
      </c>
      <c r="AT67" s="2" t="str">
        <f ca="1">IFERROR(__xludf.DUMMYFUNCTION("""COMPUTED_VALUE"""),"")</f>
        <v/>
      </c>
      <c r="AU67" s="2" t="str">
        <f ca="1">IFERROR(__xludf.DUMMYFUNCTION("""COMPUTED_VALUE"""),"")</f>
        <v/>
      </c>
      <c r="AV67" s="2" t="str">
        <f ca="1">IFERROR(__xludf.DUMMYFUNCTION("""COMPUTED_VALUE"""),"")</f>
        <v/>
      </c>
      <c r="AW67" s="2" t="str">
        <f ca="1">IFERROR(__xludf.DUMMYFUNCTION("""COMPUTED_VALUE"""),"")</f>
        <v/>
      </c>
      <c r="AX67" s="2" t="str">
        <f ca="1">IFERROR(__xludf.DUMMYFUNCTION("""COMPUTED_VALUE"""),"")</f>
        <v/>
      </c>
      <c r="AY67" s="2" t="str">
        <f ca="1">IFERROR(__xludf.DUMMYFUNCTION("""COMPUTED_VALUE"""),"")</f>
        <v/>
      </c>
      <c r="AZ67" s="2" t="str">
        <f ca="1">IFERROR(__xludf.DUMMYFUNCTION("""COMPUTED_VALUE"""),"A3")</f>
        <v>A3</v>
      </c>
      <c r="BA67" s="2">
        <f ca="1">IFERROR(__xludf.DUMMYFUNCTION("""COMPUTED_VALUE"""),1908217)</f>
        <v>1908217</v>
      </c>
      <c r="BB67" s="2">
        <f ca="1">IFERROR(__xludf.DUMMYFUNCTION("""COMPUTED_VALUE"""),5811823)</f>
        <v>5811823</v>
      </c>
      <c r="BC67" s="2" t="str">
        <f ca="1">IFERROR(__xludf.DUMMYFUNCTION("""COMPUTED_VALUE"""),"No")</f>
        <v>No</v>
      </c>
      <c r="BD67" s="2" t="str">
        <f ca="1">IFERROR(__xludf.DUMMYFUNCTION("""COMPUTED_VALUE"""),"")</f>
        <v/>
      </c>
      <c r="BE67" s="2" t="str">
        <f ca="1">IFERROR(__xludf.DUMMYFUNCTION("""COMPUTED_VALUE"""),"")</f>
        <v/>
      </c>
      <c r="BF67" t="str">
        <f ca="1">IFERROR(__xludf.DUMMYFUNCTION("""COMPUTED_VALUE"""),"")</f>
        <v/>
      </c>
      <c r="BG67" t="str">
        <f ca="1">IFERROR(__xludf.DUMMYFUNCTION("""COMPUTED_VALUE"""),"")</f>
        <v/>
      </c>
      <c r="BH67" t="str">
        <f ca="1">IFERROR(__xludf.DUMMYFUNCTION("""COMPUTED_VALUE"""),"")</f>
        <v/>
      </c>
      <c r="BI67" t="str">
        <f ca="1">IFERROR(__xludf.DUMMYFUNCTION("""COMPUTED_VALUE"""),"")</f>
        <v/>
      </c>
      <c r="BJ67" s="3" t="str">
        <f ca="1">IFERROR(__xludf.DUMMYFUNCTION("""COMPUTED_VALUE"""),"")</f>
        <v/>
      </c>
    </row>
    <row r="68" spans="1:62" ht="12.5" x14ac:dyDescent="0.25">
      <c r="A68" s="6">
        <f ca="1">IFERROR(__xludf.DUMMYFUNCTION("""COMPUTED_VALUE"""),43275.7555002199)</f>
        <v>43275.755500219901</v>
      </c>
      <c r="B68" s="2" t="str">
        <f ca="1">IFERROR(__xludf.DUMMYFUNCTION("""COMPUTED_VALUE"""),"Bay of Plenty")</f>
        <v>Bay of Plenty</v>
      </c>
      <c r="C68" s="2" t="str">
        <f ca="1">IFERROR(__xludf.DUMMYFUNCTION("""COMPUTED_VALUE"""),"Tx 38 - Pearl")</f>
        <v>Tx 38 - Pearl</v>
      </c>
      <c r="D68" s="10">
        <f ca="1">IFERROR(__xludf.DUMMYFUNCTION("""COMPUTED_VALUE"""),43237)</f>
        <v>43237</v>
      </c>
      <c r="E68" s="4">
        <f ca="1">IFERROR(__xludf.DUMMYFUNCTION("""COMPUTED_VALUE"""),0.58333333333212)</f>
        <v>0.58333333333212001</v>
      </c>
      <c r="F68" s="2" t="str">
        <f ca="1">IFERROR(__xludf.DUMMYFUNCTION("""COMPUTED_VALUE"""),"Little Waihi")</f>
        <v>Little Waihi</v>
      </c>
      <c r="G68" s="2" t="str">
        <f ca="1">IFERROR(__xludf.DUMMYFUNCTION("""COMPUTED_VALUE"""),"None: I listened for the bird but was unable to find it")</f>
        <v>None: I listened for the bird but was unable to find it</v>
      </c>
      <c r="H68" s="2" t="str">
        <f ca="1">IFERROR(__xludf.DUMMYFUNCTION("""COMPUTED_VALUE"""),"")</f>
        <v/>
      </c>
      <c r="I68" s="2" t="str">
        <f ca="1">IFERROR(__xludf.DUMMYFUNCTION("""COMPUTED_VALUE"""),"")</f>
        <v/>
      </c>
      <c r="J68" s="2" t="str">
        <f ca="1">IFERROR(__xludf.DUMMYFUNCTION("""COMPUTED_VALUE"""),"")</f>
        <v/>
      </c>
      <c r="K68" s="2" t="str">
        <f ca="1">IFERROR(__xludf.DUMMYFUNCTION("""COMPUTED_VALUE"""),"")</f>
        <v/>
      </c>
      <c r="L68" s="2" t="str">
        <f ca="1">IFERROR(__xludf.DUMMYFUNCTION("""COMPUTED_VALUE"""),"")</f>
        <v/>
      </c>
      <c r="M68" s="5" t="str">
        <f ca="1">IFERROR(__xludf.DUMMYFUNCTION("""COMPUTED_VALUE"""),"")</f>
        <v/>
      </c>
      <c r="N68" s="5" t="str">
        <f ca="1">IFERROR(__xludf.DUMMYFUNCTION("""COMPUTED_VALUE"""),"")</f>
        <v/>
      </c>
      <c r="O68" s="2" t="str">
        <f ca="1">IFERROR(__xludf.DUMMYFUNCTION("""COMPUTED_VALUE"""),"")</f>
        <v/>
      </c>
      <c r="P68" s="2" t="str">
        <f ca="1">IFERROR(__xludf.DUMMYFUNCTION("""COMPUTED_VALUE"""),"")</f>
        <v/>
      </c>
      <c r="Q68" s="2" t="str">
        <f ca="1">IFERROR(__xludf.DUMMYFUNCTION("""COMPUTED_VALUE"""),"")</f>
        <v/>
      </c>
      <c r="R68" s="2" t="str">
        <f ca="1">IFERROR(__xludf.DUMMYFUNCTION("""COMPUTED_VALUE"""),"")</f>
        <v/>
      </c>
      <c r="S68" s="2" t="str">
        <f ca="1">IFERROR(__xludf.DUMMYFUNCTION("""COMPUTED_VALUE"""),"")</f>
        <v/>
      </c>
      <c r="T68" s="2" t="str">
        <f ca="1">IFERROR(__xludf.DUMMYFUNCTION("""COMPUTED_VALUE"""),"")</f>
        <v/>
      </c>
      <c r="U68" s="2" t="str">
        <f ca="1">IFERROR(__xludf.DUMMYFUNCTION("""COMPUTED_VALUE"""),"")</f>
        <v/>
      </c>
      <c r="V68" s="2" t="str">
        <f ca="1">IFERROR(__xludf.DUMMYFUNCTION("""COMPUTED_VALUE"""),"")</f>
        <v/>
      </c>
      <c r="W68" s="2" t="str">
        <f ca="1">IFERROR(__xludf.DUMMYFUNCTION("""COMPUTED_VALUE"""),"")</f>
        <v/>
      </c>
      <c r="X68" s="2" t="str">
        <f ca="1">IFERROR(__xludf.DUMMYFUNCTION("""COMPUTED_VALUE"""),"")</f>
        <v/>
      </c>
      <c r="Y68" s="2" t="str">
        <f ca="1">IFERROR(__xludf.DUMMYFUNCTION("""COMPUTED_VALUE"""),"")</f>
        <v/>
      </c>
      <c r="Z68" s="2" t="str">
        <f ca="1">IFERROR(__xludf.DUMMYFUNCTION("""COMPUTED_VALUE"""),"")</f>
        <v/>
      </c>
      <c r="AA68" s="2" t="str">
        <f ca="1">IFERROR(__xludf.DUMMYFUNCTION("""COMPUTED_VALUE"""),"")</f>
        <v/>
      </c>
      <c r="AB68" s="2" t="str">
        <f ca="1">IFERROR(__xludf.DUMMYFUNCTION("""COMPUTED_VALUE"""),"")</f>
        <v/>
      </c>
      <c r="AC68" s="2" t="str">
        <f ca="1">IFERROR(__xludf.DUMMYFUNCTION("""COMPUTED_VALUE"""),"")</f>
        <v/>
      </c>
      <c r="AD68" s="2" t="str">
        <f ca="1">IFERROR(__xludf.DUMMYFUNCTION("""COMPUTED_VALUE"""),"")</f>
        <v/>
      </c>
      <c r="AE68" s="2" t="str">
        <f ca="1">IFERROR(__xludf.DUMMYFUNCTION("""COMPUTED_VALUE"""),"")</f>
        <v/>
      </c>
      <c r="AF68" s="2" t="str">
        <f ca="1">IFERROR(__xludf.DUMMYFUNCTION("""COMPUTED_VALUE"""),"")</f>
        <v/>
      </c>
      <c r="AG68" s="2" t="str">
        <f ca="1">IFERROR(__xludf.DUMMYFUNCTION("""COMPUTED_VALUE"""),"")</f>
        <v/>
      </c>
      <c r="AH68" s="2" t="str">
        <f ca="1">IFERROR(__xludf.DUMMYFUNCTION("""COMPUTED_VALUE"""),"")</f>
        <v/>
      </c>
      <c r="AI68" s="2" t="str">
        <f ca="1">IFERROR(__xludf.DUMMYFUNCTION("""COMPUTED_VALUE"""),"")</f>
        <v/>
      </c>
      <c r="AJ68" s="2" t="str">
        <f ca="1">IFERROR(__xludf.DUMMYFUNCTION("""COMPUTED_VALUE"""),"")</f>
        <v/>
      </c>
      <c r="AK68" s="2" t="str">
        <f ca="1">IFERROR(__xludf.DUMMYFUNCTION("""COMPUTED_VALUE"""),"")</f>
        <v/>
      </c>
      <c r="AL68" s="2" t="str">
        <f ca="1">IFERROR(__xludf.DUMMYFUNCTION("""COMPUTED_VALUE"""),"")</f>
        <v/>
      </c>
      <c r="AM68" s="2" t="str">
        <f ca="1">IFERROR(__xludf.DUMMYFUNCTION("""COMPUTED_VALUE"""),"")</f>
        <v/>
      </c>
      <c r="AN68" s="2" t="str">
        <f ca="1">IFERROR(__xludf.DUMMYFUNCTION("""COMPUTED_VALUE"""),"")</f>
        <v/>
      </c>
      <c r="AO68" s="2" t="str">
        <f ca="1">IFERROR(__xludf.DUMMYFUNCTION("""COMPUTED_VALUE"""),"")</f>
        <v/>
      </c>
      <c r="AP68" s="2" t="str">
        <f ca="1">IFERROR(__xludf.DUMMYFUNCTION("""COMPUTED_VALUE"""),"")</f>
        <v/>
      </c>
      <c r="AQ68" s="2" t="str">
        <f ca="1">IFERROR(__xludf.DUMMYFUNCTION("""COMPUTED_VALUE"""),"")</f>
        <v/>
      </c>
      <c r="AR68" s="2" t="str">
        <f ca="1">IFERROR(__xludf.DUMMYFUNCTION("""COMPUTED_VALUE"""),"")</f>
        <v/>
      </c>
      <c r="AS68" s="2" t="str">
        <f ca="1">IFERROR(__xludf.DUMMYFUNCTION("""COMPUTED_VALUE"""),"")</f>
        <v/>
      </c>
      <c r="AT68" s="2" t="str">
        <f ca="1">IFERROR(__xludf.DUMMYFUNCTION("""COMPUTED_VALUE"""),"")</f>
        <v/>
      </c>
      <c r="AU68" s="2" t="str">
        <f ca="1">IFERROR(__xludf.DUMMYFUNCTION("""COMPUTED_VALUE"""),"")</f>
        <v/>
      </c>
      <c r="AV68" s="2" t="str">
        <f ca="1">IFERROR(__xludf.DUMMYFUNCTION("""COMPUTED_VALUE"""),"")</f>
        <v/>
      </c>
      <c r="AW68" s="2" t="str">
        <f ca="1">IFERROR(__xludf.DUMMYFUNCTION("""COMPUTED_VALUE"""),"")</f>
        <v/>
      </c>
      <c r="AX68" s="2" t="str">
        <f ca="1">IFERROR(__xludf.DUMMYFUNCTION("""COMPUTED_VALUE"""),"")</f>
        <v/>
      </c>
      <c r="AY68" s="2" t="str">
        <f ca="1">IFERROR(__xludf.DUMMYFUNCTION("""COMPUTED_VALUE"""),"")</f>
        <v/>
      </c>
      <c r="AZ68" s="2" t="str">
        <f ca="1">IFERROR(__xludf.DUMMYFUNCTION("""COMPUTED_VALUE"""),"")</f>
        <v/>
      </c>
      <c r="BA68" s="2" t="str">
        <f ca="1">IFERROR(__xludf.DUMMYFUNCTION("""COMPUTED_VALUE"""),"")</f>
        <v/>
      </c>
      <c r="BB68" s="2" t="str">
        <f ca="1">IFERROR(__xludf.DUMMYFUNCTION("""COMPUTED_VALUE"""),"")</f>
        <v/>
      </c>
      <c r="BC68" s="2" t="str">
        <f ca="1">IFERROR(__xludf.DUMMYFUNCTION("""COMPUTED_VALUE"""),"")</f>
        <v/>
      </c>
      <c r="BD68" s="2" t="str">
        <f ca="1">IFERROR(__xludf.DUMMYFUNCTION("""COMPUTED_VALUE"""),"# 580 Pk Pde plus 4 sites along Cutwater road ")</f>
        <v xml:space="preserve"># 580 Pk Pde plus 4 sites along Cutwater road </v>
      </c>
      <c r="BE68" s="2" t="str">
        <f ca="1">IFERROR(__xludf.DUMMYFUNCTION("""COMPUTED_VALUE"""),"transmitter very weak")</f>
        <v>transmitter very weak</v>
      </c>
      <c r="BF68" t="str">
        <f ca="1">IFERROR(__xludf.DUMMYFUNCTION("""COMPUTED_VALUE"""),"")</f>
        <v/>
      </c>
      <c r="BG68" t="str">
        <f ca="1">IFERROR(__xludf.DUMMYFUNCTION("""COMPUTED_VALUE"""),"")</f>
        <v/>
      </c>
      <c r="BH68" t="str">
        <f ca="1">IFERROR(__xludf.DUMMYFUNCTION("""COMPUTED_VALUE"""),"")</f>
        <v/>
      </c>
      <c r="BI68" t="str">
        <f ca="1">IFERROR(__xludf.DUMMYFUNCTION("""COMPUTED_VALUE"""),"")</f>
        <v/>
      </c>
      <c r="BJ68" s="3" t="str">
        <f ca="1">IFERROR(__xludf.DUMMYFUNCTION("""COMPUTED_VALUE"""),"")</f>
        <v/>
      </c>
    </row>
    <row r="69" spans="1:62" ht="12.5" x14ac:dyDescent="0.25">
      <c r="A69" s="6">
        <f ca="1">IFERROR(__xludf.DUMMYFUNCTION("""COMPUTED_VALUE"""),43275.7572566435)</f>
        <v>43275.757256643497</v>
      </c>
      <c r="B69" s="2" t="str">
        <f ca="1">IFERROR(__xludf.DUMMYFUNCTION("""COMPUTED_VALUE"""),"Bay of Plenty")</f>
        <v>Bay of Plenty</v>
      </c>
      <c r="C69" s="2" t="str">
        <f ca="1">IFERROR(__xludf.DUMMYFUNCTION("""COMPUTED_VALUE"""),"Tx 38 - Pearl")</f>
        <v>Tx 38 - Pearl</v>
      </c>
      <c r="D69" s="10">
        <f ca="1">IFERROR(__xludf.DUMMYFUNCTION("""COMPUTED_VALUE"""),43220)</f>
        <v>43220</v>
      </c>
      <c r="E69" s="4">
        <f ca="1">IFERROR(__xludf.DUMMYFUNCTION("""COMPUTED_VALUE"""),0.604166666667879)</f>
        <v>0.60416666666787899</v>
      </c>
      <c r="F69" s="2" t="str">
        <f ca="1">IFERROR(__xludf.DUMMYFUNCTION("""COMPUTED_VALUE"""),"Little Waihi")</f>
        <v>Little Waihi</v>
      </c>
      <c r="G69" s="2" t="str">
        <f ca="1">IFERROR(__xludf.DUMMYFUNCTION("""COMPUTED_VALUE"""),"None: I listened for the bird but was unable to find it")</f>
        <v>None: I listened for the bird but was unable to find it</v>
      </c>
      <c r="H69" s="2" t="str">
        <f ca="1">IFERROR(__xludf.DUMMYFUNCTION("""COMPUTED_VALUE"""),"")</f>
        <v/>
      </c>
      <c r="I69" s="2" t="str">
        <f ca="1">IFERROR(__xludf.DUMMYFUNCTION("""COMPUTED_VALUE"""),"")</f>
        <v/>
      </c>
      <c r="J69" s="2" t="str">
        <f ca="1">IFERROR(__xludf.DUMMYFUNCTION("""COMPUTED_VALUE"""),"")</f>
        <v/>
      </c>
      <c r="K69" s="2" t="str">
        <f ca="1">IFERROR(__xludf.DUMMYFUNCTION("""COMPUTED_VALUE"""),"")</f>
        <v/>
      </c>
      <c r="L69" s="2" t="str">
        <f ca="1">IFERROR(__xludf.DUMMYFUNCTION("""COMPUTED_VALUE"""),"")</f>
        <v/>
      </c>
      <c r="M69" s="5" t="str">
        <f ca="1">IFERROR(__xludf.DUMMYFUNCTION("""COMPUTED_VALUE"""),"")</f>
        <v/>
      </c>
      <c r="N69" s="5" t="str">
        <f ca="1">IFERROR(__xludf.DUMMYFUNCTION("""COMPUTED_VALUE"""),"")</f>
        <v/>
      </c>
      <c r="O69" s="2" t="str">
        <f ca="1">IFERROR(__xludf.DUMMYFUNCTION("""COMPUTED_VALUE"""),"")</f>
        <v/>
      </c>
      <c r="P69" s="2" t="str">
        <f ca="1">IFERROR(__xludf.DUMMYFUNCTION("""COMPUTED_VALUE"""),"")</f>
        <v/>
      </c>
      <c r="Q69" s="2" t="str">
        <f ca="1">IFERROR(__xludf.DUMMYFUNCTION("""COMPUTED_VALUE"""),"")</f>
        <v/>
      </c>
      <c r="R69" s="2" t="str">
        <f ca="1">IFERROR(__xludf.DUMMYFUNCTION("""COMPUTED_VALUE"""),"")</f>
        <v/>
      </c>
      <c r="S69" s="2" t="str">
        <f ca="1">IFERROR(__xludf.DUMMYFUNCTION("""COMPUTED_VALUE"""),"")</f>
        <v/>
      </c>
      <c r="T69" s="2" t="str">
        <f ca="1">IFERROR(__xludf.DUMMYFUNCTION("""COMPUTED_VALUE"""),"")</f>
        <v/>
      </c>
      <c r="U69" s="2" t="str">
        <f ca="1">IFERROR(__xludf.DUMMYFUNCTION("""COMPUTED_VALUE"""),"")</f>
        <v/>
      </c>
      <c r="V69" s="2" t="str">
        <f ca="1">IFERROR(__xludf.DUMMYFUNCTION("""COMPUTED_VALUE"""),"")</f>
        <v/>
      </c>
      <c r="W69" s="2" t="str">
        <f ca="1">IFERROR(__xludf.DUMMYFUNCTION("""COMPUTED_VALUE"""),"")</f>
        <v/>
      </c>
      <c r="X69" s="2" t="str">
        <f ca="1">IFERROR(__xludf.DUMMYFUNCTION("""COMPUTED_VALUE"""),"")</f>
        <v/>
      </c>
      <c r="Y69" s="2" t="str">
        <f ca="1">IFERROR(__xludf.DUMMYFUNCTION("""COMPUTED_VALUE"""),"")</f>
        <v/>
      </c>
      <c r="Z69" s="2" t="str">
        <f ca="1">IFERROR(__xludf.DUMMYFUNCTION("""COMPUTED_VALUE"""),"")</f>
        <v/>
      </c>
      <c r="AA69" s="2" t="str">
        <f ca="1">IFERROR(__xludf.DUMMYFUNCTION("""COMPUTED_VALUE"""),"")</f>
        <v/>
      </c>
      <c r="AB69" s="2" t="str">
        <f ca="1">IFERROR(__xludf.DUMMYFUNCTION("""COMPUTED_VALUE"""),"")</f>
        <v/>
      </c>
      <c r="AC69" s="2" t="str">
        <f ca="1">IFERROR(__xludf.DUMMYFUNCTION("""COMPUTED_VALUE"""),"")</f>
        <v/>
      </c>
      <c r="AD69" s="2" t="str">
        <f ca="1">IFERROR(__xludf.DUMMYFUNCTION("""COMPUTED_VALUE"""),"")</f>
        <v/>
      </c>
      <c r="AE69" s="2" t="str">
        <f ca="1">IFERROR(__xludf.DUMMYFUNCTION("""COMPUTED_VALUE"""),"")</f>
        <v/>
      </c>
      <c r="AF69" s="2" t="str">
        <f ca="1">IFERROR(__xludf.DUMMYFUNCTION("""COMPUTED_VALUE"""),"")</f>
        <v/>
      </c>
      <c r="AG69" s="2" t="str">
        <f ca="1">IFERROR(__xludf.DUMMYFUNCTION("""COMPUTED_VALUE"""),"")</f>
        <v/>
      </c>
      <c r="AH69" s="2" t="str">
        <f ca="1">IFERROR(__xludf.DUMMYFUNCTION("""COMPUTED_VALUE"""),"")</f>
        <v/>
      </c>
      <c r="AI69" s="2" t="str">
        <f ca="1">IFERROR(__xludf.DUMMYFUNCTION("""COMPUTED_VALUE"""),"")</f>
        <v/>
      </c>
      <c r="AJ69" s="2" t="str">
        <f ca="1">IFERROR(__xludf.DUMMYFUNCTION("""COMPUTED_VALUE"""),"")</f>
        <v/>
      </c>
      <c r="AK69" s="2" t="str">
        <f ca="1">IFERROR(__xludf.DUMMYFUNCTION("""COMPUTED_VALUE"""),"")</f>
        <v/>
      </c>
      <c r="AL69" s="2" t="str">
        <f ca="1">IFERROR(__xludf.DUMMYFUNCTION("""COMPUTED_VALUE"""),"")</f>
        <v/>
      </c>
      <c r="AM69" s="2" t="str">
        <f ca="1">IFERROR(__xludf.DUMMYFUNCTION("""COMPUTED_VALUE"""),"")</f>
        <v/>
      </c>
      <c r="AN69" s="2" t="str">
        <f ca="1">IFERROR(__xludf.DUMMYFUNCTION("""COMPUTED_VALUE"""),"")</f>
        <v/>
      </c>
      <c r="AO69" s="2" t="str">
        <f ca="1">IFERROR(__xludf.DUMMYFUNCTION("""COMPUTED_VALUE"""),"")</f>
        <v/>
      </c>
      <c r="AP69" s="2" t="str">
        <f ca="1">IFERROR(__xludf.DUMMYFUNCTION("""COMPUTED_VALUE"""),"")</f>
        <v/>
      </c>
      <c r="AQ69" s="2" t="str">
        <f ca="1">IFERROR(__xludf.DUMMYFUNCTION("""COMPUTED_VALUE"""),"")</f>
        <v/>
      </c>
      <c r="AR69" s="2" t="str">
        <f ca="1">IFERROR(__xludf.DUMMYFUNCTION("""COMPUTED_VALUE"""),"")</f>
        <v/>
      </c>
      <c r="AS69" s="2" t="str">
        <f ca="1">IFERROR(__xludf.DUMMYFUNCTION("""COMPUTED_VALUE"""),"")</f>
        <v/>
      </c>
      <c r="AT69" s="2" t="str">
        <f ca="1">IFERROR(__xludf.DUMMYFUNCTION("""COMPUTED_VALUE"""),"")</f>
        <v/>
      </c>
      <c r="AU69" s="2" t="str">
        <f ca="1">IFERROR(__xludf.DUMMYFUNCTION("""COMPUTED_VALUE"""),"")</f>
        <v/>
      </c>
      <c r="AV69" s="2" t="str">
        <f ca="1">IFERROR(__xludf.DUMMYFUNCTION("""COMPUTED_VALUE"""),"")</f>
        <v/>
      </c>
      <c r="AW69" s="2" t="str">
        <f ca="1">IFERROR(__xludf.DUMMYFUNCTION("""COMPUTED_VALUE"""),"")</f>
        <v/>
      </c>
      <c r="AX69" s="2" t="str">
        <f ca="1">IFERROR(__xludf.DUMMYFUNCTION("""COMPUTED_VALUE"""),"")</f>
        <v/>
      </c>
      <c r="AY69" s="2" t="str">
        <f ca="1">IFERROR(__xludf.DUMMYFUNCTION("""COMPUTED_VALUE"""),"")</f>
        <v/>
      </c>
      <c r="AZ69" s="2" t="str">
        <f ca="1">IFERROR(__xludf.DUMMYFUNCTION("""COMPUTED_VALUE"""),"")</f>
        <v/>
      </c>
      <c r="BA69" s="2" t="str">
        <f ca="1">IFERROR(__xludf.DUMMYFUNCTION("""COMPUTED_VALUE"""),"")</f>
        <v/>
      </c>
      <c r="BB69" s="2" t="str">
        <f ca="1">IFERROR(__xludf.DUMMYFUNCTION("""COMPUTED_VALUE"""),"")</f>
        <v/>
      </c>
      <c r="BC69" s="2" t="str">
        <f ca="1">IFERROR(__xludf.DUMMYFUNCTION("""COMPUTED_VALUE"""),"")</f>
        <v/>
      </c>
      <c r="BD69" s="2" t="str">
        <f ca="1">IFERROR(__xludf.DUMMYFUNCTION("""COMPUTED_VALUE"""),"580 Pk Pde and 4 usual spots on Cutwater Rd.")</f>
        <v>580 Pk Pde and 4 usual spots on Cutwater Rd.</v>
      </c>
      <c r="BE69" s="2" t="str">
        <f ca="1">IFERROR(__xludf.DUMMYFUNCTION("""COMPUTED_VALUE"""),"Transmitter failing")</f>
        <v>Transmitter failing</v>
      </c>
      <c r="BF69" t="str">
        <f ca="1">IFERROR(__xludf.DUMMYFUNCTION("""COMPUTED_VALUE"""),"")</f>
        <v/>
      </c>
      <c r="BG69" t="str">
        <f ca="1">IFERROR(__xludf.DUMMYFUNCTION("""COMPUTED_VALUE"""),"")</f>
        <v/>
      </c>
      <c r="BH69" t="str">
        <f ca="1">IFERROR(__xludf.DUMMYFUNCTION("""COMPUTED_VALUE"""),"")</f>
        <v/>
      </c>
      <c r="BI69" t="str">
        <f ca="1">IFERROR(__xludf.DUMMYFUNCTION("""COMPUTED_VALUE"""),"")</f>
        <v/>
      </c>
      <c r="BJ69" s="3" t="str">
        <f ca="1">IFERROR(__xludf.DUMMYFUNCTION("""COMPUTED_VALUE"""),"")</f>
        <v/>
      </c>
    </row>
    <row r="70" spans="1:62" ht="12.5" x14ac:dyDescent="0.25">
      <c r="A70" s="6">
        <f ca="1">IFERROR(__xludf.DUMMYFUNCTION("""COMPUTED_VALUE"""),43275.76119228)</f>
        <v>43275.761192279999</v>
      </c>
      <c r="B70" s="2" t="str">
        <f ca="1">IFERROR(__xludf.DUMMYFUNCTION("""COMPUTED_VALUE"""),"Bay of Plenty")</f>
        <v>Bay of Plenty</v>
      </c>
      <c r="C70" s="2" t="str">
        <f ca="1">IFERROR(__xludf.DUMMYFUNCTION("""COMPUTED_VALUE"""),"Tx 38 - Pearl")</f>
        <v>Tx 38 - Pearl</v>
      </c>
      <c r="D70" s="10">
        <f ca="1">IFERROR(__xludf.DUMMYFUNCTION("""COMPUTED_VALUE"""),43175)</f>
        <v>43175</v>
      </c>
      <c r="E70" s="4">
        <f ca="1">IFERROR(__xludf.DUMMYFUNCTION("""COMPUTED_VALUE"""),0.8125)</f>
        <v>0.8125</v>
      </c>
      <c r="F70" s="2" t="str">
        <f ca="1">IFERROR(__xludf.DUMMYFUNCTION("""COMPUTED_VALUE"""),"Little Waihi")</f>
        <v>Little Waihi</v>
      </c>
      <c r="G70" s="2" t="str">
        <f ca="1">IFERROR(__xludf.DUMMYFUNCTION("""COMPUTED_VALUE"""),"VHF (close approach): I followed the signal until I got within 50 m of the bird")</f>
        <v>VHF (close approach): I followed the signal until I got within 50 m of the bird</v>
      </c>
      <c r="H70" s="2" t="str">
        <f ca="1">IFERROR(__xludf.DUMMYFUNCTION("""COMPUTED_VALUE"""),"")</f>
        <v/>
      </c>
      <c r="I70" s="2" t="str">
        <f ca="1">IFERROR(__xludf.DUMMYFUNCTION("""COMPUTED_VALUE"""),"")</f>
        <v/>
      </c>
      <c r="J70" s="2" t="str">
        <f ca="1">IFERROR(__xludf.DUMMYFUNCTION("""COMPUTED_VALUE"""),"")</f>
        <v/>
      </c>
      <c r="K70" s="2" t="str">
        <f ca="1">IFERROR(__xludf.DUMMYFUNCTION("""COMPUTED_VALUE"""),"")</f>
        <v/>
      </c>
      <c r="L70" s="2" t="str">
        <f ca="1">IFERROR(__xludf.DUMMYFUNCTION("""COMPUTED_VALUE"""),"Yes - I managed to observe the bird without it flushing")</f>
        <v>Yes - I managed to observe the bird without it flushing</v>
      </c>
      <c r="M70" s="5">
        <f ca="1">IFERROR(__xludf.DUMMYFUNCTION("""COMPUTED_VALUE"""),1907650)</f>
        <v>1907650</v>
      </c>
      <c r="N70" s="5">
        <f ca="1">IFERROR(__xludf.DUMMYFUNCTION("""COMPUTED_VALUE"""),5814148)</f>
        <v>5814148</v>
      </c>
      <c r="O70" s="2" t="str">
        <f ca="1">IFERROR(__xludf.DUMMYFUNCTION("""COMPUTED_VALUE"""),"")</f>
        <v/>
      </c>
      <c r="P70" s="2" t="str">
        <f ca="1">IFERROR(__xludf.DUMMYFUNCTION("""COMPUTED_VALUE"""),"Yes")</f>
        <v>Yes</v>
      </c>
      <c r="Q70" s="2" t="str">
        <f ca="1">IFERROR(__xludf.DUMMYFUNCTION("""COMPUTED_VALUE"""),"Don't know")</f>
        <v>Don't know</v>
      </c>
      <c r="R70" s="2" t="str">
        <f ca="1">IFERROR(__xludf.DUMMYFUNCTION("""COMPUTED_VALUE"""),"don't know")</f>
        <v>don't know</v>
      </c>
      <c r="S70" s="2" t="str">
        <f ca="1">IFERROR(__xludf.DUMMYFUNCTION("""COMPUTED_VALUE"""),"20")</f>
        <v>20</v>
      </c>
      <c r="T70" s="2" t="str">
        <f ca="1">IFERROR(__xludf.DUMMYFUNCTION("""COMPUTED_VALUE"""),"paddock with reeds")</f>
        <v>paddock with reeds</v>
      </c>
      <c r="U70" s="2" t="str">
        <f ca="1">IFERROR(__xludf.DUMMYFUNCTION("""COMPUTED_VALUE"""),"Couldn't get any signal beyond about 50 meters from the bird. Transmitter very weak.")</f>
        <v>Couldn't get any signal beyond about 50 meters from the bird. Transmitter very weak.</v>
      </c>
      <c r="V70" s="2" t="str">
        <f ca="1">IFERROR(__xludf.DUMMYFUNCTION("""COMPUTED_VALUE"""),"")</f>
        <v/>
      </c>
      <c r="W70" s="2" t="str">
        <f ca="1">IFERROR(__xludf.DUMMYFUNCTION("""COMPUTED_VALUE"""),"")</f>
        <v/>
      </c>
      <c r="X70" s="2" t="str">
        <f ca="1">IFERROR(__xludf.DUMMYFUNCTION("""COMPUTED_VALUE"""),"")</f>
        <v/>
      </c>
      <c r="Y70" s="2" t="str">
        <f ca="1">IFERROR(__xludf.DUMMYFUNCTION("""COMPUTED_VALUE"""),"")</f>
        <v/>
      </c>
      <c r="Z70" s="2" t="str">
        <f ca="1">IFERROR(__xludf.DUMMYFUNCTION("""COMPUTED_VALUE"""),"")</f>
        <v/>
      </c>
      <c r="AA70" s="2" t="str">
        <f ca="1">IFERROR(__xludf.DUMMYFUNCTION("""COMPUTED_VALUE"""),"")</f>
        <v/>
      </c>
      <c r="AB70" s="2" t="str">
        <f ca="1">IFERROR(__xludf.DUMMYFUNCTION("""COMPUTED_VALUE"""),"")</f>
        <v/>
      </c>
      <c r="AC70" s="2" t="str">
        <f ca="1">IFERROR(__xludf.DUMMYFUNCTION("""COMPUTED_VALUE"""),"")</f>
        <v/>
      </c>
      <c r="AD70" s="2" t="str">
        <f ca="1">IFERROR(__xludf.DUMMYFUNCTION("""COMPUTED_VALUE"""),"")</f>
        <v/>
      </c>
      <c r="AE70" s="2" t="str">
        <f ca="1">IFERROR(__xludf.DUMMYFUNCTION("""COMPUTED_VALUE"""),"")</f>
        <v/>
      </c>
      <c r="AF70" s="2" t="str">
        <f ca="1">IFERROR(__xludf.DUMMYFUNCTION("""COMPUTED_VALUE"""),"")</f>
        <v/>
      </c>
      <c r="AG70" s="2" t="str">
        <f ca="1">IFERROR(__xludf.DUMMYFUNCTION("""COMPUTED_VALUE"""),"")</f>
        <v/>
      </c>
      <c r="AH70" s="2" t="str">
        <f ca="1">IFERROR(__xludf.DUMMYFUNCTION("""COMPUTED_VALUE"""),"")</f>
        <v/>
      </c>
      <c r="AI70" s="2" t="str">
        <f ca="1">IFERROR(__xludf.DUMMYFUNCTION("""COMPUTED_VALUE"""),"")</f>
        <v/>
      </c>
      <c r="AJ70" s="2" t="str">
        <f ca="1">IFERROR(__xludf.DUMMYFUNCTION("""COMPUTED_VALUE"""),"")</f>
        <v/>
      </c>
      <c r="AK70" s="2" t="str">
        <f ca="1">IFERROR(__xludf.DUMMYFUNCTION("""COMPUTED_VALUE"""),"")</f>
        <v/>
      </c>
      <c r="AL70" s="2" t="str">
        <f ca="1">IFERROR(__xludf.DUMMYFUNCTION("""COMPUTED_VALUE"""),"")</f>
        <v/>
      </c>
      <c r="AM70" s="2" t="str">
        <f ca="1">IFERROR(__xludf.DUMMYFUNCTION("""COMPUTED_VALUE"""),"")</f>
        <v/>
      </c>
      <c r="AN70" s="2" t="str">
        <f ca="1">IFERROR(__xludf.DUMMYFUNCTION("""COMPUTED_VALUE"""),"")</f>
        <v/>
      </c>
      <c r="AO70" s="2" t="str">
        <f ca="1">IFERROR(__xludf.DUMMYFUNCTION("""COMPUTED_VALUE"""),"")</f>
        <v/>
      </c>
      <c r="AP70" s="2" t="str">
        <f ca="1">IFERROR(__xludf.DUMMYFUNCTION("""COMPUTED_VALUE"""),"")</f>
        <v/>
      </c>
      <c r="AQ70" s="2" t="str">
        <f ca="1">IFERROR(__xludf.DUMMYFUNCTION("""COMPUTED_VALUE"""),"")</f>
        <v/>
      </c>
      <c r="AR70" s="2" t="str">
        <f ca="1">IFERROR(__xludf.DUMMYFUNCTION("""COMPUTED_VALUE"""),"")</f>
        <v/>
      </c>
      <c r="AS70" s="2" t="str">
        <f ca="1">IFERROR(__xludf.DUMMYFUNCTION("""COMPUTED_VALUE"""),"")</f>
        <v/>
      </c>
      <c r="AT70" s="2" t="str">
        <f ca="1">IFERROR(__xludf.DUMMYFUNCTION("""COMPUTED_VALUE"""),"")</f>
        <v/>
      </c>
      <c r="AU70" s="2" t="str">
        <f ca="1">IFERROR(__xludf.DUMMYFUNCTION("""COMPUTED_VALUE"""),"")</f>
        <v/>
      </c>
      <c r="AV70" s="2" t="str">
        <f ca="1">IFERROR(__xludf.DUMMYFUNCTION("""COMPUTED_VALUE"""),"")</f>
        <v/>
      </c>
      <c r="AW70" s="2" t="str">
        <f ca="1">IFERROR(__xludf.DUMMYFUNCTION("""COMPUTED_VALUE"""),"")</f>
        <v/>
      </c>
      <c r="AX70" s="2" t="str">
        <f ca="1">IFERROR(__xludf.DUMMYFUNCTION("""COMPUTED_VALUE"""),"")</f>
        <v/>
      </c>
      <c r="AY70" s="2" t="str">
        <f ca="1">IFERROR(__xludf.DUMMYFUNCTION("""COMPUTED_VALUE"""),"")</f>
        <v/>
      </c>
      <c r="AZ70" s="2" t="str">
        <f ca="1">IFERROR(__xludf.DUMMYFUNCTION("""COMPUTED_VALUE"""),"")</f>
        <v/>
      </c>
      <c r="BA70" s="2" t="str">
        <f ca="1">IFERROR(__xludf.DUMMYFUNCTION("""COMPUTED_VALUE"""),"")</f>
        <v/>
      </c>
      <c r="BB70" s="2" t="str">
        <f ca="1">IFERROR(__xludf.DUMMYFUNCTION("""COMPUTED_VALUE"""),"")</f>
        <v/>
      </c>
      <c r="BC70" s="2" t="str">
        <f ca="1">IFERROR(__xludf.DUMMYFUNCTION("""COMPUTED_VALUE"""),"")</f>
        <v/>
      </c>
      <c r="BD70" s="2" t="str">
        <f ca="1">IFERROR(__xludf.DUMMYFUNCTION("""COMPUTED_VALUE"""),"")</f>
        <v/>
      </c>
      <c r="BE70" s="2" t="str">
        <f ca="1">IFERROR(__xludf.DUMMYFUNCTION("""COMPUTED_VALUE"""),"")</f>
        <v/>
      </c>
      <c r="BF70" t="str">
        <f ca="1">IFERROR(__xludf.DUMMYFUNCTION("""COMPUTED_VALUE"""),"")</f>
        <v/>
      </c>
      <c r="BG70" t="str">
        <f ca="1">IFERROR(__xludf.DUMMYFUNCTION("""COMPUTED_VALUE"""),"")</f>
        <v/>
      </c>
      <c r="BH70" t="str">
        <f ca="1">IFERROR(__xludf.DUMMYFUNCTION("""COMPUTED_VALUE"""),"")</f>
        <v/>
      </c>
      <c r="BI70" t="str">
        <f ca="1">IFERROR(__xludf.DUMMYFUNCTION("""COMPUTED_VALUE"""),"")</f>
        <v/>
      </c>
      <c r="BJ70" s="3" t="str">
        <f ca="1">IFERROR(__xludf.DUMMYFUNCTION("""COMPUTED_VALUE"""),"")</f>
        <v/>
      </c>
    </row>
    <row r="71" spans="1:62" ht="12.5" x14ac:dyDescent="0.25">
      <c r="A71" s="6">
        <f ca="1">IFERROR(__xludf.DUMMYFUNCTION("""COMPUTED_VALUE"""),43275.7640124652)</f>
        <v>43275.764012465203</v>
      </c>
      <c r="B71" s="2" t="str">
        <f ca="1">IFERROR(__xludf.DUMMYFUNCTION("""COMPUTED_VALUE"""),"Bay of Plenty")</f>
        <v>Bay of Plenty</v>
      </c>
      <c r="C71" s="2" t="str">
        <f ca="1">IFERROR(__xludf.DUMMYFUNCTION("""COMPUTED_VALUE"""),"Tx 38 - Pearl")</f>
        <v>Tx 38 - Pearl</v>
      </c>
      <c r="D71" s="10">
        <f ca="1">IFERROR(__xludf.DUMMYFUNCTION("""COMPUTED_VALUE"""),43271)</f>
        <v>43271</v>
      </c>
      <c r="E71" s="4">
        <f ca="1">IFERROR(__xludf.DUMMYFUNCTION("""COMPUTED_VALUE"""),0.722222222222626)</f>
        <v>0.722222222222626</v>
      </c>
      <c r="F71" s="2" t="str">
        <f ca="1">IFERROR(__xludf.DUMMYFUNCTION("""COMPUTED_VALUE"""),"Little Waihi")</f>
        <v>Little Waihi</v>
      </c>
      <c r="G71" s="2" t="str">
        <f ca="1">IFERROR(__xludf.DUMMYFUNCTION("""COMPUTED_VALUE"""),"VHF (Mortality): I just listened to see if the signal was on mortality")</f>
        <v>VHF (Mortality): I just listened to see if the signal was on mortality</v>
      </c>
      <c r="H71" s="2" t="str">
        <f ca="1">IFERROR(__xludf.DUMMYFUNCTION("""COMPUTED_VALUE"""),"")</f>
        <v/>
      </c>
      <c r="I71" s="2" t="str">
        <f ca="1">IFERROR(__xludf.DUMMYFUNCTION("""COMPUTED_VALUE"""),"")</f>
        <v/>
      </c>
      <c r="J71" s="2" t="str">
        <f ca="1">IFERROR(__xludf.DUMMYFUNCTION("""COMPUTED_VALUE"""),"")</f>
        <v/>
      </c>
      <c r="K71" s="2" t="str">
        <f ca="1">IFERROR(__xludf.DUMMYFUNCTION("""COMPUTED_VALUE"""),"")</f>
        <v/>
      </c>
      <c r="L71" s="2" t="str">
        <f ca="1">IFERROR(__xludf.DUMMYFUNCTION("""COMPUTED_VALUE"""),"")</f>
        <v/>
      </c>
      <c r="M71" s="5" t="str">
        <f ca="1">IFERROR(__xludf.DUMMYFUNCTION("""COMPUTED_VALUE"""),"")</f>
        <v/>
      </c>
      <c r="N71" s="5" t="str">
        <f ca="1">IFERROR(__xludf.DUMMYFUNCTION("""COMPUTED_VALUE"""),"")</f>
        <v/>
      </c>
      <c r="O71" s="2" t="str">
        <f ca="1">IFERROR(__xludf.DUMMYFUNCTION("""COMPUTED_VALUE"""),"")</f>
        <v/>
      </c>
      <c r="P71" s="2" t="str">
        <f ca="1">IFERROR(__xludf.DUMMYFUNCTION("""COMPUTED_VALUE"""),"")</f>
        <v/>
      </c>
      <c r="Q71" s="2" t="str">
        <f ca="1">IFERROR(__xludf.DUMMYFUNCTION("""COMPUTED_VALUE"""),"")</f>
        <v/>
      </c>
      <c r="R71" s="2" t="str">
        <f ca="1">IFERROR(__xludf.DUMMYFUNCTION("""COMPUTED_VALUE"""),"")</f>
        <v/>
      </c>
      <c r="S71" s="2" t="str">
        <f ca="1">IFERROR(__xludf.DUMMYFUNCTION("""COMPUTED_VALUE"""),"")</f>
        <v/>
      </c>
      <c r="T71" s="2" t="str">
        <f ca="1">IFERROR(__xludf.DUMMYFUNCTION("""COMPUTED_VALUE"""),"")</f>
        <v/>
      </c>
      <c r="U71" s="2" t="str">
        <f ca="1">IFERROR(__xludf.DUMMYFUNCTION("""COMPUTED_VALUE"""),"")</f>
        <v/>
      </c>
      <c r="V71" s="2" t="str">
        <f ca="1">IFERROR(__xludf.DUMMYFUNCTION("""COMPUTED_VALUE"""),"")</f>
        <v/>
      </c>
      <c r="W71" s="2" t="str">
        <f ca="1">IFERROR(__xludf.DUMMYFUNCTION("""COMPUTED_VALUE"""),"")</f>
        <v/>
      </c>
      <c r="X71" s="2" t="str">
        <f ca="1">IFERROR(__xludf.DUMMYFUNCTION("""COMPUTED_VALUE"""),"")</f>
        <v/>
      </c>
      <c r="Y71" s="2" t="str">
        <f ca="1">IFERROR(__xludf.DUMMYFUNCTION("""COMPUTED_VALUE"""),"")</f>
        <v/>
      </c>
      <c r="Z71" s="2" t="str">
        <f ca="1">IFERROR(__xludf.DUMMYFUNCTION("""COMPUTED_VALUE"""),"")</f>
        <v/>
      </c>
      <c r="AA71" s="2" t="str">
        <f ca="1">IFERROR(__xludf.DUMMYFUNCTION("""COMPUTED_VALUE"""),"")</f>
        <v/>
      </c>
      <c r="AB71" s="2" t="str">
        <f ca="1">IFERROR(__xludf.DUMMYFUNCTION("""COMPUTED_VALUE"""),"")</f>
        <v/>
      </c>
      <c r="AC71" s="2" t="str">
        <f ca="1">IFERROR(__xludf.DUMMYFUNCTION("""COMPUTED_VALUE"""),"")</f>
        <v/>
      </c>
      <c r="AD71" s="2" t="str">
        <f ca="1">IFERROR(__xludf.DUMMYFUNCTION("""COMPUTED_VALUE"""),"")</f>
        <v/>
      </c>
      <c r="AE71" s="2" t="str">
        <f ca="1">IFERROR(__xludf.DUMMYFUNCTION("""COMPUTED_VALUE"""),"")</f>
        <v/>
      </c>
      <c r="AF71" s="2" t="str">
        <f ca="1">IFERROR(__xludf.DUMMYFUNCTION("""COMPUTED_VALUE"""),"")</f>
        <v/>
      </c>
      <c r="AG71" s="2" t="str">
        <f ca="1">IFERROR(__xludf.DUMMYFUNCTION("""COMPUTED_VALUE"""),"")</f>
        <v/>
      </c>
      <c r="AH71" s="2" t="str">
        <f ca="1">IFERROR(__xludf.DUMMYFUNCTION("""COMPUTED_VALUE"""),"")</f>
        <v/>
      </c>
      <c r="AI71" s="2" t="str">
        <f ca="1">IFERROR(__xludf.DUMMYFUNCTION("""COMPUTED_VALUE"""),"")</f>
        <v/>
      </c>
      <c r="AJ71" s="2" t="str">
        <f ca="1">IFERROR(__xludf.DUMMYFUNCTION("""COMPUTED_VALUE"""),"")</f>
        <v/>
      </c>
      <c r="AK71" s="2" t="str">
        <f ca="1">IFERROR(__xludf.DUMMYFUNCTION("""COMPUTED_VALUE"""),"")</f>
        <v/>
      </c>
      <c r="AL71" s="2" t="str">
        <f ca="1">IFERROR(__xludf.DUMMYFUNCTION("""COMPUTED_VALUE"""),"")</f>
        <v/>
      </c>
      <c r="AM71" s="2" t="str">
        <f ca="1">IFERROR(__xludf.DUMMYFUNCTION("""COMPUTED_VALUE"""),"")</f>
        <v/>
      </c>
      <c r="AN71" s="2" t="str">
        <f ca="1">IFERROR(__xludf.DUMMYFUNCTION("""COMPUTED_VALUE"""),"")</f>
        <v/>
      </c>
      <c r="AO71" s="2" t="str">
        <f ca="1">IFERROR(__xludf.DUMMYFUNCTION("""COMPUTED_VALUE"""),"")</f>
        <v/>
      </c>
      <c r="AP71" s="2" t="str">
        <f ca="1">IFERROR(__xludf.DUMMYFUNCTION("""COMPUTED_VALUE"""),"")</f>
        <v/>
      </c>
      <c r="AQ71" s="2" t="str">
        <f ca="1">IFERROR(__xludf.DUMMYFUNCTION("""COMPUTED_VALUE"""),"")</f>
        <v/>
      </c>
      <c r="AR71" s="2" t="str">
        <f ca="1">IFERROR(__xludf.DUMMYFUNCTION("""COMPUTED_VALUE"""),"")</f>
        <v/>
      </c>
      <c r="AS71" s="2" t="str">
        <f ca="1">IFERROR(__xludf.DUMMYFUNCTION("""COMPUTED_VALUE"""),"")</f>
        <v/>
      </c>
      <c r="AT71" s="2" t="str">
        <f ca="1">IFERROR(__xludf.DUMMYFUNCTION("""COMPUTED_VALUE"""),"")</f>
        <v/>
      </c>
      <c r="AU71" s="2" t="str">
        <f ca="1">IFERROR(__xludf.DUMMYFUNCTION("""COMPUTED_VALUE"""),"")</f>
        <v/>
      </c>
      <c r="AV71" s="2" t="str">
        <f ca="1">IFERROR(__xludf.DUMMYFUNCTION("""COMPUTED_VALUE"""),"60 pulses per minute - Oh dear, something is wrong. Perhaps the bird dropped it's transmitter. We need to find it. Please get in touch with your local coordinator ASAP.")</f>
        <v>60 pulses per minute - Oh dear, something is wrong. Perhaps the bird dropped it's transmitter. We need to find it. Please get in touch with your local coordinator ASAP.</v>
      </c>
      <c r="AW71" s="2">
        <f ca="1">IFERROR(__xludf.DUMMYFUNCTION("""COMPUTED_VALUE"""),1907547)</f>
        <v>1907547</v>
      </c>
      <c r="AX71" s="2">
        <f ca="1">IFERROR(__xludf.DUMMYFUNCTION("""COMPUTED_VALUE"""),5812875)</f>
        <v>5812875</v>
      </c>
      <c r="AY71" s="2" t="str">
        <f ca="1">IFERROR(__xludf.DUMMYFUNCTION("""COMPUTED_VALUE"""),"Weak with static, but clear. Emma present at the time.")</f>
        <v>Weak with static, but clear. Emma present at the time.</v>
      </c>
      <c r="AZ71" s="2" t="str">
        <f ca="1">IFERROR(__xludf.DUMMYFUNCTION("""COMPUTED_VALUE"""),"")</f>
        <v/>
      </c>
      <c r="BA71" s="2" t="str">
        <f ca="1">IFERROR(__xludf.DUMMYFUNCTION("""COMPUTED_VALUE"""),"")</f>
        <v/>
      </c>
      <c r="BB71" s="2" t="str">
        <f ca="1">IFERROR(__xludf.DUMMYFUNCTION("""COMPUTED_VALUE"""),"")</f>
        <v/>
      </c>
      <c r="BC71" s="2" t="str">
        <f ca="1">IFERROR(__xludf.DUMMYFUNCTION("""COMPUTED_VALUE"""),"")</f>
        <v/>
      </c>
      <c r="BD71" s="2" t="str">
        <f ca="1">IFERROR(__xludf.DUMMYFUNCTION("""COMPUTED_VALUE"""),"")</f>
        <v/>
      </c>
      <c r="BE71" s="2" t="str">
        <f ca="1">IFERROR(__xludf.DUMMYFUNCTION("""COMPUTED_VALUE"""),"")</f>
        <v/>
      </c>
      <c r="BF71" t="str">
        <f ca="1">IFERROR(__xludf.DUMMYFUNCTION("""COMPUTED_VALUE"""),"")</f>
        <v/>
      </c>
      <c r="BG71" t="str">
        <f ca="1">IFERROR(__xludf.DUMMYFUNCTION("""COMPUTED_VALUE"""),"")</f>
        <v/>
      </c>
      <c r="BH71" t="str">
        <f ca="1">IFERROR(__xludf.DUMMYFUNCTION("""COMPUTED_VALUE"""),"")</f>
        <v/>
      </c>
      <c r="BI71" t="str">
        <f ca="1">IFERROR(__xludf.DUMMYFUNCTION("""COMPUTED_VALUE"""),"")</f>
        <v/>
      </c>
      <c r="BJ71" s="3" t="str">
        <f ca="1">IFERROR(__xludf.DUMMYFUNCTION("""COMPUTED_VALUE"""),"")</f>
        <v/>
      </c>
    </row>
    <row r="72" spans="1:62" ht="12.5" x14ac:dyDescent="0.25">
      <c r="A72" s="6">
        <f ca="1">IFERROR(__xludf.DUMMYFUNCTION("""COMPUTED_VALUE"""),43288.7571237962)</f>
        <v>43288.757123796197</v>
      </c>
      <c r="B72" s="2" t="str">
        <f ca="1">IFERROR(__xludf.DUMMYFUNCTION("""COMPUTED_VALUE"""),"Bay of Plenty")</f>
        <v>Bay of Plenty</v>
      </c>
      <c r="C72" s="2" t="str">
        <f ca="1">IFERROR(__xludf.DUMMYFUNCTION("""COMPUTED_VALUE"""),"Tx 17 - Teddy")</f>
        <v>Tx 17 - Teddy</v>
      </c>
      <c r="D72" s="10">
        <f ca="1">IFERROR(__xludf.DUMMYFUNCTION("""COMPUTED_VALUE"""),43288)</f>
        <v>43288</v>
      </c>
      <c r="E72" s="4">
        <f ca="1">IFERROR(__xludf.DUMMYFUNCTION("""COMPUTED_VALUE"""),0.541666666667879)</f>
        <v>0.54166666666787899</v>
      </c>
      <c r="F72" s="2" t="str">
        <f ca="1">IFERROR(__xludf.DUMMYFUNCTION("""COMPUTED_VALUE"""),"Little Waihi WMR")</f>
        <v>Little Waihi WMR</v>
      </c>
      <c r="G72" s="2" t="str">
        <f ca="1">IFERROR(__xludf.DUMMYFUNCTION("""COMPUTED_VALUE"""),"VHF (close approach): I followed the signal until I got within 50 m of the bird")</f>
        <v>VHF (close approach): I followed the signal until I got within 50 m of the bird</v>
      </c>
      <c r="H72" s="2" t="str">
        <f ca="1">IFERROR(__xludf.DUMMYFUNCTION("""COMPUTED_VALUE"""),"")</f>
        <v/>
      </c>
      <c r="I72" s="2" t="str">
        <f ca="1">IFERROR(__xludf.DUMMYFUNCTION("""COMPUTED_VALUE"""),"")</f>
        <v/>
      </c>
      <c r="J72" s="2" t="str">
        <f ca="1">IFERROR(__xludf.DUMMYFUNCTION("""COMPUTED_VALUE"""),"")</f>
        <v/>
      </c>
      <c r="K72" s="2" t="str">
        <f ca="1">IFERROR(__xludf.DUMMYFUNCTION("""COMPUTED_VALUE"""),"")</f>
        <v/>
      </c>
      <c r="L72" s="2" t="str">
        <f ca="1">IFERROR(__xludf.DUMMYFUNCTION("""COMPUTED_VALUE"""),"No - I got very close to the bird but it was well hidden in the vegetation")</f>
        <v>No - I got very close to the bird but it was well hidden in the vegetation</v>
      </c>
      <c r="M72" s="5">
        <f ca="1">IFERROR(__xludf.DUMMYFUNCTION("""COMPUTED_VALUE"""),1906689.33)</f>
        <v>1906689.33</v>
      </c>
      <c r="N72" s="5">
        <f ca="1">IFERROR(__xludf.DUMMYFUNCTION("""COMPUTED_VALUE"""),5813115.49)</f>
        <v>5813115.4900000002</v>
      </c>
      <c r="O72" s="2" t="str">
        <f ca="1">IFERROR(__xludf.DUMMYFUNCTION("""COMPUTED_VALUE"""),"")</f>
        <v/>
      </c>
      <c r="P72" s="2" t="str">
        <f ca="1">IFERROR(__xludf.DUMMYFUNCTION("""COMPUTED_VALUE"""),"No")</f>
        <v>No</v>
      </c>
      <c r="Q72" s="2" t="str">
        <f ca="1">IFERROR(__xludf.DUMMYFUNCTION("""COMPUTED_VALUE"""),"Don't know")</f>
        <v>Don't know</v>
      </c>
      <c r="R72" s="2" t="str">
        <f ca="1">IFERROR(__xludf.DUMMYFUNCTION("""COMPUTED_VALUE"""),"Dont know")</f>
        <v>Dont know</v>
      </c>
      <c r="S72" s="2" t="str">
        <f ca="1">IFERROR(__xludf.DUMMYFUNCTION("""COMPUTED_VALUE"""),"see map")</f>
        <v>see map</v>
      </c>
      <c r="T72" s="2" t="str">
        <f ca="1">IFERROR(__xludf.DUMMYFUNCTION("""COMPUTED_VALUE"""),"Unsure - see veg map of Little Waihi WMR")</f>
        <v>Unsure - see veg map of Little Waihi WMR</v>
      </c>
      <c r="U72" s="2" t="str">
        <f ca="1">IFERROR(__xludf.DUMMYFUNCTION("""COMPUTED_VALUE"""),"weir water Level @ 5 pump hour 4.9 - barrier in flapgate removed yesterday which has been there since just b4 duckshooting?   ")</f>
        <v xml:space="preserve">weir water Level @ 5 pump hour 4.9 - barrier in flapgate removed yesterday which has been there since just b4 duckshooting?   </v>
      </c>
      <c r="V72" s="2" t="str">
        <f ca="1">IFERROR(__xludf.DUMMYFUNCTION("""COMPUTED_VALUE"""),"")</f>
        <v/>
      </c>
      <c r="W72" s="2" t="str">
        <f ca="1">IFERROR(__xludf.DUMMYFUNCTION("""COMPUTED_VALUE"""),"")</f>
        <v/>
      </c>
      <c r="X72" s="2" t="str">
        <f ca="1">IFERROR(__xludf.DUMMYFUNCTION("""COMPUTED_VALUE"""),"")</f>
        <v/>
      </c>
      <c r="Y72" s="2" t="str">
        <f ca="1">IFERROR(__xludf.DUMMYFUNCTION("""COMPUTED_VALUE"""),"")</f>
        <v/>
      </c>
      <c r="Z72" s="2" t="str">
        <f ca="1">IFERROR(__xludf.DUMMYFUNCTION("""COMPUTED_VALUE"""),"")</f>
        <v/>
      </c>
      <c r="AA72" s="2" t="str">
        <f ca="1">IFERROR(__xludf.DUMMYFUNCTION("""COMPUTED_VALUE"""),"")</f>
        <v/>
      </c>
      <c r="AB72" s="2" t="str">
        <f ca="1">IFERROR(__xludf.DUMMYFUNCTION("""COMPUTED_VALUE"""),"")</f>
        <v/>
      </c>
      <c r="AC72" s="2" t="str">
        <f ca="1">IFERROR(__xludf.DUMMYFUNCTION("""COMPUTED_VALUE"""),"")</f>
        <v/>
      </c>
      <c r="AD72" s="2" t="str">
        <f ca="1">IFERROR(__xludf.DUMMYFUNCTION("""COMPUTED_VALUE"""),"")</f>
        <v/>
      </c>
      <c r="AE72" s="2" t="str">
        <f ca="1">IFERROR(__xludf.DUMMYFUNCTION("""COMPUTED_VALUE"""),"")</f>
        <v/>
      </c>
      <c r="AF72" s="2" t="str">
        <f ca="1">IFERROR(__xludf.DUMMYFUNCTION("""COMPUTED_VALUE"""),"")</f>
        <v/>
      </c>
      <c r="AG72" s="2" t="str">
        <f ca="1">IFERROR(__xludf.DUMMYFUNCTION("""COMPUTED_VALUE"""),"")</f>
        <v/>
      </c>
      <c r="AH72" s="2" t="str">
        <f ca="1">IFERROR(__xludf.DUMMYFUNCTION("""COMPUTED_VALUE"""),"")</f>
        <v/>
      </c>
      <c r="AI72" s="2" t="str">
        <f ca="1">IFERROR(__xludf.DUMMYFUNCTION("""COMPUTED_VALUE"""),"")</f>
        <v/>
      </c>
      <c r="AJ72" s="2" t="str">
        <f ca="1">IFERROR(__xludf.DUMMYFUNCTION("""COMPUTED_VALUE"""),"")</f>
        <v/>
      </c>
      <c r="AK72" s="2" t="str">
        <f ca="1">IFERROR(__xludf.DUMMYFUNCTION("""COMPUTED_VALUE"""),"")</f>
        <v/>
      </c>
      <c r="AL72" s="2" t="str">
        <f ca="1">IFERROR(__xludf.DUMMYFUNCTION("""COMPUTED_VALUE"""),"")</f>
        <v/>
      </c>
      <c r="AM72" s="2" t="str">
        <f ca="1">IFERROR(__xludf.DUMMYFUNCTION("""COMPUTED_VALUE"""),"")</f>
        <v/>
      </c>
      <c r="AN72" s="2" t="str">
        <f ca="1">IFERROR(__xludf.DUMMYFUNCTION("""COMPUTED_VALUE"""),"")</f>
        <v/>
      </c>
      <c r="AO72" s="2" t="str">
        <f ca="1">IFERROR(__xludf.DUMMYFUNCTION("""COMPUTED_VALUE"""),"")</f>
        <v/>
      </c>
      <c r="AP72" s="2" t="str">
        <f ca="1">IFERROR(__xludf.DUMMYFUNCTION("""COMPUTED_VALUE"""),"")</f>
        <v/>
      </c>
      <c r="AQ72" s="2" t="str">
        <f ca="1">IFERROR(__xludf.DUMMYFUNCTION("""COMPUTED_VALUE"""),"")</f>
        <v/>
      </c>
      <c r="AR72" s="2" t="str">
        <f ca="1">IFERROR(__xludf.DUMMYFUNCTION("""COMPUTED_VALUE"""),"")</f>
        <v/>
      </c>
      <c r="AS72" s="2" t="str">
        <f ca="1">IFERROR(__xludf.DUMMYFUNCTION("""COMPUTED_VALUE"""),"")</f>
        <v/>
      </c>
      <c r="AT72" s="2" t="str">
        <f ca="1">IFERROR(__xludf.DUMMYFUNCTION("""COMPUTED_VALUE"""),"")</f>
        <v/>
      </c>
      <c r="AU72" s="2" t="str">
        <f ca="1">IFERROR(__xludf.DUMMYFUNCTION("""COMPUTED_VALUE"""),"")</f>
        <v/>
      </c>
      <c r="AV72" s="2" t="str">
        <f ca="1">IFERROR(__xludf.DUMMYFUNCTION("""COMPUTED_VALUE"""),"")</f>
        <v/>
      </c>
      <c r="AW72" s="2" t="str">
        <f ca="1">IFERROR(__xludf.DUMMYFUNCTION("""COMPUTED_VALUE"""),"")</f>
        <v/>
      </c>
      <c r="AX72" s="2" t="str">
        <f ca="1">IFERROR(__xludf.DUMMYFUNCTION("""COMPUTED_VALUE"""),"")</f>
        <v/>
      </c>
      <c r="AY72" s="2" t="str">
        <f ca="1">IFERROR(__xludf.DUMMYFUNCTION("""COMPUTED_VALUE"""),"")</f>
        <v/>
      </c>
      <c r="AZ72" s="2" t="str">
        <f ca="1">IFERROR(__xludf.DUMMYFUNCTION("""COMPUTED_VALUE"""),"")</f>
        <v/>
      </c>
      <c r="BA72" s="2" t="str">
        <f ca="1">IFERROR(__xludf.DUMMYFUNCTION("""COMPUTED_VALUE"""),"")</f>
        <v/>
      </c>
      <c r="BB72" s="2" t="str">
        <f ca="1">IFERROR(__xludf.DUMMYFUNCTION("""COMPUTED_VALUE"""),"")</f>
        <v/>
      </c>
      <c r="BC72" s="2" t="str">
        <f ca="1">IFERROR(__xludf.DUMMYFUNCTION("""COMPUTED_VALUE"""),"")</f>
        <v/>
      </c>
      <c r="BD72" s="2" t="str">
        <f ca="1">IFERROR(__xludf.DUMMYFUNCTION("""COMPUTED_VALUE"""),"")</f>
        <v/>
      </c>
      <c r="BE72" s="2" t="str">
        <f ca="1">IFERROR(__xludf.DUMMYFUNCTION("""COMPUTED_VALUE"""),"")</f>
        <v/>
      </c>
      <c r="BF72" t="str">
        <f ca="1">IFERROR(__xludf.DUMMYFUNCTION("""COMPUTED_VALUE"""),"")</f>
        <v/>
      </c>
      <c r="BG72" t="str">
        <f ca="1">IFERROR(__xludf.DUMMYFUNCTION("""COMPUTED_VALUE"""),"")</f>
        <v/>
      </c>
      <c r="BH72" t="str">
        <f ca="1">IFERROR(__xludf.DUMMYFUNCTION("""COMPUTED_VALUE"""),"")</f>
        <v/>
      </c>
      <c r="BI72" t="str">
        <f ca="1">IFERROR(__xludf.DUMMYFUNCTION("""COMPUTED_VALUE"""),"")</f>
        <v/>
      </c>
      <c r="BJ72" s="3" t="str">
        <f ca="1">IFERROR(__xludf.DUMMYFUNCTION("""COMPUTED_VALUE"""),"")</f>
        <v/>
      </c>
    </row>
    <row r="73" spans="1:62" ht="12.5" x14ac:dyDescent="0.25">
      <c r="A73" s="6">
        <f ca="1">IFERROR(__xludf.DUMMYFUNCTION("""COMPUTED_VALUE"""),43288.7609641435)</f>
        <v>43288.760964143497</v>
      </c>
      <c r="B73" s="2" t="str">
        <f ca="1">IFERROR(__xludf.DUMMYFUNCTION("""COMPUTED_VALUE"""),"Bay of Plenty")</f>
        <v>Bay of Plenty</v>
      </c>
      <c r="C73" s="2" t="str">
        <f ca="1">IFERROR(__xludf.DUMMYFUNCTION("""COMPUTED_VALUE"""),"Unmarked bird")</f>
        <v>Unmarked bird</v>
      </c>
      <c r="D73" s="10">
        <f ca="1">IFERROR(__xludf.DUMMYFUNCTION("""COMPUTED_VALUE"""),43288)</f>
        <v>43288</v>
      </c>
      <c r="E73" s="4">
        <f ca="1">IFERROR(__xludf.DUMMYFUNCTION("""COMPUTED_VALUE"""),0.541666666667879)</f>
        <v>0.54166666666787899</v>
      </c>
      <c r="F73" s="2" t="str">
        <f ca="1">IFERROR(__xludf.DUMMYFUNCTION("""COMPUTED_VALUE"""),"Little Waihi WMR")</f>
        <v>Little Waihi WMR</v>
      </c>
      <c r="G73" s="2" t="str">
        <f ca="1">IFERROR(__xludf.DUMMYFUNCTION("""COMPUTED_VALUE"""),"VHF (close approach): I followed the signal until I got within 50 m of the bird")</f>
        <v>VHF (close approach): I followed the signal until I got within 50 m of the bird</v>
      </c>
      <c r="H73" s="2" t="str">
        <f ca="1">IFERROR(__xludf.DUMMYFUNCTION("""COMPUTED_VALUE"""),"")</f>
        <v/>
      </c>
      <c r="I73" s="2" t="str">
        <f ca="1">IFERROR(__xludf.DUMMYFUNCTION("""COMPUTED_VALUE"""),"")</f>
        <v/>
      </c>
      <c r="J73" s="2" t="str">
        <f ca="1">IFERROR(__xludf.DUMMYFUNCTION("""COMPUTED_VALUE"""),"")</f>
        <v/>
      </c>
      <c r="K73" s="2" t="str">
        <f ca="1">IFERROR(__xludf.DUMMYFUNCTION("""COMPUTED_VALUE"""),"")</f>
        <v/>
      </c>
      <c r="L73" s="2" t="str">
        <f ca="1">IFERROR(__xludf.DUMMYFUNCTION("""COMPUTED_VALUE"""),"Yes - it flushed")</f>
        <v>Yes - it flushed</v>
      </c>
      <c r="M73" s="5">
        <f ca="1">IFERROR(__xludf.DUMMYFUNCTION("""COMPUTED_VALUE"""),1906858.33)</f>
        <v>1906858.33</v>
      </c>
      <c r="N73" s="5">
        <f ca="1">IFERROR(__xludf.DUMMYFUNCTION("""COMPUTED_VALUE"""),5813186.55)</f>
        <v>5813186.5499999998</v>
      </c>
      <c r="O73" s="2" t="str">
        <f ca="1">IFERROR(__xludf.DUMMYFUNCTION("""COMPUTED_VALUE"""),"")</f>
        <v/>
      </c>
      <c r="P73" s="2" t="str">
        <f ca="1">IFERROR(__xludf.DUMMYFUNCTION("""COMPUTED_VALUE"""),"No")</f>
        <v>No</v>
      </c>
      <c r="Q73" s="2" t="str">
        <f ca="1">IFERROR(__xludf.DUMMYFUNCTION("""COMPUTED_VALUE"""),"Don't know")</f>
        <v>Don't know</v>
      </c>
      <c r="R73" s="2" t="str">
        <f ca="1">IFERROR(__xludf.DUMMYFUNCTION("""COMPUTED_VALUE"""),"unknown")</f>
        <v>unknown</v>
      </c>
      <c r="S73" s="2" t="str">
        <f ca="1">IFERROR(__xludf.DUMMYFUNCTION("""COMPUTED_VALUE"""),"see map ")</f>
        <v xml:space="preserve">see map </v>
      </c>
      <c r="T73" s="2" t="str">
        <f ca="1">IFERROR(__xludf.DUMMYFUNCTION("""COMPUTED_VALUE"""),"see veg map")</f>
        <v>see veg map</v>
      </c>
      <c r="U73" s="2" t="str">
        <f ca="1">IFERROR(__xludf.DUMMYFUNCTION("""COMPUTED_VALUE"""),"flew off towards cutwater rd. watched for a short time")</f>
        <v>flew off towards cutwater rd. watched for a short time</v>
      </c>
      <c r="V73" s="2" t="str">
        <f ca="1">IFERROR(__xludf.DUMMYFUNCTION("""COMPUTED_VALUE"""),"")</f>
        <v/>
      </c>
      <c r="W73" s="2" t="str">
        <f ca="1">IFERROR(__xludf.DUMMYFUNCTION("""COMPUTED_VALUE"""),"")</f>
        <v/>
      </c>
      <c r="X73" s="2" t="str">
        <f ca="1">IFERROR(__xludf.DUMMYFUNCTION("""COMPUTED_VALUE"""),"")</f>
        <v/>
      </c>
      <c r="Y73" s="2" t="str">
        <f ca="1">IFERROR(__xludf.DUMMYFUNCTION("""COMPUTED_VALUE"""),"")</f>
        <v/>
      </c>
      <c r="Z73" s="2" t="str">
        <f ca="1">IFERROR(__xludf.DUMMYFUNCTION("""COMPUTED_VALUE"""),"")</f>
        <v/>
      </c>
      <c r="AA73" s="2" t="str">
        <f ca="1">IFERROR(__xludf.DUMMYFUNCTION("""COMPUTED_VALUE"""),"")</f>
        <v/>
      </c>
      <c r="AB73" s="2" t="str">
        <f ca="1">IFERROR(__xludf.DUMMYFUNCTION("""COMPUTED_VALUE"""),"")</f>
        <v/>
      </c>
      <c r="AC73" s="2" t="str">
        <f ca="1">IFERROR(__xludf.DUMMYFUNCTION("""COMPUTED_VALUE"""),"")</f>
        <v/>
      </c>
      <c r="AD73" s="2" t="str">
        <f ca="1">IFERROR(__xludf.DUMMYFUNCTION("""COMPUTED_VALUE"""),"")</f>
        <v/>
      </c>
      <c r="AE73" s="2" t="str">
        <f ca="1">IFERROR(__xludf.DUMMYFUNCTION("""COMPUTED_VALUE"""),"")</f>
        <v/>
      </c>
      <c r="AF73" s="2" t="str">
        <f ca="1">IFERROR(__xludf.DUMMYFUNCTION("""COMPUTED_VALUE"""),"")</f>
        <v/>
      </c>
      <c r="AG73" s="2" t="str">
        <f ca="1">IFERROR(__xludf.DUMMYFUNCTION("""COMPUTED_VALUE"""),"")</f>
        <v/>
      </c>
      <c r="AH73" s="2" t="str">
        <f ca="1">IFERROR(__xludf.DUMMYFUNCTION("""COMPUTED_VALUE"""),"")</f>
        <v/>
      </c>
      <c r="AI73" s="2" t="str">
        <f ca="1">IFERROR(__xludf.DUMMYFUNCTION("""COMPUTED_VALUE"""),"")</f>
        <v/>
      </c>
      <c r="AJ73" s="2" t="str">
        <f ca="1">IFERROR(__xludf.DUMMYFUNCTION("""COMPUTED_VALUE"""),"")</f>
        <v/>
      </c>
      <c r="AK73" s="2" t="str">
        <f ca="1">IFERROR(__xludf.DUMMYFUNCTION("""COMPUTED_VALUE"""),"")</f>
        <v/>
      </c>
      <c r="AL73" s="2" t="str">
        <f ca="1">IFERROR(__xludf.DUMMYFUNCTION("""COMPUTED_VALUE"""),"")</f>
        <v/>
      </c>
      <c r="AM73" s="2" t="str">
        <f ca="1">IFERROR(__xludf.DUMMYFUNCTION("""COMPUTED_VALUE"""),"")</f>
        <v/>
      </c>
      <c r="AN73" s="2" t="str">
        <f ca="1">IFERROR(__xludf.DUMMYFUNCTION("""COMPUTED_VALUE"""),"")</f>
        <v/>
      </c>
      <c r="AO73" s="2" t="str">
        <f ca="1">IFERROR(__xludf.DUMMYFUNCTION("""COMPUTED_VALUE"""),"")</f>
        <v/>
      </c>
      <c r="AP73" s="2" t="str">
        <f ca="1">IFERROR(__xludf.DUMMYFUNCTION("""COMPUTED_VALUE"""),"")</f>
        <v/>
      </c>
      <c r="AQ73" s="2" t="str">
        <f ca="1">IFERROR(__xludf.DUMMYFUNCTION("""COMPUTED_VALUE"""),"")</f>
        <v/>
      </c>
      <c r="AR73" s="2" t="str">
        <f ca="1">IFERROR(__xludf.DUMMYFUNCTION("""COMPUTED_VALUE"""),"")</f>
        <v/>
      </c>
      <c r="AS73" s="2" t="str">
        <f ca="1">IFERROR(__xludf.DUMMYFUNCTION("""COMPUTED_VALUE"""),"")</f>
        <v/>
      </c>
      <c r="AT73" s="2" t="str">
        <f ca="1">IFERROR(__xludf.DUMMYFUNCTION("""COMPUTED_VALUE"""),"")</f>
        <v/>
      </c>
      <c r="AU73" s="2" t="str">
        <f ca="1">IFERROR(__xludf.DUMMYFUNCTION("""COMPUTED_VALUE"""),"")</f>
        <v/>
      </c>
      <c r="AV73" s="2" t="str">
        <f ca="1">IFERROR(__xludf.DUMMYFUNCTION("""COMPUTED_VALUE"""),"")</f>
        <v/>
      </c>
      <c r="AW73" s="2" t="str">
        <f ca="1">IFERROR(__xludf.DUMMYFUNCTION("""COMPUTED_VALUE"""),"")</f>
        <v/>
      </c>
      <c r="AX73" s="2" t="str">
        <f ca="1">IFERROR(__xludf.DUMMYFUNCTION("""COMPUTED_VALUE"""),"")</f>
        <v/>
      </c>
      <c r="AY73" s="2" t="str">
        <f ca="1">IFERROR(__xludf.DUMMYFUNCTION("""COMPUTED_VALUE"""),"")</f>
        <v/>
      </c>
      <c r="AZ73" s="2" t="str">
        <f ca="1">IFERROR(__xludf.DUMMYFUNCTION("""COMPUTED_VALUE"""),"")</f>
        <v/>
      </c>
      <c r="BA73" s="2" t="str">
        <f ca="1">IFERROR(__xludf.DUMMYFUNCTION("""COMPUTED_VALUE"""),"")</f>
        <v/>
      </c>
      <c r="BB73" s="2" t="str">
        <f ca="1">IFERROR(__xludf.DUMMYFUNCTION("""COMPUTED_VALUE"""),"")</f>
        <v/>
      </c>
      <c r="BC73" s="2" t="str">
        <f ca="1">IFERROR(__xludf.DUMMYFUNCTION("""COMPUTED_VALUE"""),"")</f>
        <v/>
      </c>
      <c r="BD73" s="2" t="str">
        <f ca="1">IFERROR(__xludf.DUMMYFUNCTION("""COMPUTED_VALUE"""),"")</f>
        <v/>
      </c>
      <c r="BE73" s="2" t="str">
        <f ca="1">IFERROR(__xludf.DUMMYFUNCTION("""COMPUTED_VALUE"""),"")</f>
        <v/>
      </c>
      <c r="BF73" t="str">
        <f ca="1">IFERROR(__xludf.DUMMYFUNCTION("""COMPUTED_VALUE"""),"")</f>
        <v/>
      </c>
      <c r="BG73" t="str">
        <f ca="1">IFERROR(__xludf.DUMMYFUNCTION("""COMPUTED_VALUE"""),"")</f>
        <v/>
      </c>
      <c r="BH73" t="str">
        <f ca="1">IFERROR(__xludf.DUMMYFUNCTION("""COMPUTED_VALUE"""),"")</f>
        <v/>
      </c>
      <c r="BI73" t="str">
        <f ca="1">IFERROR(__xludf.DUMMYFUNCTION("""COMPUTED_VALUE"""),"")</f>
        <v/>
      </c>
      <c r="BJ73" s="3" t="str">
        <f ca="1">IFERROR(__xludf.DUMMYFUNCTION("""COMPUTED_VALUE"""),"")</f>
        <v/>
      </c>
    </row>
    <row r="74" spans="1:62" ht="12.5" x14ac:dyDescent="0.25">
      <c r="A74" s="6">
        <f ca="1">IFERROR(__xludf.DUMMYFUNCTION("""COMPUTED_VALUE"""),43288.7643265509)</f>
        <v>43288.764326550903</v>
      </c>
      <c r="B74" s="2" t="str">
        <f ca="1">IFERROR(__xludf.DUMMYFUNCTION("""COMPUTED_VALUE"""),"Bay of Plenty")</f>
        <v>Bay of Plenty</v>
      </c>
      <c r="C74" s="2" t="str">
        <f ca="1">IFERROR(__xludf.DUMMYFUNCTION("""COMPUTED_VALUE"""),"Unmarked bird")</f>
        <v>Unmarked bird</v>
      </c>
      <c r="D74" s="10">
        <f ca="1">IFERROR(__xludf.DUMMYFUNCTION("""COMPUTED_VALUE"""),43288)</f>
        <v>43288</v>
      </c>
      <c r="E74" s="4">
        <f ca="1">IFERROR(__xludf.DUMMYFUNCTION("""COMPUTED_VALUE"""),0.625)</f>
        <v>0.625</v>
      </c>
      <c r="F74" s="2" t="str">
        <f ca="1">IFERROR(__xludf.DUMMYFUNCTION("""COMPUTED_VALUE"""),"Little Waihi WMR")</f>
        <v>Little Waihi WMR</v>
      </c>
      <c r="G74" s="2" t="str">
        <f ca="1">IFERROR(__xludf.DUMMYFUNCTION("""COMPUTED_VALUE"""),"VHF (close approach): I followed the signal until I got within 50 m of the bird")</f>
        <v>VHF (close approach): I followed the signal until I got within 50 m of the bird</v>
      </c>
      <c r="H74" s="2" t="str">
        <f ca="1">IFERROR(__xludf.DUMMYFUNCTION("""COMPUTED_VALUE"""),"")</f>
        <v/>
      </c>
      <c r="I74" s="2" t="str">
        <f ca="1">IFERROR(__xludf.DUMMYFUNCTION("""COMPUTED_VALUE"""),"")</f>
        <v/>
      </c>
      <c r="J74" s="2" t="str">
        <f ca="1">IFERROR(__xludf.DUMMYFUNCTION("""COMPUTED_VALUE"""),"")</f>
        <v/>
      </c>
      <c r="K74" s="2" t="str">
        <f ca="1">IFERROR(__xludf.DUMMYFUNCTION("""COMPUTED_VALUE"""),"")</f>
        <v/>
      </c>
      <c r="L74" s="2" t="str">
        <f ca="1">IFERROR(__xludf.DUMMYFUNCTION("""COMPUTED_VALUE"""),"Yes - it flushed")</f>
        <v>Yes - it flushed</v>
      </c>
      <c r="M74" s="5">
        <f ca="1">IFERROR(__xludf.DUMMYFUNCTION("""COMPUTED_VALUE"""),1906417.62)</f>
        <v>1906417.62</v>
      </c>
      <c r="N74" s="5">
        <f ca="1">IFERROR(__xludf.DUMMYFUNCTION("""COMPUTED_VALUE"""),5812965)</f>
        <v>5812965</v>
      </c>
      <c r="O74" s="2" t="str">
        <f ca="1">IFERROR(__xludf.DUMMYFUNCTION("""COMPUTED_VALUE"""),"")</f>
        <v/>
      </c>
      <c r="P74" s="2" t="str">
        <f ca="1">IFERROR(__xludf.DUMMYFUNCTION("""COMPUTED_VALUE"""),"N/A - not grazed")</f>
        <v>N/A - not grazed</v>
      </c>
      <c r="Q74" s="2" t="str">
        <f ca="1">IFERROR(__xludf.DUMMYFUNCTION("""COMPUTED_VALUE"""),"Wet")</f>
        <v>Wet</v>
      </c>
      <c r="R74" s="2" t="str">
        <f ca="1">IFERROR(__xludf.DUMMYFUNCTION("""COMPUTED_VALUE"""),"On dead pampas on edge of water channel. Didnt fly off until i stopped at the water gauge. otherwise prob wouldnt have know it was there. ")</f>
        <v xml:space="preserve">On dead pampas on edge of water channel. Didnt fly off until i stopped at the water gauge. otherwise prob wouldnt have know it was there. </v>
      </c>
      <c r="S74" s="2" t="str">
        <f ca="1">IFERROR(__xludf.DUMMYFUNCTION("""COMPUTED_VALUE"""),"0.1")</f>
        <v>0.1</v>
      </c>
      <c r="T74" s="2" t="str">
        <f ca="1">IFERROR(__xludf.DUMMYFUNCTION("""COMPUTED_VALUE"""),"Water edge dead pampas, rushes, ")</f>
        <v xml:space="preserve">Water edge dead pampas, rushes, </v>
      </c>
      <c r="U74" s="2" t="str">
        <f ca="1">IFERROR(__xludf.DUMMYFUNCTION("""COMPUTED_VALUE"""),"seemed moutly grey in color ")</f>
        <v xml:space="preserve">seemed moutly grey in color </v>
      </c>
      <c r="V74" s="2" t="str">
        <f ca="1">IFERROR(__xludf.DUMMYFUNCTION("""COMPUTED_VALUE"""),"")</f>
        <v/>
      </c>
      <c r="W74" s="2" t="str">
        <f ca="1">IFERROR(__xludf.DUMMYFUNCTION("""COMPUTED_VALUE"""),"")</f>
        <v/>
      </c>
      <c r="X74" s="2" t="str">
        <f ca="1">IFERROR(__xludf.DUMMYFUNCTION("""COMPUTED_VALUE"""),"")</f>
        <v/>
      </c>
      <c r="Y74" s="2" t="str">
        <f ca="1">IFERROR(__xludf.DUMMYFUNCTION("""COMPUTED_VALUE"""),"")</f>
        <v/>
      </c>
      <c r="Z74" s="2" t="str">
        <f ca="1">IFERROR(__xludf.DUMMYFUNCTION("""COMPUTED_VALUE"""),"")</f>
        <v/>
      </c>
      <c r="AA74" s="2" t="str">
        <f ca="1">IFERROR(__xludf.DUMMYFUNCTION("""COMPUTED_VALUE"""),"")</f>
        <v/>
      </c>
      <c r="AB74" s="2" t="str">
        <f ca="1">IFERROR(__xludf.DUMMYFUNCTION("""COMPUTED_VALUE"""),"")</f>
        <v/>
      </c>
      <c r="AC74" s="2" t="str">
        <f ca="1">IFERROR(__xludf.DUMMYFUNCTION("""COMPUTED_VALUE"""),"")</f>
        <v/>
      </c>
      <c r="AD74" s="2" t="str">
        <f ca="1">IFERROR(__xludf.DUMMYFUNCTION("""COMPUTED_VALUE"""),"")</f>
        <v/>
      </c>
      <c r="AE74" s="2" t="str">
        <f ca="1">IFERROR(__xludf.DUMMYFUNCTION("""COMPUTED_VALUE"""),"")</f>
        <v/>
      </c>
      <c r="AF74" s="2" t="str">
        <f ca="1">IFERROR(__xludf.DUMMYFUNCTION("""COMPUTED_VALUE"""),"")</f>
        <v/>
      </c>
      <c r="AG74" s="2" t="str">
        <f ca="1">IFERROR(__xludf.DUMMYFUNCTION("""COMPUTED_VALUE"""),"")</f>
        <v/>
      </c>
      <c r="AH74" s="2" t="str">
        <f ca="1">IFERROR(__xludf.DUMMYFUNCTION("""COMPUTED_VALUE"""),"")</f>
        <v/>
      </c>
      <c r="AI74" s="2" t="str">
        <f ca="1">IFERROR(__xludf.DUMMYFUNCTION("""COMPUTED_VALUE"""),"")</f>
        <v/>
      </c>
      <c r="AJ74" s="2" t="str">
        <f ca="1">IFERROR(__xludf.DUMMYFUNCTION("""COMPUTED_VALUE"""),"")</f>
        <v/>
      </c>
      <c r="AK74" s="2" t="str">
        <f ca="1">IFERROR(__xludf.DUMMYFUNCTION("""COMPUTED_VALUE"""),"")</f>
        <v/>
      </c>
      <c r="AL74" s="2" t="str">
        <f ca="1">IFERROR(__xludf.DUMMYFUNCTION("""COMPUTED_VALUE"""),"")</f>
        <v/>
      </c>
      <c r="AM74" s="2" t="str">
        <f ca="1">IFERROR(__xludf.DUMMYFUNCTION("""COMPUTED_VALUE"""),"")</f>
        <v/>
      </c>
      <c r="AN74" s="2" t="str">
        <f ca="1">IFERROR(__xludf.DUMMYFUNCTION("""COMPUTED_VALUE"""),"")</f>
        <v/>
      </c>
      <c r="AO74" s="2" t="str">
        <f ca="1">IFERROR(__xludf.DUMMYFUNCTION("""COMPUTED_VALUE"""),"")</f>
        <v/>
      </c>
      <c r="AP74" s="2" t="str">
        <f ca="1">IFERROR(__xludf.DUMMYFUNCTION("""COMPUTED_VALUE"""),"")</f>
        <v/>
      </c>
      <c r="AQ74" s="2" t="str">
        <f ca="1">IFERROR(__xludf.DUMMYFUNCTION("""COMPUTED_VALUE"""),"")</f>
        <v/>
      </c>
      <c r="AR74" s="2" t="str">
        <f ca="1">IFERROR(__xludf.DUMMYFUNCTION("""COMPUTED_VALUE"""),"")</f>
        <v/>
      </c>
      <c r="AS74" s="2" t="str">
        <f ca="1">IFERROR(__xludf.DUMMYFUNCTION("""COMPUTED_VALUE"""),"")</f>
        <v/>
      </c>
      <c r="AT74" s="2" t="str">
        <f ca="1">IFERROR(__xludf.DUMMYFUNCTION("""COMPUTED_VALUE"""),"")</f>
        <v/>
      </c>
      <c r="AU74" s="2" t="str">
        <f ca="1">IFERROR(__xludf.DUMMYFUNCTION("""COMPUTED_VALUE"""),"")</f>
        <v/>
      </c>
      <c r="AV74" s="2" t="str">
        <f ca="1">IFERROR(__xludf.DUMMYFUNCTION("""COMPUTED_VALUE"""),"")</f>
        <v/>
      </c>
      <c r="AW74" s="2" t="str">
        <f ca="1">IFERROR(__xludf.DUMMYFUNCTION("""COMPUTED_VALUE"""),"")</f>
        <v/>
      </c>
      <c r="AX74" s="2" t="str">
        <f ca="1">IFERROR(__xludf.DUMMYFUNCTION("""COMPUTED_VALUE"""),"")</f>
        <v/>
      </c>
      <c r="AY74" s="2" t="str">
        <f ca="1">IFERROR(__xludf.DUMMYFUNCTION("""COMPUTED_VALUE"""),"")</f>
        <v/>
      </c>
      <c r="AZ74" s="2" t="str">
        <f ca="1">IFERROR(__xludf.DUMMYFUNCTION("""COMPUTED_VALUE"""),"")</f>
        <v/>
      </c>
      <c r="BA74" s="2" t="str">
        <f ca="1">IFERROR(__xludf.DUMMYFUNCTION("""COMPUTED_VALUE"""),"")</f>
        <v/>
      </c>
      <c r="BB74" s="2" t="str">
        <f ca="1">IFERROR(__xludf.DUMMYFUNCTION("""COMPUTED_VALUE"""),"")</f>
        <v/>
      </c>
      <c r="BC74" s="2" t="str">
        <f ca="1">IFERROR(__xludf.DUMMYFUNCTION("""COMPUTED_VALUE"""),"")</f>
        <v/>
      </c>
      <c r="BD74" s="2" t="str">
        <f ca="1">IFERROR(__xludf.DUMMYFUNCTION("""COMPUTED_VALUE"""),"")</f>
        <v/>
      </c>
      <c r="BE74" s="2" t="str">
        <f ca="1">IFERROR(__xludf.DUMMYFUNCTION("""COMPUTED_VALUE"""),"")</f>
        <v/>
      </c>
      <c r="BF74" t="str">
        <f ca="1">IFERROR(__xludf.DUMMYFUNCTION("""COMPUTED_VALUE"""),"")</f>
        <v/>
      </c>
      <c r="BG74" t="str">
        <f ca="1">IFERROR(__xludf.DUMMYFUNCTION("""COMPUTED_VALUE"""),"")</f>
        <v/>
      </c>
      <c r="BH74" t="str">
        <f ca="1">IFERROR(__xludf.DUMMYFUNCTION("""COMPUTED_VALUE"""),"")</f>
        <v/>
      </c>
      <c r="BI74" t="str">
        <f ca="1">IFERROR(__xludf.DUMMYFUNCTION("""COMPUTED_VALUE"""),"")</f>
        <v/>
      </c>
      <c r="BJ74" s="3" t="str">
        <f ca="1">IFERROR(__xludf.DUMMYFUNCTION("""COMPUTED_VALUE"""),"")</f>
        <v/>
      </c>
    </row>
    <row r="75" spans="1:62" ht="12.5" x14ac:dyDescent="0.25">
      <c r="A75" s="6">
        <f ca="1">IFERROR(__xludf.DUMMYFUNCTION("""COMPUTED_VALUE"""),43293.9244590277)</f>
        <v>43293.924459027701</v>
      </c>
      <c r="B75" s="2" t="str">
        <f ca="1">IFERROR(__xludf.DUMMYFUNCTION("""COMPUTED_VALUE"""),"Bay of Plenty")</f>
        <v>Bay of Plenty</v>
      </c>
      <c r="C75" s="2" t="str">
        <f ca="1">IFERROR(__xludf.DUMMYFUNCTION("""COMPUTED_VALUE"""),"Tx 17 - Teddy")</f>
        <v>Tx 17 - Teddy</v>
      </c>
      <c r="D75" s="10">
        <f ca="1">IFERROR(__xludf.DUMMYFUNCTION("""COMPUTED_VALUE"""),43293)</f>
        <v>43293</v>
      </c>
      <c r="E75" s="4">
        <f ca="1">IFERROR(__xludf.DUMMYFUNCTION("""COMPUTED_VALUE"""),0.625)</f>
        <v>0.625</v>
      </c>
      <c r="F75" s="2" t="str">
        <f ca="1">IFERROR(__xludf.DUMMYFUNCTION("""COMPUTED_VALUE"""),"Little Waihi")</f>
        <v>Little Waihi</v>
      </c>
      <c r="G75" s="2" t="str">
        <f ca="1">IFERROR(__xludf.DUMMYFUNCTION("""COMPUTED_VALUE"""),"VHF (close approach): I followed the signal until I got within 50 m of the bird")</f>
        <v>VHF (close approach): I followed the signal until I got within 50 m of the bird</v>
      </c>
      <c r="H75" s="2" t="str">
        <f ca="1">IFERROR(__xludf.DUMMYFUNCTION("""COMPUTED_VALUE"""),"")</f>
        <v/>
      </c>
      <c r="I75" s="2" t="str">
        <f ca="1">IFERROR(__xludf.DUMMYFUNCTION("""COMPUTED_VALUE"""),"")</f>
        <v/>
      </c>
      <c r="J75" s="2" t="str">
        <f ca="1">IFERROR(__xludf.DUMMYFUNCTION("""COMPUTED_VALUE"""),"")</f>
        <v/>
      </c>
      <c r="K75" s="2" t="str">
        <f ca="1">IFERROR(__xludf.DUMMYFUNCTION("""COMPUTED_VALUE"""),"")</f>
        <v/>
      </c>
      <c r="L75" s="2" t="str">
        <f ca="1">IFERROR(__xludf.DUMMYFUNCTION("""COMPUTED_VALUE"""),"No - I got very close to the bird but it was well hidden in the vegetation")</f>
        <v>No - I got very close to the bird but it was well hidden in the vegetation</v>
      </c>
      <c r="M75" s="5">
        <f ca="1">IFERROR(__xludf.DUMMYFUNCTION("""COMPUTED_VALUE"""),1906907.29)</f>
        <v>1906907.29</v>
      </c>
      <c r="N75" s="5">
        <f ca="1">IFERROR(__xludf.DUMMYFUNCTION("""COMPUTED_VALUE"""),5813047.11)</f>
        <v>5813047.1100000003</v>
      </c>
      <c r="O75" s="2" t="str">
        <f ca="1">IFERROR(__xludf.DUMMYFUNCTION("""COMPUTED_VALUE"""),"")</f>
        <v/>
      </c>
      <c r="P75" s="2" t="str">
        <f ca="1">IFERROR(__xludf.DUMMYFUNCTION("""COMPUTED_VALUE"""),"")</f>
        <v/>
      </c>
      <c r="Q75" s="2" t="str">
        <f ca="1">IFERROR(__xludf.DUMMYFUNCTION("""COMPUTED_VALUE"""),"Don't know")</f>
        <v>Don't know</v>
      </c>
      <c r="R75" s="2" t="str">
        <f ca="1">IFERROR(__xludf.DUMMYFUNCTION("""COMPUTED_VALUE"""),"?")</f>
        <v>?</v>
      </c>
      <c r="S75" s="2" t="str">
        <f ca="1">IFERROR(__xludf.DUMMYFUNCTION("""COMPUTED_VALUE"""),"?")</f>
        <v>?</v>
      </c>
      <c r="T75" s="2" t="str">
        <f ca="1">IFERROR(__xludf.DUMMYFUNCTION("""COMPUTED_VALUE"""),"?")</f>
        <v>?</v>
      </c>
      <c r="U75" s="2" t="str">
        <f ca="1">IFERROR(__xludf.DUMMYFUNCTION("""COMPUTED_VALUE"""),"working in wetland from 9-3 was in saltmarsh am LWWMR by 12.. even with chainsaws going near by")</f>
        <v>working in wetland from 9-3 was in saltmarsh am LWWMR by 12.. even with chainsaws going near by</v>
      </c>
      <c r="V75" s="2" t="str">
        <f ca="1">IFERROR(__xludf.DUMMYFUNCTION("""COMPUTED_VALUE"""),"")</f>
        <v/>
      </c>
      <c r="W75" s="2" t="str">
        <f ca="1">IFERROR(__xludf.DUMMYFUNCTION("""COMPUTED_VALUE"""),"")</f>
        <v/>
      </c>
      <c r="X75" s="2" t="str">
        <f ca="1">IFERROR(__xludf.DUMMYFUNCTION("""COMPUTED_VALUE"""),"")</f>
        <v/>
      </c>
      <c r="Y75" s="2" t="str">
        <f ca="1">IFERROR(__xludf.DUMMYFUNCTION("""COMPUTED_VALUE"""),"")</f>
        <v/>
      </c>
      <c r="Z75" s="2" t="str">
        <f ca="1">IFERROR(__xludf.DUMMYFUNCTION("""COMPUTED_VALUE"""),"")</f>
        <v/>
      </c>
      <c r="AA75" s="2" t="str">
        <f ca="1">IFERROR(__xludf.DUMMYFUNCTION("""COMPUTED_VALUE"""),"")</f>
        <v/>
      </c>
      <c r="AB75" s="2" t="str">
        <f ca="1">IFERROR(__xludf.DUMMYFUNCTION("""COMPUTED_VALUE"""),"")</f>
        <v/>
      </c>
      <c r="AC75" s="2" t="str">
        <f ca="1">IFERROR(__xludf.DUMMYFUNCTION("""COMPUTED_VALUE"""),"")</f>
        <v/>
      </c>
      <c r="AD75" s="2" t="str">
        <f ca="1">IFERROR(__xludf.DUMMYFUNCTION("""COMPUTED_VALUE"""),"")</f>
        <v/>
      </c>
      <c r="AE75" s="2" t="str">
        <f ca="1">IFERROR(__xludf.DUMMYFUNCTION("""COMPUTED_VALUE"""),"")</f>
        <v/>
      </c>
      <c r="AF75" s="2" t="str">
        <f ca="1">IFERROR(__xludf.DUMMYFUNCTION("""COMPUTED_VALUE"""),"")</f>
        <v/>
      </c>
      <c r="AG75" s="2" t="str">
        <f ca="1">IFERROR(__xludf.DUMMYFUNCTION("""COMPUTED_VALUE"""),"")</f>
        <v/>
      </c>
      <c r="AH75" s="2" t="str">
        <f ca="1">IFERROR(__xludf.DUMMYFUNCTION("""COMPUTED_VALUE"""),"")</f>
        <v/>
      </c>
      <c r="AI75" s="2" t="str">
        <f ca="1">IFERROR(__xludf.DUMMYFUNCTION("""COMPUTED_VALUE"""),"")</f>
        <v/>
      </c>
      <c r="AJ75" s="2" t="str">
        <f ca="1">IFERROR(__xludf.DUMMYFUNCTION("""COMPUTED_VALUE"""),"")</f>
        <v/>
      </c>
      <c r="AK75" s="2" t="str">
        <f ca="1">IFERROR(__xludf.DUMMYFUNCTION("""COMPUTED_VALUE"""),"")</f>
        <v/>
      </c>
      <c r="AL75" s="2" t="str">
        <f ca="1">IFERROR(__xludf.DUMMYFUNCTION("""COMPUTED_VALUE"""),"")</f>
        <v/>
      </c>
      <c r="AM75" s="2" t="str">
        <f ca="1">IFERROR(__xludf.DUMMYFUNCTION("""COMPUTED_VALUE"""),"")</f>
        <v/>
      </c>
      <c r="AN75" s="2" t="str">
        <f ca="1">IFERROR(__xludf.DUMMYFUNCTION("""COMPUTED_VALUE"""),"")</f>
        <v/>
      </c>
      <c r="AO75" s="2" t="str">
        <f ca="1">IFERROR(__xludf.DUMMYFUNCTION("""COMPUTED_VALUE"""),"")</f>
        <v/>
      </c>
      <c r="AP75" s="2" t="str">
        <f ca="1">IFERROR(__xludf.DUMMYFUNCTION("""COMPUTED_VALUE"""),"")</f>
        <v/>
      </c>
      <c r="AQ75" s="2" t="str">
        <f ca="1">IFERROR(__xludf.DUMMYFUNCTION("""COMPUTED_VALUE"""),"")</f>
        <v/>
      </c>
      <c r="AR75" s="2" t="str">
        <f ca="1">IFERROR(__xludf.DUMMYFUNCTION("""COMPUTED_VALUE"""),"")</f>
        <v/>
      </c>
      <c r="AS75" s="2" t="str">
        <f ca="1">IFERROR(__xludf.DUMMYFUNCTION("""COMPUTED_VALUE"""),"")</f>
        <v/>
      </c>
      <c r="AT75" s="2" t="str">
        <f ca="1">IFERROR(__xludf.DUMMYFUNCTION("""COMPUTED_VALUE"""),"")</f>
        <v/>
      </c>
      <c r="AU75" s="2" t="str">
        <f ca="1">IFERROR(__xludf.DUMMYFUNCTION("""COMPUTED_VALUE"""),"")</f>
        <v/>
      </c>
      <c r="AV75" s="2" t="str">
        <f ca="1">IFERROR(__xludf.DUMMYFUNCTION("""COMPUTED_VALUE"""),"")</f>
        <v/>
      </c>
      <c r="AW75" s="2" t="str">
        <f ca="1">IFERROR(__xludf.DUMMYFUNCTION("""COMPUTED_VALUE"""),"")</f>
        <v/>
      </c>
      <c r="AX75" s="2" t="str">
        <f ca="1">IFERROR(__xludf.DUMMYFUNCTION("""COMPUTED_VALUE"""),"")</f>
        <v/>
      </c>
      <c r="AY75" s="2" t="str">
        <f ca="1">IFERROR(__xludf.DUMMYFUNCTION("""COMPUTED_VALUE"""),"")</f>
        <v/>
      </c>
      <c r="AZ75" s="2" t="str">
        <f ca="1">IFERROR(__xludf.DUMMYFUNCTION("""COMPUTED_VALUE"""),"")</f>
        <v/>
      </c>
      <c r="BA75" s="2" t="str">
        <f ca="1">IFERROR(__xludf.DUMMYFUNCTION("""COMPUTED_VALUE"""),"")</f>
        <v/>
      </c>
      <c r="BB75" s="2" t="str">
        <f ca="1">IFERROR(__xludf.DUMMYFUNCTION("""COMPUTED_VALUE"""),"")</f>
        <v/>
      </c>
      <c r="BC75" s="2" t="str">
        <f ca="1">IFERROR(__xludf.DUMMYFUNCTION("""COMPUTED_VALUE"""),"")</f>
        <v/>
      </c>
      <c r="BD75" s="2" t="str">
        <f ca="1">IFERROR(__xludf.DUMMYFUNCTION("""COMPUTED_VALUE"""),"")</f>
        <v/>
      </c>
      <c r="BE75" s="2" t="str">
        <f ca="1">IFERROR(__xludf.DUMMYFUNCTION("""COMPUTED_VALUE"""),"")</f>
        <v/>
      </c>
      <c r="BF75" t="str">
        <f ca="1">IFERROR(__xludf.DUMMYFUNCTION("""COMPUTED_VALUE"""),"")</f>
        <v/>
      </c>
      <c r="BG75" t="str">
        <f ca="1">IFERROR(__xludf.DUMMYFUNCTION("""COMPUTED_VALUE"""),"")</f>
        <v/>
      </c>
      <c r="BH75" t="str">
        <f ca="1">IFERROR(__xludf.DUMMYFUNCTION("""COMPUTED_VALUE"""),"")</f>
        <v/>
      </c>
      <c r="BI75" t="str">
        <f ca="1">IFERROR(__xludf.DUMMYFUNCTION("""COMPUTED_VALUE"""),"")</f>
        <v/>
      </c>
      <c r="BJ75" s="3" t="str">
        <f ca="1">IFERROR(__xludf.DUMMYFUNCTION("""COMPUTED_VALUE"""),"")</f>
        <v/>
      </c>
    </row>
    <row r="76" spans="1:62" ht="12.5" x14ac:dyDescent="0.25">
      <c r="A76" s="6">
        <f ca="1">IFERROR(__xludf.DUMMYFUNCTION("""COMPUTED_VALUE"""),43300.6947225)</f>
        <v>43300.694722499997</v>
      </c>
      <c r="B76" s="2" t="str">
        <f ca="1">IFERROR(__xludf.DUMMYFUNCTION("""COMPUTED_VALUE"""),"Bay of Plenty")</f>
        <v>Bay of Plenty</v>
      </c>
      <c r="C76" s="2" t="str">
        <f ca="1">IFERROR(__xludf.DUMMYFUNCTION("""COMPUTED_VALUE"""),"Tx 17 - Teddy")</f>
        <v>Tx 17 - Teddy</v>
      </c>
      <c r="D76" s="10">
        <f ca="1">IFERROR(__xludf.DUMMYFUNCTION("""COMPUTED_VALUE"""),43290)</f>
        <v>43290</v>
      </c>
      <c r="E76" s="4">
        <f ca="1">IFERROR(__xludf.DUMMYFUNCTION("""COMPUTED_VALUE"""),0.64583333333212)</f>
        <v>0.64583333333212001</v>
      </c>
      <c r="F76" s="2" t="str">
        <f ca="1">IFERROR(__xludf.DUMMYFUNCTION("""COMPUTED_VALUE"""),"Little Waihi")</f>
        <v>Little Waihi</v>
      </c>
      <c r="G76" s="2" t="str">
        <f ca="1">IFERROR(__xludf.DUMMYFUNCTION("""COMPUTED_VALUE"""),"VHF (Mortality): I just listened to see if the signal was on mortality")</f>
        <v>VHF (Mortality): I just listened to see if the signal was on mortality</v>
      </c>
      <c r="H76" s="2" t="str">
        <f ca="1">IFERROR(__xludf.DUMMYFUNCTION("""COMPUTED_VALUE"""),"")</f>
        <v/>
      </c>
      <c r="I76" s="2" t="str">
        <f ca="1">IFERROR(__xludf.DUMMYFUNCTION("""COMPUTED_VALUE"""),"")</f>
        <v/>
      </c>
      <c r="J76" s="2" t="str">
        <f ca="1">IFERROR(__xludf.DUMMYFUNCTION("""COMPUTED_VALUE"""),"")</f>
        <v/>
      </c>
      <c r="K76" s="2" t="str">
        <f ca="1">IFERROR(__xludf.DUMMYFUNCTION("""COMPUTED_VALUE"""),"")</f>
        <v/>
      </c>
      <c r="L76" s="2" t="str">
        <f ca="1">IFERROR(__xludf.DUMMYFUNCTION("""COMPUTED_VALUE"""),"")</f>
        <v/>
      </c>
      <c r="M76" s="5" t="str">
        <f ca="1">IFERROR(__xludf.DUMMYFUNCTION("""COMPUTED_VALUE"""),"")</f>
        <v/>
      </c>
      <c r="N76" s="5" t="str">
        <f ca="1">IFERROR(__xludf.DUMMYFUNCTION("""COMPUTED_VALUE"""),"")</f>
        <v/>
      </c>
      <c r="O76" s="2" t="str">
        <f ca="1">IFERROR(__xludf.DUMMYFUNCTION("""COMPUTED_VALUE"""),"")</f>
        <v/>
      </c>
      <c r="P76" s="2" t="str">
        <f ca="1">IFERROR(__xludf.DUMMYFUNCTION("""COMPUTED_VALUE"""),"")</f>
        <v/>
      </c>
      <c r="Q76" s="2" t="str">
        <f ca="1">IFERROR(__xludf.DUMMYFUNCTION("""COMPUTED_VALUE"""),"")</f>
        <v/>
      </c>
      <c r="R76" s="2" t="str">
        <f ca="1">IFERROR(__xludf.DUMMYFUNCTION("""COMPUTED_VALUE"""),"")</f>
        <v/>
      </c>
      <c r="S76" s="2" t="str">
        <f ca="1">IFERROR(__xludf.DUMMYFUNCTION("""COMPUTED_VALUE"""),"")</f>
        <v/>
      </c>
      <c r="T76" s="2" t="str">
        <f ca="1">IFERROR(__xludf.DUMMYFUNCTION("""COMPUTED_VALUE"""),"")</f>
        <v/>
      </c>
      <c r="U76" s="2" t="str">
        <f ca="1">IFERROR(__xludf.DUMMYFUNCTION("""COMPUTED_VALUE"""),"")</f>
        <v/>
      </c>
      <c r="V76" s="2" t="str">
        <f ca="1">IFERROR(__xludf.DUMMYFUNCTION("""COMPUTED_VALUE"""),"")</f>
        <v/>
      </c>
      <c r="W76" s="2" t="str">
        <f ca="1">IFERROR(__xludf.DUMMYFUNCTION("""COMPUTED_VALUE"""),"")</f>
        <v/>
      </c>
      <c r="X76" s="2" t="str">
        <f ca="1">IFERROR(__xludf.DUMMYFUNCTION("""COMPUTED_VALUE"""),"")</f>
        <v/>
      </c>
      <c r="Y76" s="2" t="str">
        <f ca="1">IFERROR(__xludf.DUMMYFUNCTION("""COMPUTED_VALUE"""),"")</f>
        <v/>
      </c>
      <c r="Z76" s="2" t="str">
        <f ca="1">IFERROR(__xludf.DUMMYFUNCTION("""COMPUTED_VALUE"""),"")</f>
        <v/>
      </c>
      <c r="AA76" s="2" t="str">
        <f ca="1">IFERROR(__xludf.DUMMYFUNCTION("""COMPUTED_VALUE"""),"")</f>
        <v/>
      </c>
      <c r="AB76" s="2" t="str">
        <f ca="1">IFERROR(__xludf.DUMMYFUNCTION("""COMPUTED_VALUE"""),"")</f>
        <v/>
      </c>
      <c r="AC76" s="2" t="str">
        <f ca="1">IFERROR(__xludf.DUMMYFUNCTION("""COMPUTED_VALUE"""),"")</f>
        <v/>
      </c>
      <c r="AD76" s="2" t="str">
        <f ca="1">IFERROR(__xludf.DUMMYFUNCTION("""COMPUTED_VALUE"""),"")</f>
        <v/>
      </c>
      <c r="AE76" s="2" t="str">
        <f ca="1">IFERROR(__xludf.DUMMYFUNCTION("""COMPUTED_VALUE"""),"")</f>
        <v/>
      </c>
      <c r="AF76" s="2" t="str">
        <f ca="1">IFERROR(__xludf.DUMMYFUNCTION("""COMPUTED_VALUE"""),"")</f>
        <v/>
      </c>
      <c r="AG76" s="2" t="str">
        <f ca="1">IFERROR(__xludf.DUMMYFUNCTION("""COMPUTED_VALUE"""),"")</f>
        <v/>
      </c>
      <c r="AH76" s="2" t="str">
        <f ca="1">IFERROR(__xludf.DUMMYFUNCTION("""COMPUTED_VALUE"""),"")</f>
        <v/>
      </c>
      <c r="AI76" s="2" t="str">
        <f ca="1">IFERROR(__xludf.DUMMYFUNCTION("""COMPUTED_VALUE"""),"")</f>
        <v/>
      </c>
      <c r="AJ76" s="2" t="str">
        <f ca="1">IFERROR(__xludf.DUMMYFUNCTION("""COMPUTED_VALUE"""),"")</f>
        <v/>
      </c>
      <c r="AK76" s="2" t="str">
        <f ca="1">IFERROR(__xludf.DUMMYFUNCTION("""COMPUTED_VALUE"""),"")</f>
        <v/>
      </c>
      <c r="AL76" s="2" t="str">
        <f ca="1">IFERROR(__xludf.DUMMYFUNCTION("""COMPUTED_VALUE"""),"")</f>
        <v/>
      </c>
      <c r="AM76" s="2" t="str">
        <f ca="1">IFERROR(__xludf.DUMMYFUNCTION("""COMPUTED_VALUE"""),"")</f>
        <v/>
      </c>
      <c r="AN76" s="2" t="str">
        <f ca="1">IFERROR(__xludf.DUMMYFUNCTION("""COMPUTED_VALUE"""),"")</f>
        <v/>
      </c>
      <c r="AO76" s="2" t="str">
        <f ca="1">IFERROR(__xludf.DUMMYFUNCTION("""COMPUTED_VALUE"""),"")</f>
        <v/>
      </c>
      <c r="AP76" s="2" t="str">
        <f ca="1">IFERROR(__xludf.DUMMYFUNCTION("""COMPUTED_VALUE"""),"")</f>
        <v/>
      </c>
      <c r="AQ76" s="2" t="str">
        <f ca="1">IFERROR(__xludf.DUMMYFUNCTION("""COMPUTED_VALUE"""),"")</f>
        <v/>
      </c>
      <c r="AR76" s="2" t="str">
        <f ca="1">IFERROR(__xludf.DUMMYFUNCTION("""COMPUTED_VALUE"""),"")</f>
        <v/>
      </c>
      <c r="AS76" s="2" t="str">
        <f ca="1">IFERROR(__xludf.DUMMYFUNCTION("""COMPUTED_VALUE"""),"")</f>
        <v/>
      </c>
      <c r="AT76" s="2" t="str">
        <f ca="1">IFERROR(__xludf.DUMMYFUNCTION("""COMPUTED_VALUE"""),"")</f>
        <v/>
      </c>
      <c r="AU76" s="2" t="str">
        <f ca="1">IFERROR(__xludf.DUMMYFUNCTION("""COMPUTED_VALUE"""),"")</f>
        <v/>
      </c>
      <c r="AV76" s="2" t="str">
        <f ca="1">IFERROR(__xludf.DUMMYFUNCTION("""COMPUTED_VALUE"""),"30 pulses per minute - great all is well")</f>
        <v>30 pulses per minute - great all is well</v>
      </c>
      <c r="AW76" s="2">
        <f ca="1">IFERROR(__xludf.DUMMYFUNCTION("""COMPUTED_VALUE"""),1907547)</f>
        <v>1907547</v>
      </c>
      <c r="AX76" s="2">
        <f ca="1">IFERROR(__xludf.DUMMYFUNCTION("""COMPUTED_VALUE"""),5812875)</f>
        <v>5812875</v>
      </c>
      <c r="AY76" s="2" t="str">
        <f ca="1">IFERROR(__xludf.DUMMYFUNCTION("""COMPUTED_VALUE"""),"usual spot in western WMR")</f>
        <v>usual spot in western WMR</v>
      </c>
      <c r="AZ76" s="2" t="str">
        <f ca="1">IFERROR(__xludf.DUMMYFUNCTION("""COMPUTED_VALUE"""),"")</f>
        <v/>
      </c>
      <c r="BA76" s="2" t="str">
        <f ca="1">IFERROR(__xludf.DUMMYFUNCTION("""COMPUTED_VALUE"""),"")</f>
        <v/>
      </c>
      <c r="BB76" s="2" t="str">
        <f ca="1">IFERROR(__xludf.DUMMYFUNCTION("""COMPUTED_VALUE"""),"")</f>
        <v/>
      </c>
      <c r="BC76" s="2" t="str">
        <f ca="1">IFERROR(__xludf.DUMMYFUNCTION("""COMPUTED_VALUE"""),"")</f>
        <v/>
      </c>
      <c r="BD76" s="2" t="str">
        <f ca="1">IFERROR(__xludf.DUMMYFUNCTION("""COMPUTED_VALUE"""),"")</f>
        <v/>
      </c>
      <c r="BE76" s="2" t="str">
        <f ca="1">IFERROR(__xludf.DUMMYFUNCTION("""COMPUTED_VALUE"""),"")</f>
        <v/>
      </c>
      <c r="BF76" t="str">
        <f ca="1">IFERROR(__xludf.DUMMYFUNCTION("""COMPUTED_VALUE"""),"")</f>
        <v/>
      </c>
      <c r="BG76" t="str">
        <f ca="1">IFERROR(__xludf.DUMMYFUNCTION("""COMPUTED_VALUE"""),"")</f>
        <v/>
      </c>
      <c r="BH76" t="str">
        <f ca="1">IFERROR(__xludf.DUMMYFUNCTION("""COMPUTED_VALUE"""),"")</f>
        <v/>
      </c>
      <c r="BI76" t="str">
        <f ca="1">IFERROR(__xludf.DUMMYFUNCTION("""COMPUTED_VALUE"""),"")</f>
        <v/>
      </c>
      <c r="BJ76" s="3" t="str">
        <f ca="1">IFERROR(__xludf.DUMMYFUNCTION("""COMPUTED_VALUE"""),"")</f>
        <v/>
      </c>
    </row>
    <row r="77" spans="1:62" ht="12.5" x14ac:dyDescent="0.25">
      <c r="A77" s="6">
        <f ca="1">IFERROR(__xludf.DUMMYFUNCTION("""COMPUTED_VALUE"""),43300.6984855092)</f>
        <v>43300.698485509201</v>
      </c>
      <c r="B77" s="2" t="str">
        <f ca="1">IFERROR(__xludf.DUMMYFUNCTION("""COMPUTED_VALUE"""),"Bay of Plenty")</f>
        <v>Bay of Plenty</v>
      </c>
      <c r="C77" s="2" t="str">
        <f ca="1">IFERROR(__xludf.DUMMYFUNCTION("""COMPUTED_VALUE"""),"Tx 38 - Pearl")</f>
        <v>Tx 38 - Pearl</v>
      </c>
      <c r="D77" s="10">
        <f ca="1">IFERROR(__xludf.DUMMYFUNCTION("""COMPUTED_VALUE"""),43290)</f>
        <v>43290</v>
      </c>
      <c r="E77" s="4">
        <f ca="1">IFERROR(__xludf.DUMMYFUNCTION("""COMPUTED_VALUE"""),0.64583333333212)</f>
        <v>0.64583333333212001</v>
      </c>
      <c r="F77" s="2" t="str">
        <f ca="1">IFERROR(__xludf.DUMMYFUNCTION("""COMPUTED_VALUE"""),"Little Waihi")</f>
        <v>Little Waihi</v>
      </c>
      <c r="G77" s="2" t="str">
        <f ca="1">IFERROR(__xludf.DUMMYFUNCTION("""COMPUTED_VALUE"""),"None: I listened for the bird but was unable to find it")</f>
        <v>None: I listened for the bird but was unable to find it</v>
      </c>
      <c r="H77" s="2" t="str">
        <f ca="1">IFERROR(__xludf.DUMMYFUNCTION("""COMPUTED_VALUE"""),"")</f>
        <v/>
      </c>
      <c r="I77" s="2" t="str">
        <f ca="1">IFERROR(__xludf.DUMMYFUNCTION("""COMPUTED_VALUE"""),"")</f>
        <v/>
      </c>
      <c r="J77" s="2" t="str">
        <f ca="1">IFERROR(__xludf.DUMMYFUNCTION("""COMPUTED_VALUE"""),"")</f>
        <v/>
      </c>
      <c r="K77" s="2" t="str">
        <f ca="1">IFERROR(__xludf.DUMMYFUNCTION("""COMPUTED_VALUE"""),"")</f>
        <v/>
      </c>
      <c r="L77" s="2" t="str">
        <f ca="1">IFERROR(__xludf.DUMMYFUNCTION("""COMPUTED_VALUE"""),"")</f>
        <v/>
      </c>
      <c r="M77" s="5" t="str">
        <f ca="1">IFERROR(__xludf.DUMMYFUNCTION("""COMPUTED_VALUE"""),"")</f>
        <v/>
      </c>
      <c r="N77" s="5" t="str">
        <f ca="1">IFERROR(__xludf.DUMMYFUNCTION("""COMPUTED_VALUE"""),"")</f>
        <v/>
      </c>
      <c r="O77" s="2" t="str">
        <f ca="1">IFERROR(__xludf.DUMMYFUNCTION("""COMPUTED_VALUE"""),"")</f>
        <v/>
      </c>
      <c r="P77" s="2" t="str">
        <f ca="1">IFERROR(__xludf.DUMMYFUNCTION("""COMPUTED_VALUE"""),"")</f>
        <v/>
      </c>
      <c r="Q77" s="2" t="str">
        <f ca="1">IFERROR(__xludf.DUMMYFUNCTION("""COMPUTED_VALUE"""),"")</f>
        <v/>
      </c>
      <c r="R77" s="2" t="str">
        <f ca="1">IFERROR(__xludf.DUMMYFUNCTION("""COMPUTED_VALUE"""),"")</f>
        <v/>
      </c>
      <c r="S77" s="2" t="str">
        <f ca="1">IFERROR(__xludf.DUMMYFUNCTION("""COMPUTED_VALUE"""),"")</f>
        <v/>
      </c>
      <c r="T77" s="2" t="str">
        <f ca="1">IFERROR(__xludf.DUMMYFUNCTION("""COMPUTED_VALUE"""),"")</f>
        <v/>
      </c>
      <c r="U77" s="2" t="str">
        <f ca="1">IFERROR(__xludf.DUMMYFUNCTION("""COMPUTED_VALUE"""),"")</f>
        <v/>
      </c>
      <c r="V77" s="2" t="str">
        <f ca="1">IFERROR(__xludf.DUMMYFUNCTION("""COMPUTED_VALUE"""),"")</f>
        <v/>
      </c>
      <c r="W77" s="2" t="str">
        <f ca="1">IFERROR(__xludf.DUMMYFUNCTION("""COMPUTED_VALUE"""),"")</f>
        <v/>
      </c>
      <c r="X77" s="2" t="str">
        <f ca="1">IFERROR(__xludf.DUMMYFUNCTION("""COMPUTED_VALUE"""),"")</f>
        <v/>
      </c>
      <c r="Y77" s="2" t="str">
        <f ca="1">IFERROR(__xludf.DUMMYFUNCTION("""COMPUTED_VALUE"""),"")</f>
        <v/>
      </c>
      <c r="Z77" s="2" t="str">
        <f ca="1">IFERROR(__xludf.DUMMYFUNCTION("""COMPUTED_VALUE"""),"")</f>
        <v/>
      </c>
      <c r="AA77" s="2" t="str">
        <f ca="1">IFERROR(__xludf.DUMMYFUNCTION("""COMPUTED_VALUE"""),"")</f>
        <v/>
      </c>
      <c r="AB77" s="2" t="str">
        <f ca="1">IFERROR(__xludf.DUMMYFUNCTION("""COMPUTED_VALUE"""),"")</f>
        <v/>
      </c>
      <c r="AC77" s="2" t="str">
        <f ca="1">IFERROR(__xludf.DUMMYFUNCTION("""COMPUTED_VALUE"""),"")</f>
        <v/>
      </c>
      <c r="AD77" s="2" t="str">
        <f ca="1">IFERROR(__xludf.DUMMYFUNCTION("""COMPUTED_VALUE"""),"")</f>
        <v/>
      </c>
      <c r="AE77" s="2" t="str">
        <f ca="1">IFERROR(__xludf.DUMMYFUNCTION("""COMPUTED_VALUE"""),"")</f>
        <v/>
      </c>
      <c r="AF77" s="2" t="str">
        <f ca="1">IFERROR(__xludf.DUMMYFUNCTION("""COMPUTED_VALUE"""),"")</f>
        <v/>
      </c>
      <c r="AG77" s="2" t="str">
        <f ca="1">IFERROR(__xludf.DUMMYFUNCTION("""COMPUTED_VALUE"""),"")</f>
        <v/>
      </c>
      <c r="AH77" s="2" t="str">
        <f ca="1">IFERROR(__xludf.DUMMYFUNCTION("""COMPUTED_VALUE"""),"")</f>
        <v/>
      </c>
      <c r="AI77" s="2" t="str">
        <f ca="1">IFERROR(__xludf.DUMMYFUNCTION("""COMPUTED_VALUE"""),"")</f>
        <v/>
      </c>
      <c r="AJ77" s="2" t="str">
        <f ca="1">IFERROR(__xludf.DUMMYFUNCTION("""COMPUTED_VALUE"""),"")</f>
        <v/>
      </c>
      <c r="AK77" s="2" t="str">
        <f ca="1">IFERROR(__xludf.DUMMYFUNCTION("""COMPUTED_VALUE"""),"")</f>
        <v/>
      </c>
      <c r="AL77" s="2" t="str">
        <f ca="1">IFERROR(__xludf.DUMMYFUNCTION("""COMPUTED_VALUE"""),"")</f>
        <v/>
      </c>
      <c r="AM77" s="2" t="str">
        <f ca="1">IFERROR(__xludf.DUMMYFUNCTION("""COMPUTED_VALUE"""),"")</f>
        <v/>
      </c>
      <c r="AN77" s="2" t="str">
        <f ca="1">IFERROR(__xludf.DUMMYFUNCTION("""COMPUTED_VALUE"""),"")</f>
        <v/>
      </c>
      <c r="AO77" s="2" t="str">
        <f ca="1">IFERROR(__xludf.DUMMYFUNCTION("""COMPUTED_VALUE"""),"")</f>
        <v/>
      </c>
      <c r="AP77" s="2" t="str">
        <f ca="1">IFERROR(__xludf.DUMMYFUNCTION("""COMPUTED_VALUE"""),"")</f>
        <v/>
      </c>
      <c r="AQ77" s="2" t="str">
        <f ca="1">IFERROR(__xludf.DUMMYFUNCTION("""COMPUTED_VALUE"""),"")</f>
        <v/>
      </c>
      <c r="AR77" s="2" t="str">
        <f ca="1">IFERROR(__xludf.DUMMYFUNCTION("""COMPUTED_VALUE"""),"")</f>
        <v/>
      </c>
      <c r="AS77" s="2" t="str">
        <f ca="1">IFERROR(__xludf.DUMMYFUNCTION("""COMPUTED_VALUE"""),"")</f>
        <v/>
      </c>
      <c r="AT77" s="2" t="str">
        <f ca="1">IFERROR(__xludf.DUMMYFUNCTION("""COMPUTED_VALUE"""),"")</f>
        <v/>
      </c>
      <c r="AU77" s="2" t="str">
        <f ca="1">IFERROR(__xludf.DUMMYFUNCTION("""COMPUTED_VALUE"""),"")</f>
        <v/>
      </c>
      <c r="AV77" s="2" t="str">
        <f ca="1">IFERROR(__xludf.DUMMYFUNCTION("""COMPUTED_VALUE"""),"")</f>
        <v/>
      </c>
      <c r="AW77" s="2" t="str">
        <f ca="1">IFERROR(__xludf.DUMMYFUNCTION("""COMPUTED_VALUE"""),"")</f>
        <v/>
      </c>
      <c r="AX77" s="2" t="str">
        <f ca="1">IFERROR(__xludf.DUMMYFUNCTION("""COMPUTED_VALUE"""),"")</f>
        <v/>
      </c>
      <c r="AY77" s="2" t="str">
        <f ca="1">IFERROR(__xludf.DUMMYFUNCTION("""COMPUTED_VALUE"""),"")</f>
        <v/>
      </c>
      <c r="AZ77" s="2" t="str">
        <f ca="1">IFERROR(__xludf.DUMMYFUNCTION("""COMPUTED_VALUE"""),"")</f>
        <v/>
      </c>
      <c r="BA77" s="2" t="str">
        <f ca="1">IFERROR(__xludf.DUMMYFUNCTION("""COMPUTED_VALUE"""),"")</f>
        <v/>
      </c>
      <c r="BB77" s="2" t="str">
        <f ca="1">IFERROR(__xludf.DUMMYFUNCTION("""COMPUTED_VALUE"""),"")</f>
        <v/>
      </c>
      <c r="BC77" s="2" t="str">
        <f ca="1">IFERROR(__xludf.DUMMYFUNCTION("""COMPUTED_VALUE"""),"")</f>
        <v/>
      </c>
      <c r="BD77" s="2" t="str">
        <f ca="1">IFERROR(__xludf.DUMMYFUNCTION("""COMPUTED_VALUE"""),"Both sides of the Pukehina canal")</f>
        <v>Both sides of the Pukehina canal</v>
      </c>
      <c r="BE77" s="2" t="str">
        <f ca="1">IFERROR(__xludf.DUMMYFUNCTION("""COMPUTED_VALUE"""),"no")</f>
        <v>no</v>
      </c>
      <c r="BF77" t="str">
        <f ca="1">IFERROR(__xludf.DUMMYFUNCTION("""COMPUTED_VALUE"""),"")</f>
        <v/>
      </c>
      <c r="BG77" t="str">
        <f ca="1">IFERROR(__xludf.DUMMYFUNCTION("""COMPUTED_VALUE"""),"")</f>
        <v/>
      </c>
      <c r="BH77" t="str">
        <f ca="1">IFERROR(__xludf.DUMMYFUNCTION("""COMPUTED_VALUE"""),"")</f>
        <v/>
      </c>
      <c r="BI77" t="str">
        <f ca="1">IFERROR(__xludf.DUMMYFUNCTION("""COMPUTED_VALUE"""),"")</f>
        <v/>
      </c>
      <c r="BJ77" s="3" t="str">
        <f ca="1">IFERROR(__xludf.DUMMYFUNCTION("""COMPUTED_VALUE"""),"")</f>
        <v/>
      </c>
    </row>
    <row r="78" spans="1:62" ht="12.5" x14ac:dyDescent="0.25">
      <c r="A78" s="6">
        <f ca="1">IFERROR(__xludf.DUMMYFUNCTION("""COMPUTED_VALUE"""),43300.7037478356)</f>
        <v>43300.7037478356</v>
      </c>
      <c r="B78" s="2" t="str">
        <f ca="1">IFERROR(__xludf.DUMMYFUNCTION("""COMPUTED_VALUE"""),"Bay of Plenty")</f>
        <v>Bay of Plenty</v>
      </c>
      <c r="C78" s="2" t="str">
        <f ca="1">IFERROR(__xludf.DUMMYFUNCTION("""COMPUTED_VALUE"""),"Unmarked bird")</f>
        <v>Unmarked bird</v>
      </c>
      <c r="D78" s="10">
        <f ca="1">IFERROR(__xludf.DUMMYFUNCTION("""COMPUTED_VALUE"""),43290)</f>
        <v>43290</v>
      </c>
      <c r="E78" s="4">
        <f ca="1">IFERROR(__xludf.DUMMYFUNCTION("""COMPUTED_VALUE"""),0.64583333333212)</f>
        <v>0.64583333333212001</v>
      </c>
      <c r="F78" s="2" t="str">
        <f ca="1">IFERROR(__xludf.DUMMYFUNCTION("""COMPUTED_VALUE"""),"Little Waihi")</f>
        <v>Little Waihi</v>
      </c>
      <c r="G78" s="2" t="str">
        <f ca="1">IFERROR(__xludf.DUMMYFUNCTION("""COMPUTED_VALUE"""),"VHF (close approach): I followed the signal until I got within 50 m of the bird")</f>
        <v>VHF (close approach): I followed the signal until I got within 50 m of the bird</v>
      </c>
      <c r="H78" s="2" t="str">
        <f ca="1">IFERROR(__xludf.DUMMYFUNCTION("""COMPUTED_VALUE"""),"")</f>
        <v/>
      </c>
      <c r="I78" s="2" t="str">
        <f ca="1">IFERROR(__xludf.DUMMYFUNCTION("""COMPUTED_VALUE"""),"")</f>
        <v/>
      </c>
      <c r="J78" s="2" t="str">
        <f ca="1">IFERROR(__xludf.DUMMYFUNCTION("""COMPUTED_VALUE"""),"")</f>
        <v/>
      </c>
      <c r="K78" s="2" t="str">
        <f ca="1">IFERROR(__xludf.DUMMYFUNCTION("""COMPUTED_VALUE"""),"")</f>
        <v/>
      </c>
      <c r="L78" s="2" t="str">
        <f ca="1">IFERROR(__xludf.DUMMYFUNCTION("""COMPUTED_VALUE"""),"Yes - I managed to observe the bird without it flushing")</f>
        <v>Yes - I managed to observe the bird without it flushing</v>
      </c>
      <c r="M78" s="5">
        <f ca="1">IFERROR(__xludf.DUMMYFUNCTION("""COMPUTED_VALUE"""),1907251)</f>
        <v>1907251</v>
      </c>
      <c r="N78" s="5">
        <f ca="1">IFERROR(__xludf.DUMMYFUNCTION("""COMPUTED_VALUE"""),5812968)</f>
        <v>5812968</v>
      </c>
      <c r="O78" s="2" t="str">
        <f ca="1">IFERROR(__xludf.DUMMYFUNCTION("""COMPUTED_VALUE"""),"")</f>
        <v/>
      </c>
      <c r="P78" s="2" t="str">
        <f ca="1">IFERROR(__xludf.DUMMYFUNCTION("""COMPUTED_VALUE"""),"Yes")</f>
        <v>Yes</v>
      </c>
      <c r="Q78" s="2" t="str">
        <f ca="1">IFERROR(__xludf.DUMMYFUNCTION("""COMPUTED_VALUE"""),"Dry")</f>
        <v>Dry</v>
      </c>
      <c r="R78" s="2" t="str">
        <f ca="1">IFERROR(__xludf.DUMMYFUNCTION("""COMPUTED_VALUE"""),"0")</f>
        <v>0</v>
      </c>
      <c r="S78" s="2" t="str">
        <f ca="1">IFERROR(__xludf.DUMMYFUNCTION("""COMPUTED_VALUE"""),"0")</f>
        <v>0</v>
      </c>
      <c r="T78" s="2" t="str">
        <f ca="1">IFERROR(__xludf.DUMMYFUNCTION("""COMPUTED_VALUE"""),"In the paddock and ditch on Spratt's farm, near canal embankment")</f>
        <v>In the paddock and ditch on Spratt's farm, near canal embankment</v>
      </c>
      <c r="U78" s="2" t="str">
        <f ca="1">IFERROR(__xludf.DUMMYFUNCTION("""COMPUTED_VALUE"""),"No signal or leg bands.  Looks like the same relaxed bird. Great photos by Liza taken.")</f>
        <v>No signal or leg bands.  Looks like the same relaxed bird. Great photos by Liza taken.</v>
      </c>
      <c r="V78" s="2" t="str">
        <f ca="1">IFERROR(__xludf.DUMMYFUNCTION("""COMPUTED_VALUE"""),"")</f>
        <v/>
      </c>
      <c r="W78" s="2" t="str">
        <f ca="1">IFERROR(__xludf.DUMMYFUNCTION("""COMPUTED_VALUE"""),"")</f>
        <v/>
      </c>
      <c r="X78" s="2" t="str">
        <f ca="1">IFERROR(__xludf.DUMMYFUNCTION("""COMPUTED_VALUE"""),"")</f>
        <v/>
      </c>
      <c r="Y78" s="2" t="str">
        <f ca="1">IFERROR(__xludf.DUMMYFUNCTION("""COMPUTED_VALUE"""),"")</f>
        <v/>
      </c>
      <c r="Z78" s="2" t="str">
        <f ca="1">IFERROR(__xludf.DUMMYFUNCTION("""COMPUTED_VALUE"""),"")</f>
        <v/>
      </c>
      <c r="AA78" s="2" t="str">
        <f ca="1">IFERROR(__xludf.DUMMYFUNCTION("""COMPUTED_VALUE"""),"")</f>
        <v/>
      </c>
      <c r="AB78" s="2" t="str">
        <f ca="1">IFERROR(__xludf.DUMMYFUNCTION("""COMPUTED_VALUE"""),"")</f>
        <v/>
      </c>
      <c r="AC78" s="2" t="str">
        <f ca="1">IFERROR(__xludf.DUMMYFUNCTION("""COMPUTED_VALUE"""),"")</f>
        <v/>
      </c>
      <c r="AD78" s="2" t="str">
        <f ca="1">IFERROR(__xludf.DUMMYFUNCTION("""COMPUTED_VALUE"""),"")</f>
        <v/>
      </c>
      <c r="AE78" s="2" t="str">
        <f ca="1">IFERROR(__xludf.DUMMYFUNCTION("""COMPUTED_VALUE"""),"")</f>
        <v/>
      </c>
      <c r="AF78" s="2" t="str">
        <f ca="1">IFERROR(__xludf.DUMMYFUNCTION("""COMPUTED_VALUE"""),"")</f>
        <v/>
      </c>
      <c r="AG78" s="2" t="str">
        <f ca="1">IFERROR(__xludf.DUMMYFUNCTION("""COMPUTED_VALUE"""),"")</f>
        <v/>
      </c>
      <c r="AH78" s="2" t="str">
        <f ca="1">IFERROR(__xludf.DUMMYFUNCTION("""COMPUTED_VALUE"""),"")</f>
        <v/>
      </c>
      <c r="AI78" s="2" t="str">
        <f ca="1">IFERROR(__xludf.DUMMYFUNCTION("""COMPUTED_VALUE"""),"")</f>
        <v/>
      </c>
      <c r="AJ78" s="2" t="str">
        <f ca="1">IFERROR(__xludf.DUMMYFUNCTION("""COMPUTED_VALUE"""),"")</f>
        <v/>
      </c>
      <c r="AK78" s="2" t="str">
        <f ca="1">IFERROR(__xludf.DUMMYFUNCTION("""COMPUTED_VALUE"""),"")</f>
        <v/>
      </c>
      <c r="AL78" s="2" t="str">
        <f ca="1">IFERROR(__xludf.DUMMYFUNCTION("""COMPUTED_VALUE"""),"")</f>
        <v/>
      </c>
      <c r="AM78" s="2" t="str">
        <f ca="1">IFERROR(__xludf.DUMMYFUNCTION("""COMPUTED_VALUE"""),"")</f>
        <v/>
      </c>
      <c r="AN78" s="2" t="str">
        <f ca="1">IFERROR(__xludf.DUMMYFUNCTION("""COMPUTED_VALUE"""),"")</f>
        <v/>
      </c>
      <c r="AO78" s="2" t="str">
        <f ca="1">IFERROR(__xludf.DUMMYFUNCTION("""COMPUTED_VALUE"""),"")</f>
        <v/>
      </c>
      <c r="AP78" s="2" t="str">
        <f ca="1">IFERROR(__xludf.DUMMYFUNCTION("""COMPUTED_VALUE"""),"")</f>
        <v/>
      </c>
      <c r="AQ78" s="2" t="str">
        <f ca="1">IFERROR(__xludf.DUMMYFUNCTION("""COMPUTED_VALUE"""),"")</f>
        <v/>
      </c>
      <c r="AR78" s="2" t="str">
        <f ca="1">IFERROR(__xludf.DUMMYFUNCTION("""COMPUTED_VALUE"""),"")</f>
        <v/>
      </c>
      <c r="AS78" s="2" t="str">
        <f ca="1">IFERROR(__xludf.DUMMYFUNCTION("""COMPUTED_VALUE"""),"")</f>
        <v/>
      </c>
      <c r="AT78" s="2" t="str">
        <f ca="1">IFERROR(__xludf.DUMMYFUNCTION("""COMPUTED_VALUE"""),"")</f>
        <v/>
      </c>
      <c r="AU78" s="2" t="str">
        <f ca="1">IFERROR(__xludf.DUMMYFUNCTION("""COMPUTED_VALUE"""),"")</f>
        <v/>
      </c>
      <c r="AV78" s="2" t="str">
        <f ca="1">IFERROR(__xludf.DUMMYFUNCTION("""COMPUTED_VALUE"""),"")</f>
        <v/>
      </c>
      <c r="AW78" s="2" t="str">
        <f ca="1">IFERROR(__xludf.DUMMYFUNCTION("""COMPUTED_VALUE"""),"")</f>
        <v/>
      </c>
      <c r="AX78" s="2" t="str">
        <f ca="1">IFERROR(__xludf.DUMMYFUNCTION("""COMPUTED_VALUE"""),"")</f>
        <v/>
      </c>
      <c r="AY78" s="2" t="str">
        <f ca="1">IFERROR(__xludf.DUMMYFUNCTION("""COMPUTED_VALUE"""),"")</f>
        <v/>
      </c>
      <c r="AZ78" s="2" t="str">
        <f ca="1">IFERROR(__xludf.DUMMYFUNCTION("""COMPUTED_VALUE"""),"")</f>
        <v/>
      </c>
      <c r="BA78" s="2" t="str">
        <f ca="1">IFERROR(__xludf.DUMMYFUNCTION("""COMPUTED_VALUE"""),"")</f>
        <v/>
      </c>
      <c r="BB78" s="2" t="str">
        <f ca="1">IFERROR(__xludf.DUMMYFUNCTION("""COMPUTED_VALUE"""),"")</f>
        <v/>
      </c>
      <c r="BC78" s="2" t="str">
        <f ca="1">IFERROR(__xludf.DUMMYFUNCTION("""COMPUTED_VALUE"""),"")</f>
        <v/>
      </c>
      <c r="BD78" s="2" t="str">
        <f ca="1">IFERROR(__xludf.DUMMYFUNCTION("""COMPUTED_VALUE"""),"")</f>
        <v/>
      </c>
      <c r="BE78" s="2" t="str">
        <f ca="1">IFERROR(__xludf.DUMMYFUNCTION("""COMPUTED_VALUE"""),"")</f>
        <v/>
      </c>
      <c r="BF78" t="str">
        <f ca="1">IFERROR(__xludf.DUMMYFUNCTION("""COMPUTED_VALUE"""),"")</f>
        <v/>
      </c>
      <c r="BG78" t="str">
        <f ca="1">IFERROR(__xludf.DUMMYFUNCTION("""COMPUTED_VALUE"""),"")</f>
        <v/>
      </c>
      <c r="BH78" t="str">
        <f ca="1">IFERROR(__xludf.DUMMYFUNCTION("""COMPUTED_VALUE"""),"")</f>
        <v/>
      </c>
      <c r="BI78" t="str">
        <f ca="1">IFERROR(__xludf.DUMMYFUNCTION("""COMPUTED_VALUE"""),"")</f>
        <v/>
      </c>
      <c r="BJ78" s="3" t="str">
        <f ca="1">IFERROR(__xludf.DUMMYFUNCTION("""COMPUTED_VALUE"""),"")</f>
        <v/>
      </c>
    </row>
    <row r="79" spans="1:62" ht="12.5" x14ac:dyDescent="0.25">
      <c r="A79" s="6">
        <f ca="1">IFERROR(__xludf.DUMMYFUNCTION("""COMPUTED_VALUE"""),43300.7057663657)</f>
        <v>43300.705766365703</v>
      </c>
      <c r="B79" s="2" t="str">
        <f ca="1">IFERROR(__xludf.DUMMYFUNCTION("""COMPUTED_VALUE"""),"Bay of Plenty")</f>
        <v>Bay of Plenty</v>
      </c>
      <c r="C79" s="2" t="str">
        <f ca="1">IFERROR(__xludf.DUMMYFUNCTION("""COMPUTED_VALUE"""),"Tx 17 - Teddy")</f>
        <v>Tx 17 - Teddy</v>
      </c>
      <c r="D79" s="10">
        <f ca="1">IFERROR(__xludf.DUMMYFUNCTION("""COMPUTED_VALUE"""),43300)</f>
        <v>43300</v>
      </c>
      <c r="E79" s="4">
        <f ca="1">IFERROR(__xludf.DUMMYFUNCTION("""COMPUTED_VALUE"""),0.45833333333212)</f>
        <v>0.45833333333212001</v>
      </c>
      <c r="F79" s="2" t="str">
        <f ca="1">IFERROR(__xludf.DUMMYFUNCTION("""COMPUTED_VALUE"""),"Little Waihi")</f>
        <v>Little Waihi</v>
      </c>
      <c r="G79" s="2" t="str">
        <f ca="1">IFERROR(__xludf.DUMMYFUNCTION("""COMPUTED_VALUE"""),"VHF (Mortality): I just listened to see if the signal was on mortality")</f>
        <v>VHF (Mortality): I just listened to see if the signal was on mortality</v>
      </c>
      <c r="H79" s="2" t="str">
        <f ca="1">IFERROR(__xludf.DUMMYFUNCTION("""COMPUTED_VALUE"""),"")</f>
        <v/>
      </c>
      <c r="I79" s="2" t="str">
        <f ca="1">IFERROR(__xludf.DUMMYFUNCTION("""COMPUTED_VALUE"""),"")</f>
        <v/>
      </c>
      <c r="J79" s="2" t="str">
        <f ca="1">IFERROR(__xludf.DUMMYFUNCTION("""COMPUTED_VALUE"""),"")</f>
        <v/>
      </c>
      <c r="K79" s="2" t="str">
        <f ca="1">IFERROR(__xludf.DUMMYFUNCTION("""COMPUTED_VALUE"""),"")</f>
        <v/>
      </c>
      <c r="L79" s="2" t="str">
        <f ca="1">IFERROR(__xludf.DUMMYFUNCTION("""COMPUTED_VALUE"""),"")</f>
        <v/>
      </c>
      <c r="M79" s="5" t="str">
        <f ca="1">IFERROR(__xludf.DUMMYFUNCTION("""COMPUTED_VALUE"""),"")</f>
        <v/>
      </c>
      <c r="N79" s="5" t="str">
        <f ca="1">IFERROR(__xludf.DUMMYFUNCTION("""COMPUTED_VALUE"""),"")</f>
        <v/>
      </c>
      <c r="O79" s="2" t="str">
        <f ca="1">IFERROR(__xludf.DUMMYFUNCTION("""COMPUTED_VALUE"""),"")</f>
        <v/>
      </c>
      <c r="P79" s="2" t="str">
        <f ca="1">IFERROR(__xludf.DUMMYFUNCTION("""COMPUTED_VALUE"""),"")</f>
        <v/>
      </c>
      <c r="Q79" s="2" t="str">
        <f ca="1">IFERROR(__xludf.DUMMYFUNCTION("""COMPUTED_VALUE"""),"")</f>
        <v/>
      </c>
      <c r="R79" s="2" t="str">
        <f ca="1">IFERROR(__xludf.DUMMYFUNCTION("""COMPUTED_VALUE"""),"")</f>
        <v/>
      </c>
      <c r="S79" s="2" t="str">
        <f ca="1">IFERROR(__xludf.DUMMYFUNCTION("""COMPUTED_VALUE"""),"")</f>
        <v/>
      </c>
      <c r="T79" s="2" t="str">
        <f ca="1">IFERROR(__xludf.DUMMYFUNCTION("""COMPUTED_VALUE"""),"")</f>
        <v/>
      </c>
      <c r="U79" s="2" t="str">
        <f ca="1">IFERROR(__xludf.DUMMYFUNCTION("""COMPUTED_VALUE"""),"")</f>
        <v/>
      </c>
      <c r="V79" s="2" t="str">
        <f ca="1">IFERROR(__xludf.DUMMYFUNCTION("""COMPUTED_VALUE"""),"")</f>
        <v/>
      </c>
      <c r="W79" s="2" t="str">
        <f ca="1">IFERROR(__xludf.DUMMYFUNCTION("""COMPUTED_VALUE"""),"")</f>
        <v/>
      </c>
      <c r="X79" s="2" t="str">
        <f ca="1">IFERROR(__xludf.DUMMYFUNCTION("""COMPUTED_VALUE"""),"")</f>
        <v/>
      </c>
      <c r="Y79" s="2" t="str">
        <f ca="1">IFERROR(__xludf.DUMMYFUNCTION("""COMPUTED_VALUE"""),"")</f>
        <v/>
      </c>
      <c r="Z79" s="2" t="str">
        <f ca="1">IFERROR(__xludf.DUMMYFUNCTION("""COMPUTED_VALUE"""),"")</f>
        <v/>
      </c>
      <c r="AA79" s="2" t="str">
        <f ca="1">IFERROR(__xludf.DUMMYFUNCTION("""COMPUTED_VALUE"""),"")</f>
        <v/>
      </c>
      <c r="AB79" s="2" t="str">
        <f ca="1">IFERROR(__xludf.DUMMYFUNCTION("""COMPUTED_VALUE"""),"")</f>
        <v/>
      </c>
      <c r="AC79" s="2" t="str">
        <f ca="1">IFERROR(__xludf.DUMMYFUNCTION("""COMPUTED_VALUE"""),"")</f>
        <v/>
      </c>
      <c r="AD79" s="2" t="str">
        <f ca="1">IFERROR(__xludf.DUMMYFUNCTION("""COMPUTED_VALUE"""),"")</f>
        <v/>
      </c>
      <c r="AE79" s="2" t="str">
        <f ca="1">IFERROR(__xludf.DUMMYFUNCTION("""COMPUTED_VALUE"""),"")</f>
        <v/>
      </c>
      <c r="AF79" s="2" t="str">
        <f ca="1">IFERROR(__xludf.DUMMYFUNCTION("""COMPUTED_VALUE"""),"")</f>
        <v/>
      </c>
      <c r="AG79" s="2" t="str">
        <f ca="1">IFERROR(__xludf.DUMMYFUNCTION("""COMPUTED_VALUE"""),"")</f>
        <v/>
      </c>
      <c r="AH79" s="2" t="str">
        <f ca="1">IFERROR(__xludf.DUMMYFUNCTION("""COMPUTED_VALUE"""),"")</f>
        <v/>
      </c>
      <c r="AI79" s="2" t="str">
        <f ca="1">IFERROR(__xludf.DUMMYFUNCTION("""COMPUTED_VALUE"""),"")</f>
        <v/>
      </c>
      <c r="AJ79" s="2" t="str">
        <f ca="1">IFERROR(__xludf.DUMMYFUNCTION("""COMPUTED_VALUE"""),"")</f>
        <v/>
      </c>
      <c r="AK79" s="2" t="str">
        <f ca="1">IFERROR(__xludf.DUMMYFUNCTION("""COMPUTED_VALUE"""),"")</f>
        <v/>
      </c>
      <c r="AL79" s="2" t="str">
        <f ca="1">IFERROR(__xludf.DUMMYFUNCTION("""COMPUTED_VALUE"""),"")</f>
        <v/>
      </c>
      <c r="AM79" s="2" t="str">
        <f ca="1">IFERROR(__xludf.DUMMYFUNCTION("""COMPUTED_VALUE"""),"")</f>
        <v/>
      </c>
      <c r="AN79" s="2" t="str">
        <f ca="1">IFERROR(__xludf.DUMMYFUNCTION("""COMPUTED_VALUE"""),"")</f>
        <v/>
      </c>
      <c r="AO79" s="2" t="str">
        <f ca="1">IFERROR(__xludf.DUMMYFUNCTION("""COMPUTED_VALUE"""),"")</f>
        <v/>
      </c>
      <c r="AP79" s="2" t="str">
        <f ca="1">IFERROR(__xludf.DUMMYFUNCTION("""COMPUTED_VALUE"""),"")</f>
        <v/>
      </c>
      <c r="AQ79" s="2" t="str">
        <f ca="1">IFERROR(__xludf.DUMMYFUNCTION("""COMPUTED_VALUE"""),"")</f>
        <v/>
      </c>
      <c r="AR79" s="2" t="str">
        <f ca="1">IFERROR(__xludf.DUMMYFUNCTION("""COMPUTED_VALUE"""),"")</f>
        <v/>
      </c>
      <c r="AS79" s="2" t="str">
        <f ca="1">IFERROR(__xludf.DUMMYFUNCTION("""COMPUTED_VALUE"""),"")</f>
        <v/>
      </c>
      <c r="AT79" s="2" t="str">
        <f ca="1">IFERROR(__xludf.DUMMYFUNCTION("""COMPUTED_VALUE"""),"")</f>
        <v/>
      </c>
      <c r="AU79" s="2" t="str">
        <f ca="1">IFERROR(__xludf.DUMMYFUNCTION("""COMPUTED_VALUE"""),"")</f>
        <v/>
      </c>
      <c r="AV79" s="2" t="str">
        <f ca="1">IFERROR(__xludf.DUMMYFUNCTION("""COMPUTED_VALUE"""),"30 pulses per minute - great all is well")</f>
        <v>30 pulses per minute - great all is well</v>
      </c>
      <c r="AW79" s="2">
        <f ca="1">IFERROR(__xludf.DUMMYFUNCTION("""COMPUTED_VALUE"""),1907650)</f>
        <v>1907650</v>
      </c>
      <c r="AX79" s="2">
        <f ca="1">IFERROR(__xludf.DUMMYFUNCTION("""COMPUTED_VALUE"""),5814148)</f>
        <v>5814148</v>
      </c>
      <c r="AY79" s="2" t="str">
        <f ca="1">IFERROR(__xludf.DUMMYFUNCTION("""COMPUTED_VALUE"""),"hanging out in the usual place")</f>
        <v>hanging out in the usual place</v>
      </c>
      <c r="AZ79" s="2" t="str">
        <f ca="1">IFERROR(__xludf.DUMMYFUNCTION("""COMPUTED_VALUE"""),"")</f>
        <v/>
      </c>
      <c r="BA79" s="2" t="str">
        <f ca="1">IFERROR(__xludf.DUMMYFUNCTION("""COMPUTED_VALUE"""),"")</f>
        <v/>
      </c>
      <c r="BB79" s="2" t="str">
        <f ca="1">IFERROR(__xludf.DUMMYFUNCTION("""COMPUTED_VALUE"""),"")</f>
        <v/>
      </c>
      <c r="BC79" s="2" t="str">
        <f ca="1">IFERROR(__xludf.DUMMYFUNCTION("""COMPUTED_VALUE"""),"")</f>
        <v/>
      </c>
      <c r="BD79" s="2" t="str">
        <f ca="1">IFERROR(__xludf.DUMMYFUNCTION("""COMPUTED_VALUE"""),"")</f>
        <v/>
      </c>
      <c r="BE79" s="2" t="str">
        <f ca="1">IFERROR(__xludf.DUMMYFUNCTION("""COMPUTED_VALUE"""),"")</f>
        <v/>
      </c>
      <c r="BF79" t="str">
        <f ca="1">IFERROR(__xludf.DUMMYFUNCTION("""COMPUTED_VALUE"""),"")</f>
        <v/>
      </c>
      <c r="BG79" t="str">
        <f ca="1">IFERROR(__xludf.DUMMYFUNCTION("""COMPUTED_VALUE"""),"")</f>
        <v/>
      </c>
      <c r="BH79" t="str">
        <f ca="1">IFERROR(__xludf.DUMMYFUNCTION("""COMPUTED_VALUE"""),"")</f>
        <v/>
      </c>
      <c r="BI79" t="str">
        <f ca="1">IFERROR(__xludf.DUMMYFUNCTION("""COMPUTED_VALUE"""),"")</f>
        <v/>
      </c>
      <c r="BJ79" s="3" t="str">
        <f ca="1">IFERROR(__xludf.DUMMYFUNCTION("""COMPUTED_VALUE"""),"")</f>
        <v/>
      </c>
    </row>
    <row r="80" spans="1:62" ht="12.5" x14ac:dyDescent="0.25">
      <c r="A80" s="6">
        <f ca="1">IFERROR(__xludf.DUMMYFUNCTION("""COMPUTED_VALUE"""),43303.9158184606)</f>
        <v>43303.915818460599</v>
      </c>
      <c r="B80" s="2" t="str">
        <f ca="1">IFERROR(__xludf.DUMMYFUNCTION("""COMPUTED_VALUE"""),"Bay of Plenty")</f>
        <v>Bay of Plenty</v>
      </c>
      <c r="C80" s="2" t="str">
        <f ca="1">IFERROR(__xludf.DUMMYFUNCTION("""COMPUTED_VALUE"""),"Tx 17 - Teddy")</f>
        <v>Tx 17 - Teddy</v>
      </c>
      <c r="D80" s="10">
        <f ca="1">IFERROR(__xludf.DUMMYFUNCTION("""COMPUTED_VALUE"""),43266)</f>
        <v>43266</v>
      </c>
      <c r="E80" s="4">
        <f ca="1">IFERROR(__xludf.DUMMYFUNCTION("""COMPUTED_VALUE"""),0.33194444444598)</f>
        <v>0.33194444444597998</v>
      </c>
      <c r="F80" s="2" t="str">
        <f ca="1">IFERROR(__xludf.DUMMYFUNCTION("""COMPUTED_VALUE"""),"Little Waihi")</f>
        <v>Little Waihi</v>
      </c>
      <c r="G80" s="2" t="str">
        <f ca="1">IFERROR(__xludf.DUMMYFUNCTION("""COMPUTED_VALUE"""),"GPS: I converted data downloaded from ARGOS using Pinpoint software")</f>
        <v>GPS: I converted data downloaded from ARGOS using Pinpoint software</v>
      </c>
      <c r="H80" s="2" t="str">
        <f ca="1">IFERROR(__xludf.DUMMYFUNCTION("""COMPUTED_VALUE"""),"")</f>
        <v/>
      </c>
      <c r="I80" s="2" t="str">
        <f ca="1">IFERROR(__xludf.DUMMYFUNCTION("""COMPUTED_VALUE"""),"")</f>
        <v/>
      </c>
      <c r="J80" s="2" t="str">
        <f ca="1">IFERROR(__xludf.DUMMYFUNCTION("""COMPUTED_VALUE"""),"")</f>
        <v/>
      </c>
      <c r="K80" s="2" t="str">
        <f ca="1">IFERROR(__xludf.DUMMYFUNCTION("""COMPUTED_VALUE"""),"")</f>
        <v/>
      </c>
      <c r="L80" s="2" t="str">
        <f ca="1">IFERROR(__xludf.DUMMYFUNCTION("""COMPUTED_VALUE"""),"")</f>
        <v/>
      </c>
      <c r="M80" s="5" t="str">
        <f ca="1">IFERROR(__xludf.DUMMYFUNCTION("""COMPUTED_VALUE"""),"")</f>
        <v/>
      </c>
      <c r="N80" s="5" t="str">
        <f ca="1">IFERROR(__xludf.DUMMYFUNCTION("""COMPUTED_VALUE"""),"")</f>
        <v/>
      </c>
      <c r="O80" s="2" t="str">
        <f ca="1">IFERROR(__xludf.DUMMYFUNCTION("""COMPUTED_VALUE"""),"")</f>
        <v/>
      </c>
      <c r="P80" s="2" t="str">
        <f ca="1">IFERROR(__xludf.DUMMYFUNCTION("""COMPUTED_VALUE"""),"")</f>
        <v/>
      </c>
      <c r="Q80" s="2" t="str">
        <f ca="1">IFERROR(__xludf.DUMMYFUNCTION("""COMPUTED_VALUE"""),"")</f>
        <v/>
      </c>
      <c r="R80" s="2" t="str">
        <f ca="1">IFERROR(__xludf.DUMMYFUNCTION("""COMPUTED_VALUE"""),"")</f>
        <v/>
      </c>
      <c r="S80" s="2" t="str">
        <f ca="1">IFERROR(__xludf.DUMMYFUNCTION("""COMPUTED_VALUE"""),"")</f>
        <v/>
      </c>
      <c r="T80" s="2" t="str">
        <f ca="1">IFERROR(__xludf.DUMMYFUNCTION("""COMPUTED_VALUE"""),"")</f>
        <v/>
      </c>
      <c r="U80" s="2" t="str">
        <f ca="1">IFERROR(__xludf.DUMMYFUNCTION("""COMPUTED_VALUE"""),"")</f>
        <v/>
      </c>
      <c r="V80" s="2" t="str">
        <f ca="1">IFERROR(__xludf.DUMMYFUNCTION("""COMPUTED_VALUE"""),"")</f>
        <v/>
      </c>
      <c r="W80" s="2" t="str">
        <f ca="1">IFERROR(__xludf.DUMMYFUNCTION("""COMPUTED_VALUE"""),"")</f>
        <v/>
      </c>
      <c r="X80" s="2" t="str">
        <f ca="1">IFERROR(__xludf.DUMMYFUNCTION("""COMPUTED_VALUE"""),"")</f>
        <v/>
      </c>
      <c r="Y80" s="2" t="str">
        <f ca="1">IFERROR(__xludf.DUMMYFUNCTION("""COMPUTED_VALUE"""),"")</f>
        <v/>
      </c>
      <c r="Z80" s="2" t="str">
        <f ca="1">IFERROR(__xludf.DUMMYFUNCTION("""COMPUTED_VALUE"""),"")</f>
        <v/>
      </c>
      <c r="AA80" s="2" t="str">
        <f ca="1">IFERROR(__xludf.DUMMYFUNCTION("""COMPUTED_VALUE"""),"")</f>
        <v/>
      </c>
      <c r="AB80" s="2" t="str">
        <f ca="1">IFERROR(__xludf.DUMMYFUNCTION("""COMPUTED_VALUE"""),"")</f>
        <v/>
      </c>
      <c r="AC80" s="2" t="str">
        <f ca="1">IFERROR(__xludf.DUMMYFUNCTION("""COMPUTED_VALUE"""),"")</f>
        <v/>
      </c>
      <c r="AD80" s="2" t="str">
        <f ca="1">IFERROR(__xludf.DUMMYFUNCTION("""COMPUTED_VALUE"""),"")</f>
        <v/>
      </c>
      <c r="AE80" s="2" t="str">
        <f ca="1">IFERROR(__xludf.DUMMYFUNCTION("""COMPUTED_VALUE"""),"")</f>
        <v/>
      </c>
      <c r="AF80" s="2" t="str">
        <f ca="1">IFERROR(__xludf.DUMMYFUNCTION("""COMPUTED_VALUE"""),"")</f>
        <v/>
      </c>
      <c r="AG80" s="2" t="str">
        <f ca="1">IFERROR(__xludf.DUMMYFUNCTION("""COMPUTED_VALUE"""),"")</f>
        <v/>
      </c>
      <c r="AH80" s="2" t="str">
        <f ca="1">IFERROR(__xludf.DUMMYFUNCTION("""COMPUTED_VALUE"""),"")</f>
        <v/>
      </c>
      <c r="AI80" s="2" t="str">
        <f ca="1">IFERROR(__xludf.DUMMYFUNCTION("""COMPUTED_VALUE"""),"")</f>
        <v/>
      </c>
      <c r="AJ80" s="2" t="str">
        <f ca="1">IFERROR(__xludf.DUMMYFUNCTION("""COMPUTED_VALUE"""),"")</f>
        <v/>
      </c>
      <c r="AK80" s="2" t="str">
        <f ca="1">IFERROR(__xludf.DUMMYFUNCTION("""COMPUTED_VALUE"""),"")</f>
        <v/>
      </c>
      <c r="AL80" s="2" t="str">
        <f ca="1">IFERROR(__xludf.DUMMYFUNCTION("""COMPUTED_VALUE"""),"")</f>
        <v/>
      </c>
      <c r="AM80" s="2" t="str">
        <f ca="1">IFERROR(__xludf.DUMMYFUNCTION("""COMPUTED_VALUE"""),"")</f>
        <v/>
      </c>
      <c r="AN80" s="2" t="str">
        <f ca="1">IFERROR(__xludf.DUMMYFUNCTION("""COMPUTED_VALUE"""),"")</f>
        <v/>
      </c>
      <c r="AO80" s="2" t="str">
        <f ca="1">IFERROR(__xludf.DUMMYFUNCTION("""COMPUTED_VALUE"""),"")</f>
        <v/>
      </c>
      <c r="AP80" s="2" t="str">
        <f ca="1">IFERROR(__xludf.DUMMYFUNCTION("""COMPUTED_VALUE"""),"")</f>
        <v/>
      </c>
      <c r="AQ80" s="2" t="str">
        <f ca="1">IFERROR(__xludf.DUMMYFUNCTION("""COMPUTED_VALUE"""),"")</f>
        <v/>
      </c>
      <c r="AR80" s="2" t="str">
        <f ca="1">IFERROR(__xludf.DUMMYFUNCTION("""COMPUTED_VALUE"""),"")</f>
        <v/>
      </c>
      <c r="AS80" s="2" t="str">
        <f ca="1">IFERROR(__xludf.DUMMYFUNCTION("""COMPUTED_VALUE"""),"")</f>
        <v/>
      </c>
      <c r="AT80" s="2" t="str">
        <f ca="1">IFERROR(__xludf.DUMMYFUNCTION("""COMPUTED_VALUE"""),"")</f>
        <v/>
      </c>
      <c r="AU80" s="2" t="str">
        <f ca="1">IFERROR(__xludf.DUMMYFUNCTION("""COMPUTED_VALUE"""),"")</f>
        <v/>
      </c>
      <c r="AV80" s="2" t="str">
        <f ca="1">IFERROR(__xludf.DUMMYFUNCTION("""COMPUTED_VALUE"""),"")</f>
        <v/>
      </c>
      <c r="AW80" s="2" t="str">
        <f ca="1">IFERROR(__xludf.DUMMYFUNCTION("""COMPUTED_VALUE"""),"")</f>
        <v/>
      </c>
      <c r="AX80" s="2" t="str">
        <f ca="1">IFERROR(__xludf.DUMMYFUNCTION("""COMPUTED_VALUE"""),"")</f>
        <v/>
      </c>
      <c r="AY80" s="2" t="str">
        <f ca="1">IFERROR(__xludf.DUMMYFUNCTION("""COMPUTED_VALUE"""),"")</f>
        <v/>
      </c>
      <c r="AZ80" s="2" t="str">
        <f ca="1">IFERROR(__xludf.DUMMYFUNCTION("""COMPUTED_VALUE"""),"3D")</f>
        <v>3D</v>
      </c>
      <c r="BA80" s="2">
        <f ca="1">IFERROR(__xludf.DUMMYFUNCTION("""COMPUTED_VALUE"""),1906983)</f>
        <v>1906983</v>
      </c>
      <c r="BB80" s="2">
        <f ca="1">IFERROR(__xludf.DUMMYFUNCTION("""COMPUTED_VALUE"""),5812362)</f>
        <v>5812362</v>
      </c>
      <c r="BC80" s="2" t="str">
        <f ca="1">IFERROR(__xludf.DUMMYFUNCTION("""COMPUTED_VALUE"""),"CRC = OK; Lat = -37.784565; Long = 176.4857788")</f>
        <v>CRC = OK; Lat = -37.784565; Long = 176.4857788</v>
      </c>
      <c r="BD80" s="2" t="str">
        <f ca="1">IFERROR(__xludf.DUMMYFUNCTION("""COMPUTED_VALUE"""),"")</f>
        <v/>
      </c>
      <c r="BE80" s="2" t="str">
        <f ca="1">IFERROR(__xludf.DUMMYFUNCTION("""COMPUTED_VALUE"""),"")</f>
        <v/>
      </c>
      <c r="BF80" t="str">
        <f ca="1">IFERROR(__xludf.DUMMYFUNCTION("""COMPUTED_VALUE"""),"")</f>
        <v/>
      </c>
      <c r="BG80" t="str">
        <f ca="1">IFERROR(__xludf.DUMMYFUNCTION("""COMPUTED_VALUE"""),"")</f>
        <v/>
      </c>
      <c r="BH80" t="str">
        <f ca="1">IFERROR(__xludf.DUMMYFUNCTION("""COMPUTED_VALUE"""),"")</f>
        <v/>
      </c>
      <c r="BI80" t="str">
        <f ca="1">IFERROR(__xludf.DUMMYFUNCTION("""COMPUTED_VALUE"""),"")</f>
        <v/>
      </c>
      <c r="BJ80" s="3" t="str">
        <f ca="1">IFERROR(__xludf.DUMMYFUNCTION("""COMPUTED_VALUE"""),"")</f>
        <v/>
      </c>
    </row>
    <row r="81" spans="1:62" ht="12.5" x14ac:dyDescent="0.25">
      <c r="A81" s="6">
        <f ca="1">IFERROR(__xludf.DUMMYFUNCTION("""COMPUTED_VALUE"""),43303.9176893287)</f>
        <v>43303.9176893287</v>
      </c>
      <c r="B81" s="2" t="str">
        <f ca="1">IFERROR(__xludf.DUMMYFUNCTION("""COMPUTED_VALUE"""),"Bay of Plenty")</f>
        <v>Bay of Plenty</v>
      </c>
      <c r="C81" s="2" t="str">
        <f ca="1">IFERROR(__xludf.DUMMYFUNCTION("""COMPUTED_VALUE"""),"Tx 17 - Teddy")</f>
        <v>Tx 17 - Teddy</v>
      </c>
      <c r="D81" s="10">
        <f ca="1">IFERROR(__xludf.DUMMYFUNCTION("""COMPUTED_VALUE"""),43273)</f>
        <v>43273</v>
      </c>
      <c r="E81" s="4">
        <f ca="1">IFERROR(__xludf.DUMMYFUNCTION("""COMPUTED_VALUE"""),0.33333333333212)</f>
        <v>0.33333333333212001</v>
      </c>
      <c r="F81" s="2" t="str">
        <f ca="1">IFERROR(__xludf.DUMMYFUNCTION("""COMPUTED_VALUE"""),"Little Waihi")</f>
        <v>Little Waihi</v>
      </c>
      <c r="G81" s="2" t="str">
        <f ca="1">IFERROR(__xludf.DUMMYFUNCTION("""COMPUTED_VALUE"""),"GPS: I converted data downloaded from ARGOS using Pinpoint software")</f>
        <v>GPS: I converted data downloaded from ARGOS using Pinpoint software</v>
      </c>
      <c r="H81" s="2" t="str">
        <f ca="1">IFERROR(__xludf.DUMMYFUNCTION("""COMPUTED_VALUE"""),"")</f>
        <v/>
      </c>
      <c r="I81" s="2" t="str">
        <f ca="1">IFERROR(__xludf.DUMMYFUNCTION("""COMPUTED_VALUE"""),"")</f>
        <v/>
      </c>
      <c r="J81" s="2" t="str">
        <f ca="1">IFERROR(__xludf.DUMMYFUNCTION("""COMPUTED_VALUE"""),"")</f>
        <v/>
      </c>
      <c r="K81" s="2" t="str">
        <f ca="1">IFERROR(__xludf.DUMMYFUNCTION("""COMPUTED_VALUE"""),"")</f>
        <v/>
      </c>
      <c r="L81" s="2" t="str">
        <f ca="1">IFERROR(__xludf.DUMMYFUNCTION("""COMPUTED_VALUE"""),"")</f>
        <v/>
      </c>
      <c r="M81" s="5" t="str">
        <f ca="1">IFERROR(__xludf.DUMMYFUNCTION("""COMPUTED_VALUE"""),"")</f>
        <v/>
      </c>
      <c r="N81" s="5" t="str">
        <f ca="1">IFERROR(__xludf.DUMMYFUNCTION("""COMPUTED_VALUE"""),"")</f>
        <v/>
      </c>
      <c r="O81" s="2" t="str">
        <f ca="1">IFERROR(__xludf.DUMMYFUNCTION("""COMPUTED_VALUE"""),"")</f>
        <v/>
      </c>
      <c r="P81" s="2" t="str">
        <f ca="1">IFERROR(__xludf.DUMMYFUNCTION("""COMPUTED_VALUE"""),"")</f>
        <v/>
      </c>
      <c r="Q81" s="2" t="str">
        <f ca="1">IFERROR(__xludf.DUMMYFUNCTION("""COMPUTED_VALUE"""),"")</f>
        <v/>
      </c>
      <c r="R81" s="2" t="str">
        <f ca="1">IFERROR(__xludf.DUMMYFUNCTION("""COMPUTED_VALUE"""),"")</f>
        <v/>
      </c>
      <c r="S81" s="2" t="str">
        <f ca="1">IFERROR(__xludf.DUMMYFUNCTION("""COMPUTED_VALUE"""),"")</f>
        <v/>
      </c>
      <c r="T81" s="2" t="str">
        <f ca="1">IFERROR(__xludf.DUMMYFUNCTION("""COMPUTED_VALUE"""),"")</f>
        <v/>
      </c>
      <c r="U81" s="2" t="str">
        <f ca="1">IFERROR(__xludf.DUMMYFUNCTION("""COMPUTED_VALUE"""),"")</f>
        <v/>
      </c>
      <c r="V81" s="2" t="str">
        <f ca="1">IFERROR(__xludf.DUMMYFUNCTION("""COMPUTED_VALUE"""),"")</f>
        <v/>
      </c>
      <c r="W81" s="2" t="str">
        <f ca="1">IFERROR(__xludf.DUMMYFUNCTION("""COMPUTED_VALUE"""),"")</f>
        <v/>
      </c>
      <c r="X81" s="2" t="str">
        <f ca="1">IFERROR(__xludf.DUMMYFUNCTION("""COMPUTED_VALUE"""),"")</f>
        <v/>
      </c>
      <c r="Y81" s="2" t="str">
        <f ca="1">IFERROR(__xludf.DUMMYFUNCTION("""COMPUTED_VALUE"""),"")</f>
        <v/>
      </c>
      <c r="Z81" s="2" t="str">
        <f ca="1">IFERROR(__xludf.DUMMYFUNCTION("""COMPUTED_VALUE"""),"")</f>
        <v/>
      </c>
      <c r="AA81" s="2" t="str">
        <f ca="1">IFERROR(__xludf.DUMMYFUNCTION("""COMPUTED_VALUE"""),"")</f>
        <v/>
      </c>
      <c r="AB81" s="2" t="str">
        <f ca="1">IFERROR(__xludf.DUMMYFUNCTION("""COMPUTED_VALUE"""),"")</f>
        <v/>
      </c>
      <c r="AC81" s="2" t="str">
        <f ca="1">IFERROR(__xludf.DUMMYFUNCTION("""COMPUTED_VALUE"""),"")</f>
        <v/>
      </c>
      <c r="AD81" s="2" t="str">
        <f ca="1">IFERROR(__xludf.DUMMYFUNCTION("""COMPUTED_VALUE"""),"")</f>
        <v/>
      </c>
      <c r="AE81" s="2" t="str">
        <f ca="1">IFERROR(__xludf.DUMMYFUNCTION("""COMPUTED_VALUE"""),"")</f>
        <v/>
      </c>
      <c r="AF81" s="2" t="str">
        <f ca="1">IFERROR(__xludf.DUMMYFUNCTION("""COMPUTED_VALUE"""),"")</f>
        <v/>
      </c>
      <c r="AG81" s="2" t="str">
        <f ca="1">IFERROR(__xludf.DUMMYFUNCTION("""COMPUTED_VALUE"""),"")</f>
        <v/>
      </c>
      <c r="AH81" s="2" t="str">
        <f ca="1">IFERROR(__xludf.DUMMYFUNCTION("""COMPUTED_VALUE"""),"")</f>
        <v/>
      </c>
      <c r="AI81" s="2" t="str">
        <f ca="1">IFERROR(__xludf.DUMMYFUNCTION("""COMPUTED_VALUE"""),"")</f>
        <v/>
      </c>
      <c r="AJ81" s="2" t="str">
        <f ca="1">IFERROR(__xludf.DUMMYFUNCTION("""COMPUTED_VALUE"""),"")</f>
        <v/>
      </c>
      <c r="AK81" s="2" t="str">
        <f ca="1">IFERROR(__xludf.DUMMYFUNCTION("""COMPUTED_VALUE"""),"")</f>
        <v/>
      </c>
      <c r="AL81" s="2" t="str">
        <f ca="1">IFERROR(__xludf.DUMMYFUNCTION("""COMPUTED_VALUE"""),"")</f>
        <v/>
      </c>
      <c r="AM81" s="2" t="str">
        <f ca="1">IFERROR(__xludf.DUMMYFUNCTION("""COMPUTED_VALUE"""),"")</f>
        <v/>
      </c>
      <c r="AN81" s="2" t="str">
        <f ca="1">IFERROR(__xludf.DUMMYFUNCTION("""COMPUTED_VALUE"""),"")</f>
        <v/>
      </c>
      <c r="AO81" s="2" t="str">
        <f ca="1">IFERROR(__xludf.DUMMYFUNCTION("""COMPUTED_VALUE"""),"")</f>
        <v/>
      </c>
      <c r="AP81" s="2" t="str">
        <f ca="1">IFERROR(__xludf.DUMMYFUNCTION("""COMPUTED_VALUE"""),"")</f>
        <v/>
      </c>
      <c r="AQ81" s="2" t="str">
        <f ca="1">IFERROR(__xludf.DUMMYFUNCTION("""COMPUTED_VALUE"""),"")</f>
        <v/>
      </c>
      <c r="AR81" s="2" t="str">
        <f ca="1">IFERROR(__xludf.DUMMYFUNCTION("""COMPUTED_VALUE"""),"")</f>
        <v/>
      </c>
      <c r="AS81" s="2" t="str">
        <f ca="1">IFERROR(__xludf.DUMMYFUNCTION("""COMPUTED_VALUE"""),"")</f>
        <v/>
      </c>
      <c r="AT81" s="2" t="str">
        <f ca="1">IFERROR(__xludf.DUMMYFUNCTION("""COMPUTED_VALUE"""),"")</f>
        <v/>
      </c>
      <c r="AU81" s="2" t="str">
        <f ca="1">IFERROR(__xludf.DUMMYFUNCTION("""COMPUTED_VALUE"""),"")</f>
        <v/>
      </c>
      <c r="AV81" s="2" t="str">
        <f ca="1">IFERROR(__xludf.DUMMYFUNCTION("""COMPUTED_VALUE"""),"")</f>
        <v/>
      </c>
      <c r="AW81" s="2" t="str">
        <f ca="1">IFERROR(__xludf.DUMMYFUNCTION("""COMPUTED_VALUE"""),"")</f>
        <v/>
      </c>
      <c r="AX81" s="2" t="str">
        <f ca="1">IFERROR(__xludf.DUMMYFUNCTION("""COMPUTED_VALUE"""),"")</f>
        <v/>
      </c>
      <c r="AY81" s="2" t="str">
        <f ca="1">IFERROR(__xludf.DUMMYFUNCTION("""COMPUTED_VALUE"""),"")</f>
        <v/>
      </c>
      <c r="AZ81" s="2" t="str">
        <f ca="1">IFERROR(__xludf.DUMMYFUNCTION("""COMPUTED_VALUE"""),"3D")</f>
        <v>3D</v>
      </c>
      <c r="BA81" s="2">
        <f ca="1">IFERROR(__xludf.DUMMYFUNCTION("""COMPUTED_VALUE"""),1907079)</f>
        <v>1907079</v>
      </c>
      <c r="BB81" s="2">
        <f ca="1">IFERROR(__xludf.DUMMYFUNCTION("""COMPUTED_VALUE"""),5812712)</f>
        <v>5812712</v>
      </c>
      <c r="BC81" s="2" t="str">
        <f ca="1">IFERROR(__xludf.DUMMYFUNCTION("""COMPUTED_VALUE"""),"CRC = OK; Lat = -37.7813873; Long = 176.4867249")</f>
        <v>CRC = OK; Lat = -37.7813873; Long = 176.4867249</v>
      </c>
      <c r="BD81" s="2" t="str">
        <f ca="1">IFERROR(__xludf.DUMMYFUNCTION("""COMPUTED_VALUE"""),"")</f>
        <v/>
      </c>
      <c r="BE81" s="2" t="str">
        <f ca="1">IFERROR(__xludf.DUMMYFUNCTION("""COMPUTED_VALUE"""),"")</f>
        <v/>
      </c>
      <c r="BF81" t="str">
        <f ca="1">IFERROR(__xludf.DUMMYFUNCTION("""COMPUTED_VALUE"""),"")</f>
        <v/>
      </c>
      <c r="BG81" t="str">
        <f ca="1">IFERROR(__xludf.DUMMYFUNCTION("""COMPUTED_VALUE"""),"")</f>
        <v/>
      </c>
      <c r="BH81" t="str">
        <f ca="1">IFERROR(__xludf.DUMMYFUNCTION("""COMPUTED_VALUE"""),"")</f>
        <v/>
      </c>
      <c r="BI81" t="str">
        <f ca="1">IFERROR(__xludf.DUMMYFUNCTION("""COMPUTED_VALUE"""),"")</f>
        <v/>
      </c>
      <c r="BJ81" s="3" t="str">
        <f ca="1">IFERROR(__xludf.DUMMYFUNCTION("""COMPUTED_VALUE"""),"")</f>
        <v/>
      </c>
    </row>
    <row r="82" spans="1:62" ht="12.5" x14ac:dyDescent="0.25">
      <c r="A82" s="6">
        <f ca="1">IFERROR(__xludf.DUMMYFUNCTION("""COMPUTED_VALUE"""),43303.9192396296)</f>
        <v>43303.919239629598</v>
      </c>
      <c r="B82" s="2" t="str">
        <f ca="1">IFERROR(__xludf.DUMMYFUNCTION("""COMPUTED_VALUE"""),"Bay of Plenty")</f>
        <v>Bay of Plenty</v>
      </c>
      <c r="C82" s="2" t="str">
        <f ca="1">IFERROR(__xludf.DUMMYFUNCTION("""COMPUTED_VALUE"""),"Tx 17 - Teddy")</f>
        <v>Tx 17 - Teddy</v>
      </c>
      <c r="D82" s="10">
        <f ca="1">IFERROR(__xludf.DUMMYFUNCTION("""COMPUTED_VALUE"""),43280)</f>
        <v>43280</v>
      </c>
      <c r="E82" s="4">
        <f ca="1">IFERROR(__xludf.DUMMYFUNCTION("""COMPUTED_VALUE"""),0.33194444444598)</f>
        <v>0.33194444444597998</v>
      </c>
      <c r="F82" s="2" t="str">
        <f ca="1">IFERROR(__xludf.DUMMYFUNCTION("""COMPUTED_VALUE"""),"Little Waihi")</f>
        <v>Little Waihi</v>
      </c>
      <c r="G82" s="2" t="str">
        <f ca="1">IFERROR(__xludf.DUMMYFUNCTION("""COMPUTED_VALUE"""),"GPS: I converted data downloaded from ARGOS using Pinpoint software")</f>
        <v>GPS: I converted data downloaded from ARGOS using Pinpoint software</v>
      </c>
      <c r="H82" s="2" t="str">
        <f ca="1">IFERROR(__xludf.DUMMYFUNCTION("""COMPUTED_VALUE"""),"")</f>
        <v/>
      </c>
      <c r="I82" s="2" t="str">
        <f ca="1">IFERROR(__xludf.DUMMYFUNCTION("""COMPUTED_VALUE"""),"")</f>
        <v/>
      </c>
      <c r="J82" s="2" t="str">
        <f ca="1">IFERROR(__xludf.DUMMYFUNCTION("""COMPUTED_VALUE"""),"")</f>
        <v/>
      </c>
      <c r="K82" s="2" t="str">
        <f ca="1">IFERROR(__xludf.DUMMYFUNCTION("""COMPUTED_VALUE"""),"")</f>
        <v/>
      </c>
      <c r="L82" s="2" t="str">
        <f ca="1">IFERROR(__xludf.DUMMYFUNCTION("""COMPUTED_VALUE"""),"")</f>
        <v/>
      </c>
      <c r="M82" s="5" t="str">
        <f ca="1">IFERROR(__xludf.DUMMYFUNCTION("""COMPUTED_VALUE"""),"")</f>
        <v/>
      </c>
      <c r="N82" s="5" t="str">
        <f ca="1">IFERROR(__xludf.DUMMYFUNCTION("""COMPUTED_VALUE"""),"")</f>
        <v/>
      </c>
      <c r="O82" s="2" t="str">
        <f ca="1">IFERROR(__xludf.DUMMYFUNCTION("""COMPUTED_VALUE"""),"")</f>
        <v/>
      </c>
      <c r="P82" s="2" t="str">
        <f ca="1">IFERROR(__xludf.DUMMYFUNCTION("""COMPUTED_VALUE"""),"")</f>
        <v/>
      </c>
      <c r="Q82" s="2" t="str">
        <f ca="1">IFERROR(__xludf.DUMMYFUNCTION("""COMPUTED_VALUE"""),"")</f>
        <v/>
      </c>
      <c r="R82" s="2" t="str">
        <f ca="1">IFERROR(__xludf.DUMMYFUNCTION("""COMPUTED_VALUE"""),"")</f>
        <v/>
      </c>
      <c r="S82" s="2" t="str">
        <f ca="1">IFERROR(__xludf.DUMMYFUNCTION("""COMPUTED_VALUE"""),"")</f>
        <v/>
      </c>
      <c r="T82" s="2" t="str">
        <f ca="1">IFERROR(__xludf.DUMMYFUNCTION("""COMPUTED_VALUE"""),"")</f>
        <v/>
      </c>
      <c r="U82" s="2" t="str">
        <f ca="1">IFERROR(__xludf.DUMMYFUNCTION("""COMPUTED_VALUE"""),"")</f>
        <v/>
      </c>
      <c r="V82" s="2" t="str">
        <f ca="1">IFERROR(__xludf.DUMMYFUNCTION("""COMPUTED_VALUE"""),"")</f>
        <v/>
      </c>
      <c r="W82" s="2" t="str">
        <f ca="1">IFERROR(__xludf.DUMMYFUNCTION("""COMPUTED_VALUE"""),"")</f>
        <v/>
      </c>
      <c r="X82" s="2" t="str">
        <f ca="1">IFERROR(__xludf.DUMMYFUNCTION("""COMPUTED_VALUE"""),"")</f>
        <v/>
      </c>
      <c r="Y82" s="2" t="str">
        <f ca="1">IFERROR(__xludf.DUMMYFUNCTION("""COMPUTED_VALUE"""),"")</f>
        <v/>
      </c>
      <c r="Z82" s="2" t="str">
        <f ca="1">IFERROR(__xludf.DUMMYFUNCTION("""COMPUTED_VALUE"""),"")</f>
        <v/>
      </c>
      <c r="AA82" s="2" t="str">
        <f ca="1">IFERROR(__xludf.DUMMYFUNCTION("""COMPUTED_VALUE"""),"")</f>
        <v/>
      </c>
      <c r="AB82" s="2" t="str">
        <f ca="1">IFERROR(__xludf.DUMMYFUNCTION("""COMPUTED_VALUE"""),"")</f>
        <v/>
      </c>
      <c r="AC82" s="2" t="str">
        <f ca="1">IFERROR(__xludf.DUMMYFUNCTION("""COMPUTED_VALUE"""),"")</f>
        <v/>
      </c>
      <c r="AD82" s="2" t="str">
        <f ca="1">IFERROR(__xludf.DUMMYFUNCTION("""COMPUTED_VALUE"""),"")</f>
        <v/>
      </c>
      <c r="AE82" s="2" t="str">
        <f ca="1">IFERROR(__xludf.DUMMYFUNCTION("""COMPUTED_VALUE"""),"")</f>
        <v/>
      </c>
      <c r="AF82" s="2" t="str">
        <f ca="1">IFERROR(__xludf.DUMMYFUNCTION("""COMPUTED_VALUE"""),"")</f>
        <v/>
      </c>
      <c r="AG82" s="2" t="str">
        <f ca="1">IFERROR(__xludf.DUMMYFUNCTION("""COMPUTED_VALUE"""),"")</f>
        <v/>
      </c>
      <c r="AH82" s="2" t="str">
        <f ca="1">IFERROR(__xludf.DUMMYFUNCTION("""COMPUTED_VALUE"""),"")</f>
        <v/>
      </c>
      <c r="AI82" s="2" t="str">
        <f ca="1">IFERROR(__xludf.DUMMYFUNCTION("""COMPUTED_VALUE"""),"")</f>
        <v/>
      </c>
      <c r="AJ82" s="2" t="str">
        <f ca="1">IFERROR(__xludf.DUMMYFUNCTION("""COMPUTED_VALUE"""),"")</f>
        <v/>
      </c>
      <c r="AK82" s="2" t="str">
        <f ca="1">IFERROR(__xludf.DUMMYFUNCTION("""COMPUTED_VALUE"""),"")</f>
        <v/>
      </c>
      <c r="AL82" s="2" t="str">
        <f ca="1">IFERROR(__xludf.DUMMYFUNCTION("""COMPUTED_VALUE"""),"")</f>
        <v/>
      </c>
      <c r="AM82" s="2" t="str">
        <f ca="1">IFERROR(__xludf.DUMMYFUNCTION("""COMPUTED_VALUE"""),"")</f>
        <v/>
      </c>
      <c r="AN82" s="2" t="str">
        <f ca="1">IFERROR(__xludf.DUMMYFUNCTION("""COMPUTED_VALUE"""),"")</f>
        <v/>
      </c>
      <c r="AO82" s="2" t="str">
        <f ca="1">IFERROR(__xludf.DUMMYFUNCTION("""COMPUTED_VALUE"""),"")</f>
        <v/>
      </c>
      <c r="AP82" s="2" t="str">
        <f ca="1">IFERROR(__xludf.DUMMYFUNCTION("""COMPUTED_VALUE"""),"")</f>
        <v/>
      </c>
      <c r="AQ82" s="2" t="str">
        <f ca="1">IFERROR(__xludf.DUMMYFUNCTION("""COMPUTED_VALUE"""),"")</f>
        <v/>
      </c>
      <c r="AR82" s="2" t="str">
        <f ca="1">IFERROR(__xludf.DUMMYFUNCTION("""COMPUTED_VALUE"""),"")</f>
        <v/>
      </c>
      <c r="AS82" s="2" t="str">
        <f ca="1">IFERROR(__xludf.DUMMYFUNCTION("""COMPUTED_VALUE"""),"")</f>
        <v/>
      </c>
      <c r="AT82" s="2" t="str">
        <f ca="1">IFERROR(__xludf.DUMMYFUNCTION("""COMPUTED_VALUE"""),"")</f>
        <v/>
      </c>
      <c r="AU82" s="2" t="str">
        <f ca="1">IFERROR(__xludf.DUMMYFUNCTION("""COMPUTED_VALUE"""),"")</f>
        <v/>
      </c>
      <c r="AV82" s="2" t="str">
        <f ca="1">IFERROR(__xludf.DUMMYFUNCTION("""COMPUTED_VALUE"""),"")</f>
        <v/>
      </c>
      <c r="AW82" s="2" t="str">
        <f ca="1">IFERROR(__xludf.DUMMYFUNCTION("""COMPUTED_VALUE"""),"")</f>
        <v/>
      </c>
      <c r="AX82" s="2" t="str">
        <f ca="1">IFERROR(__xludf.DUMMYFUNCTION("""COMPUTED_VALUE"""),"")</f>
        <v/>
      </c>
      <c r="AY82" s="2" t="str">
        <f ca="1">IFERROR(__xludf.DUMMYFUNCTION("""COMPUTED_VALUE"""),"")</f>
        <v/>
      </c>
      <c r="AZ82" s="2" t="str">
        <f ca="1">IFERROR(__xludf.DUMMYFUNCTION("""COMPUTED_VALUE"""),"3D")</f>
        <v>3D</v>
      </c>
      <c r="BA82" s="2">
        <f ca="1">IFERROR(__xludf.DUMMYFUNCTION("""COMPUTED_VALUE"""),1907488)</f>
        <v>1907488</v>
      </c>
      <c r="BB82" s="2">
        <f ca="1">IFERROR(__xludf.DUMMYFUNCTION("""COMPUTED_VALUE"""),5812722)</f>
        <v>5812722</v>
      </c>
      <c r="BC82" s="2" t="str">
        <f ca="1">IFERROR(__xludf.DUMMYFUNCTION("""COMPUTED_VALUE"""),"CRC = OK; LAT = -37.7811584; LONG = 176.4913483")</f>
        <v>CRC = OK; LAT = -37.7811584; LONG = 176.4913483</v>
      </c>
      <c r="BD82" s="2" t="str">
        <f ca="1">IFERROR(__xludf.DUMMYFUNCTION("""COMPUTED_VALUE"""),"")</f>
        <v/>
      </c>
      <c r="BE82" s="2" t="str">
        <f ca="1">IFERROR(__xludf.DUMMYFUNCTION("""COMPUTED_VALUE"""),"")</f>
        <v/>
      </c>
      <c r="BF82" t="str">
        <f ca="1">IFERROR(__xludf.DUMMYFUNCTION("""COMPUTED_VALUE"""),"")</f>
        <v/>
      </c>
      <c r="BG82" t="str">
        <f ca="1">IFERROR(__xludf.DUMMYFUNCTION("""COMPUTED_VALUE"""),"")</f>
        <v/>
      </c>
      <c r="BH82" t="str">
        <f ca="1">IFERROR(__xludf.DUMMYFUNCTION("""COMPUTED_VALUE"""),"")</f>
        <v/>
      </c>
      <c r="BI82" t="str">
        <f ca="1">IFERROR(__xludf.DUMMYFUNCTION("""COMPUTED_VALUE"""),"")</f>
        <v/>
      </c>
      <c r="BJ82" s="3" t="str">
        <f ca="1">IFERROR(__xludf.DUMMYFUNCTION("""COMPUTED_VALUE"""),"")</f>
        <v/>
      </c>
    </row>
    <row r="83" spans="1:62" ht="12.5" x14ac:dyDescent="0.25">
      <c r="A83" s="6">
        <f ca="1">IFERROR(__xludf.DUMMYFUNCTION("""COMPUTED_VALUE"""),43303.9239635069)</f>
        <v>43303.923963506903</v>
      </c>
      <c r="B83" s="2" t="str">
        <f ca="1">IFERROR(__xludf.DUMMYFUNCTION("""COMPUTED_VALUE"""),"Bay of Plenty")</f>
        <v>Bay of Plenty</v>
      </c>
      <c r="C83" s="2" t="str">
        <f ca="1">IFERROR(__xludf.DUMMYFUNCTION("""COMPUTED_VALUE"""),"Tx 17 - Teddy")</f>
        <v>Tx 17 - Teddy</v>
      </c>
      <c r="D83" s="10">
        <f ca="1">IFERROR(__xludf.DUMMYFUNCTION("""COMPUTED_VALUE"""),43287)</f>
        <v>43287</v>
      </c>
      <c r="E83" s="4">
        <f ca="1">IFERROR(__xludf.DUMMYFUNCTION("""COMPUTED_VALUE"""),0.33333333333212)</f>
        <v>0.33333333333212001</v>
      </c>
      <c r="F83" s="2" t="str">
        <f ca="1">IFERROR(__xludf.DUMMYFUNCTION("""COMPUTED_VALUE"""),"Little Waihi")</f>
        <v>Little Waihi</v>
      </c>
      <c r="G83" s="2" t="str">
        <f ca="1">IFERROR(__xludf.DUMMYFUNCTION("""COMPUTED_VALUE"""),"GPS: I converted data downloaded from ARGOS using Pinpoint software")</f>
        <v>GPS: I converted data downloaded from ARGOS using Pinpoint software</v>
      </c>
      <c r="H83" s="2" t="str">
        <f ca="1">IFERROR(__xludf.DUMMYFUNCTION("""COMPUTED_VALUE"""),"")</f>
        <v/>
      </c>
      <c r="I83" s="2" t="str">
        <f ca="1">IFERROR(__xludf.DUMMYFUNCTION("""COMPUTED_VALUE"""),"")</f>
        <v/>
      </c>
      <c r="J83" s="2" t="str">
        <f ca="1">IFERROR(__xludf.DUMMYFUNCTION("""COMPUTED_VALUE"""),"")</f>
        <v/>
      </c>
      <c r="K83" s="2" t="str">
        <f ca="1">IFERROR(__xludf.DUMMYFUNCTION("""COMPUTED_VALUE"""),"")</f>
        <v/>
      </c>
      <c r="L83" s="2" t="str">
        <f ca="1">IFERROR(__xludf.DUMMYFUNCTION("""COMPUTED_VALUE"""),"")</f>
        <v/>
      </c>
      <c r="M83" s="5" t="str">
        <f ca="1">IFERROR(__xludf.DUMMYFUNCTION("""COMPUTED_VALUE"""),"")</f>
        <v/>
      </c>
      <c r="N83" s="5" t="str">
        <f ca="1">IFERROR(__xludf.DUMMYFUNCTION("""COMPUTED_VALUE"""),"")</f>
        <v/>
      </c>
      <c r="O83" s="2" t="str">
        <f ca="1">IFERROR(__xludf.DUMMYFUNCTION("""COMPUTED_VALUE"""),"")</f>
        <v/>
      </c>
      <c r="P83" s="2" t="str">
        <f ca="1">IFERROR(__xludf.DUMMYFUNCTION("""COMPUTED_VALUE"""),"")</f>
        <v/>
      </c>
      <c r="Q83" s="2" t="str">
        <f ca="1">IFERROR(__xludf.DUMMYFUNCTION("""COMPUTED_VALUE"""),"")</f>
        <v/>
      </c>
      <c r="R83" s="2" t="str">
        <f ca="1">IFERROR(__xludf.DUMMYFUNCTION("""COMPUTED_VALUE"""),"")</f>
        <v/>
      </c>
      <c r="S83" s="2" t="str">
        <f ca="1">IFERROR(__xludf.DUMMYFUNCTION("""COMPUTED_VALUE"""),"")</f>
        <v/>
      </c>
      <c r="T83" s="2" t="str">
        <f ca="1">IFERROR(__xludf.DUMMYFUNCTION("""COMPUTED_VALUE"""),"")</f>
        <v/>
      </c>
      <c r="U83" s="2" t="str">
        <f ca="1">IFERROR(__xludf.DUMMYFUNCTION("""COMPUTED_VALUE"""),"")</f>
        <v/>
      </c>
      <c r="V83" s="2" t="str">
        <f ca="1">IFERROR(__xludf.DUMMYFUNCTION("""COMPUTED_VALUE"""),"")</f>
        <v/>
      </c>
      <c r="W83" s="2" t="str">
        <f ca="1">IFERROR(__xludf.DUMMYFUNCTION("""COMPUTED_VALUE"""),"")</f>
        <v/>
      </c>
      <c r="X83" s="2" t="str">
        <f ca="1">IFERROR(__xludf.DUMMYFUNCTION("""COMPUTED_VALUE"""),"")</f>
        <v/>
      </c>
      <c r="Y83" s="2" t="str">
        <f ca="1">IFERROR(__xludf.DUMMYFUNCTION("""COMPUTED_VALUE"""),"")</f>
        <v/>
      </c>
      <c r="Z83" s="2" t="str">
        <f ca="1">IFERROR(__xludf.DUMMYFUNCTION("""COMPUTED_VALUE"""),"")</f>
        <v/>
      </c>
      <c r="AA83" s="2" t="str">
        <f ca="1">IFERROR(__xludf.DUMMYFUNCTION("""COMPUTED_VALUE"""),"")</f>
        <v/>
      </c>
      <c r="AB83" s="2" t="str">
        <f ca="1">IFERROR(__xludf.DUMMYFUNCTION("""COMPUTED_VALUE"""),"")</f>
        <v/>
      </c>
      <c r="AC83" s="2" t="str">
        <f ca="1">IFERROR(__xludf.DUMMYFUNCTION("""COMPUTED_VALUE"""),"")</f>
        <v/>
      </c>
      <c r="AD83" s="2" t="str">
        <f ca="1">IFERROR(__xludf.DUMMYFUNCTION("""COMPUTED_VALUE"""),"")</f>
        <v/>
      </c>
      <c r="AE83" s="2" t="str">
        <f ca="1">IFERROR(__xludf.DUMMYFUNCTION("""COMPUTED_VALUE"""),"")</f>
        <v/>
      </c>
      <c r="AF83" s="2" t="str">
        <f ca="1">IFERROR(__xludf.DUMMYFUNCTION("""COMPUTED_VALUE"""),"")</f>
        <v/>
      </c>
      <c r="AG83" s="2" t="str">
        <f ca="1">IFERROR(__xludf.DUMMYFUNCTION("""COMPUTED_VALUE"""),"")</f>
        <v/>
      </c>
      <c r="AH83" s="2" t="str">
        <f ca="1">IFERROR(__xludf.DUMMYFUNCTION("""COMPUTED_VALUE"""),"")</f>
        <v/>
      </c>
      <c r="AI83" s="2" t="str">
        <f ca="1">IFERROR(__xludf.DUMMYFUNCTION("""COMPUTED_VALUE"""),"")</f>
        <v/>
      </c>
      <c r="AJ83" s="2" t="str">
        <f ca="1">IFERROR(__xludf.DUMMYFUNCTION("""COMPUTED_VALUE"""),"")</f>
        <v/>
      </c>
      <c r="AK83" s="2" t="str">
        <f ca="1">IFERROR(__xludf.DUMMYFUNCTION("""COMPUTED_VALUE"""),"")</f>
        <v/>
      </c>
      <c r="AL83" s="2" t="str">
        <f ca="1">IFERROR(__xludf.DUMMYFUNCTION("""COMPUTED_VALUE"""),"")</f>
        <v/>
      </c>
      <c r="AM83" s="2" t="str">
        <f ca="1">IFERROR(__xludf.DUMMYFUNCTION("""COMPUTED_VALUE"""),"")</f>
        <v/>
      </c>
      <c r="AN83" s="2" t="str">
        <f ca="1">IFERROR(__xludf.DUMMYFUNCTION("""COMPUTED_VALUE"""),"")</f>
        <v/>
      </c>
      <c r="AO83" s="2" t="str">
        <f ca="1">IFERROR(__xludf.DUMMYFUNCTION("""COMPUTED_VALUE"""),"")</f>
        <v/>
      </c>
      <c r="AP83" s="2" t="str">
        <f ca="1">IFERROR(__xludf.DUMMYFUNCTION("""COMPUTED_VALUE"""),"")</f>
        <v/>
      </c>
      <c r="AQ83" s="2" t="str">
        <f ca="1">IFERROR(__xludf.DUMMYFUNCTION("""COMPUTED_VALUE"""),"")</f>
        <v/>
      </c>
      <c r="AR83" s="2" t="str">
        <f ca="1">IFERROR(__xludf.DUMMYFUNCTION("""COMPUTED_VALUE"""),"")</f>
        <v/>
      </c>
      <c r="AS83" s="2" t="str">
        <f ca="1">IFERROR(__xludf.DUMMYFUNCTION("""COMPUTED_VALUE"""),"")</f>
        <v/>
      </c>
      <c r="AT83" s="2" t="str">
        <f ca="1">IFERROR(__xludf.DUMMYFUNCTION("""COMPUTED_VALUE"""),"")</f>
        <v/>
      </c>
      <c r="AU83" s="2" t="str">
        <f ca="1">IFERROR(__xludf.DUMMYFUNCTION("""COMPUTED_VALUE"""),"")</f>
        <v/>
      </c>
      <c r="AV83" s="2" t="str">
        <f ca="1">IFERROR(__xludf.DUMMYFUNCTION("""COMPUTED_VALUE"""),"")</f>
        <v/>
      </c>
      <c r="AW83" s="2" t="str">
        <f ca="1">IFERROR(__xludf.DUMMYFUNCTION("""COMPUTED_VALUE"""),"")</f>
        <v/>
      </c>
      <c r="AX83" s="2" t="str">
        <f ca="1">IFERROR(__xludf.DUMMYFUNCTION("""COMPUTED_VALUE"""),"")</f>
        <v/>
      </c>
      <c r="AY83" s="2" t="str">
        <f ca="1">IFERROR(__xludf.DUMMYFUNCTION("""COMPUTED_VALUE"""),"")</f>
        <v/>
      </c>
      <c r="AZ83" s="2" t="str">
        <f ca="1">IFERROR(__xludf.DUMMYFUNCTION("""COMPUTED_VALUE"""),"3D")</f>
        <v>3D</v>
      </c>
      <c r="BA83" s="2">
        <f ca="1">IFERROR(__xludf.DUMMYFUNCTION("""COMPUTED_VALUE"""),1906832)</f>
        <v>1906832</v>
      </c>
      <c r="BB83" s="2">
        <f ca="1">IFERROR(__xludf.DUMMYFUNCTION("""COMPUTED_VALUE"""),5813108)</f>
        <v>5813108</v>
      </c>
      <c r="BC83" s="2" t="str">
        <f ca="1">IFERROR(__xludf.DUMMYFUNCTION("""COMPUTED_VALUE"""),"CRC = OK; LAT = -37.7779083; LONG = 176.4837494")</f>
        <v>CRC = OK; LAT = -37.7779083; LONG = 176.4837494</v>
      </c>
      <c r="BD83" s="2" t="str">
        <f ca="1">IFERROR(__xludf.DUMMYFUNCTION("""COMPUTED_VALUE"""),"")</f>
        <v/>
      </c>
      <c r="BE83" s="2" t="str">
        <f ca="1">IFERROR(__xludf.DUMMYFUNCTION("""COMPUTED_VALUE"""),"")</f>
        <v/>
      </c>
      <c r="BF83" t="str">
        <f ca="1">IFERROR(__xludf.DUMMYFUNCTION("""COMPUTED_VALUE"""),"")</f>
        <v/>
      </c>
      <c r="BG83" t="str">
        <f ca="1">IFERROR(__xludf.DUMMYFUNCTION("""COMPUTED_VALUE"""),"")</f>
        <v/>
      </c>
      <c r="BH83" t="str">
        <f ca="1">IFERROR(__xludf.DUMMYFUNCTION("""COMPUTED_VALUE"""),"")</f>
        <v/>
      </c>
      <c r="BI83" t="str">
        <f ca="1">IFERROR(__xludf.DUMMYFUNCTION("""COMPUTED_VALUE"""),"")</f>
        <v/>
      </c>
      <c r="BJ83" s="3" t="str">
        <f ca="1">IFERROR(__xludf.DUMMYFUNCTION("""COMPUTED_VALUE"""),"")</f>
        <v/>
      </c>
    </row>
    <row r="84" spans="1:62" ht="12.5" x14ac:dyDescent="0.25">
      <c r="A84" s="6">
        <f ca="1">IFERROR(__xludf.DUMMYFUNCTION("""COMPUTED_VALUE"""),43303.9253499652)</f>
        <v>43303.925349965197</v>
      </c>
      <c r="B84" s="2" t="str">
        <f ca="1">IFERROR(__xludf.DUMMYFUNCTION("""COMPUTED_VALUE"""),"Bay of Plenty")</f>
        <v>Bay of Plenty</v>
      </c>
      <c r="C84" s="2" t="str">
        <f ca="1">IFERROR(__xludf.DUMMYFUNCTION("""COMPUTED_VALUE"""),"Tx 17 - Teddy")</f>
        <v>Tx 17 - Teddy</v>
      </c>
      <c r="D84" s="10">
        <f ca="1">IFERROR(__xludf.DUMMYFUNCTION("""COMPUTED_VALUE"""),43294)</f>
        <v>43294</v>
      </c>
      <c r="E84" s="4">
        <f ca="1">IFERROR(__xludf.DUMMYFUNCTION("""COMPUTED_VALUE"""),0.33194444444598)</f>
        <v>0.33194444444597998</v>
      </c>
      <c r="F84" s="2" t="str">
        <f ca="1">IFERROR(__xludf.DUMMYFUNCTION("""COMPUTED_VALUE"""),"Little Waihi")</f>
        <v>Little Waihi</v>
      </c>
      <c r="G84" s="2" t="str">
        <f ca="1">IFERROR(__xludf.DUMMYFUNCTION("""COMPUTED_VALUE"""),"GPS: I converted data downloaded from ARGOS using Pinpoint software")</f>
        <v>GPS: I converted data downloaded from ARGOS using Pinpoint software</v>
      </c>
      <c r="H84" s="2" t="str">
        <f ca="1">IFERROR(__xludf.DUMMYFUNCTION("""COMPUTED_VALUE"""),"")</f>
        <v/>
      </c>
      <c r="I84" s="2" t="str">
        <f ca="1">IFERROR(__xludf.DUMMYFUNCTION("""COMPUTED_VALUE"""),"")</f>
        <v/>
      </c>
      <c r="J84" s="2" t="str">
        <f ca="1">IFERROR(__xludf.DUMMYFUNCTION("""COMPUTED_VALUE"""),"")</f>
        <v/>
      </c>
      <c r="K84" s="2" t="str">
        <f ca="1">IFERROR(__xludf.DUMMYFUNCTION("""COMPUTED_VALUE"""),"")</f>
        <v/>
      </c>
      <c r="L84" s="2" t="str">
        <f ca="1">IFERROR(__xludf.DUMMYFUNCTION("""COMPUTED_VALUE"""),"")</f>
        <v/>
      </c>
      <c r="M84" s="5" t="str">
        <f ca="1">IFERROR(__xludf.DUMMYFUNCTION("""COMPUTED_VALUE"""),"")</f>
        <v/>
      </c>
      <c r="N84" s="5" t="str">
        <f ca="1">IFERROR(__xludf.DUMMYFUNCTION("""COMPUTED_VALUE"""),"")</f>
        <v/>
      </c>
      <c r="O84" s="2" t="str">
        <f ca="1">IFERROR(__xludf.DUMMYFUNCTION("""COMPUTED_VALUE"""),"")</f>
        <v/>
      </c>
      <c r="P84" s="2" t="str">
        <f ca="1">IFERROR(__xludf.DUMMYFUNCTION("""COMPUTED_VALUE"""),"")</f>
        <v/>
      </c>
      <c r="Q84" s="2" t="str">
        <f ca="1">IFERROR(__xludf.DUMMYFUNCTION("""COMPUTED_VALUE"""),"")</f>
        <v/>
      </c>
      <c r="R84" s="2" t="str">
        <f ca="1">IFERROR(__xludf.DUMMYFUNCTION("""COMPUTED_VALUE"""),"")</f>
        <v/>
      </c>
      <c r="S84" s="2" t="str">
        <f ca="1">IFERROR(__xludf.DUMMYFUNCTION("""COMPUTED_VALUE"""),"")</f>
        <v/>
      </c>
      <c r="T84" s="2" t="str">
        <f ca="1">IFERROR(__xludf.DUMMYFUNCTION("""COMPUTED_VALUE"""),"")</f>
        <v/>
      </c>
      <c r="U84" s="2" t="str">
        <f ca="1">IFERROR(__xludf.DUMMYFUNCTION("""COMPUTED_VALUE"""),"")</f>
        <v/>
      </c>
      <c r="V84" s="2" t="str">
        <f ca="1">IFERROR(__xludf.DUMMYFUNCTION("""COMPUTED_VALUE"""),"")</f>
        <v/>
      </c>
      <c r="W84" s="2" t="str">
        <f ca="1">IFERROR(__xludf.DUMMYFUNCTION("""COMPUTED_VALUE"""),"")</f>
        <v/>
      </c>
      <c r="X84" s="2" t="str">
        <f ca="1">IFERROR(__xludf.DUMMYFUNCTION("""COMPUTED_VALUE"""),"")</f>
        <v/>
      </c>
      <c r="Y84" s="2" t="str">
        <f ca="1">IFERROR(__xludf.DUMMYFUNCTION("""COMPUTED_VALUE"""),"")</f>
        <v/>
      </c>
      <c r="Z84" s="2" t="str">
        <f ca="1">IFERROR(__xludf.DUMMYFUNCTION("""COMPUTED_VALUE"""),"")</f>
        <v/>
      </c>
      <c r="AA84" s="2" t="str">
        <f ca="1">IFERROR(__xludf.DUMMYFUNCTION("""COMPUTED_VALUE"""),"")</f>
        <v/>
      </c>
      <c r="AB84" s="2" t="str">
        <f ca="1">IFERROR(__xludf.DUMMYFUNCTION("""COMPUTED_VALUE"""),"")</f>
        <v/>
      </c>
      <c r="AC84" s="2" t="str">
        <f ca="1">IFERROR(__xludf.DUMMYFUNCTION("""COMPUTED_VALUE"""),"")</f>
        <v/>
      </c>
      <c r="AD84" s="2" t="str">
        <f ca="1">IFERROR(__xludf.DUMMYFUNCTION("""COMPUTED_VALUE"""),"")</f>
        <v/>
      </c>
      <c r="AE84" s="2" t="str">
        <f ca="1">IFERROR(__xludf.DUMMYFUNCTION("""COMPUTED_VALUE"""),"")</f>
        <v/>
      </c>
      <c r="AF84" s="2" t="str">
        <f ca="1">IFERROR(__xludf.DUMMYFUNCTION("""COMPUTED_VALUE"""),"")</f>
        <v/>
      </c>
      <c r="AG84" s="2" t="str">
        <f ca="1">IFERROR(__xludf.DUMMYFUNCTION("""COMPUTED_VALUE"""),"")</f>
        <v/>
      </c>
      <c r="AH84" s="2" t="str">
        <f ca="1">IFERROR(__xludf.DUMMYFUNCTION("""COMPUTED_VALUE"""),"")</f>
        <v/>
      </c>
      <c r="AI84" s="2" t="str">
        <f ca="1">IFERROR(__xludf.DUMMYFUNCTION("""COMPUTED_VALUE"""),"")</f>
        <v/>
      </c>
      <c r="AJ84" s="2" t="str">
        <f ca="1">IFERROR(__xludf.DUMMYFUNCTION("""COMPUTED_VALUE"""),"")</f>
        <v/>
      </c>
      <c r="AK84" s="2" t="str">
        <f ca="1">IFERROR(__xludf.DUMMYFUNCTION("""COMPUTED_VALUE"""),"")</f>
        <v/>
      </c>
      <c r="AL84" s="2" t="str">
        <f ca="1">IFERROR(__xludf.DUMMYFUNCTION("""COMPUTED_VALUE"""),"")</f>
        <v/>
      </c>
      <c r="AM84" s="2" t="str">
        <f ca="1">IFERROR(__xludf.DUMMYFUNCTION("""COMPUTED_VALUE"""),"")</f>
        <v/>
      </c>
      <c r="AN84" s="2" t="str">
        <f ca="1">IFERROR(__xludf.DUMMYFUNCTION("""COMPUTED_VALUE"""),"")</f>
        <v/>
      </c>
      <c r="AO84" s="2" t="str">
        <f ca="1">IFERROR(__xludf.DUMMYFUNCTION("""COMPUTED_VALUE"""),"")</f>
        <v/>
      </c>
      <c r="AP84" s="2" t="str">
        <f ca="1">IFERROR(__xludf.DUMMYFUNCTION("""COMPUTED_VALUE"""),"")</f>
        <v/>
      </c>
      <c r="AQ84" s="2" t="str">
        <f ca="1">IFERROR(__xludf.DUMMYFUNCTION("""COMPUTED_VALUE"""),"")</f>
        <v/>
      </c>
      <c r="AR84" s="2" t="str">
        <f ca="1">IFERROR(__xludf.DUMMYFUNCTION("""COMPUTED_VALUE"""),"")</f>
        <v/>
      </c>
      <c r="AS84" s="2" t="str">
        <f ca="1">IFERROR(__xludf.DUMMYFUNCTION("""COMPUTED_VALUE"""),"")</f>
        <v/>
      </c>
      <c r="AT84" s="2" t="str">
        <f ca="1">IFERROR(__xludf.DUMMYFUNCTION("""COMPUTED_VALUE"""),"")</f>
        <v/>
      </c>
      <c r="AU84" s="2" t="str">
        <f ca="1">IFERROR(__xludf.DUMMYFUNCTION("""COMPUTED_VALUE"""),"")</f>
        <v/>
      </c>
      <c r="AV84" s="2" t="str">
        <f ca="1">IFERROR(__xludf.DUMMYFUNCTION("""COMPUTED_VALUE"""),"")</f>
        <v/>
      </c>
      <c r="AW84" s="2" t="str">
        <f ca="1">IFERROR(__xludf.DUMMYFUNCTION("""COMPUTED_VALUE"""),"")</f>
        <v/>
      </c>
      <c r="AX84" s="2" t="str">
        <f ca="1">IFERROR(__xludf.DUMMYFUNCTION("""COMPUTED_VALUE"""),"")</f>
        <v/>
      </c>
      <c r="AY84" s="2" t="str">
        <f ca="1">IFERROR(__xludf.DUMMYFUNCTION("""COMPUTED_VALUE"""),"")</f>
        <v/>
      </c>
      <c r="AZ84" s="2" t="str">
        <f ca="1">IFERROR(__xludf.DUMMYFUNCTION("""COMPUTED_VALUE"""),"3D")</f>
        <v>3D</v>
      </c>
      <c r="BA84" s="2">
        <f ca="1">IFERROR(__xludf.DUMMYFUNCTION("""COMPUTED_VALUE"""),1906780)</f>
        <v>1906780</v>
      </c>
      <c r="BB84" s="2">
        <f ca="1">IFERROR(__xludf.DUMMYFUNCTION("""COMPUTED_VALUE"""),5813178)</f>
        <v>5813178</v>
      </c>
      <c r="BC84" s="2" t="str">
        <f ca="1">IFERROR(__xludf.DUMMYFUNCTION("""COMPUTED_VALUE"""),"CRC = OK; LAT = -37.7772942; LONG = 176.483139")</f>
        <v>CRC = OK; LAT = -37.7772942; LONG = 176.483139</v>
      </c>
      <c r="BD84" s="2" t="str">
        <f ca="1">IFERROR(__xludf.DUMMYFUNCTION("""COMPUTED_VALUE"""),"")</f>
        <v/>
      </c>
      <c r="BE84" s="2" t="str">
        <f ca="1">IFERROR(__xludf.DUMMYFUNCTION("""COMPUTED_VALUE"""),"")</f>
        <v/>
      </c>
      <c r="BF84" t="str">
        <f ca="1">IFERROR(__xludf.DUMMYFUNCTION("""COMPUTED_VALUE"""),"")</f>
        <v/>
      </c>
      <c r="BG84" t="str">
        <f ca="1">IFERROR(__xludf.DUMMYFUNCTION("""COMPUTED_VALUE"""),"")</f>
        <v/>
      </c>
      <c r="BH84" t="str">
        <f ca="1">IFERROR(__xludf.DUMMYFUNCTION("""COMPUTED_VALUE"""),"")</f>
        <v/>
      </c>
      <c r="BI84" t="str">
        <f ca="1">IFERROR(__xludf.DUMMYFUNCTION("""COMPUTED_VALUE"""),"")</f>
        <v/>
      </c>
      <c r="BJ84" s="3" t="str">
        <f ca="1">IFERROR(__xludf.DUMMYFUNCTION("""COMPUTED_VALUE"""),"")</f>
        <v/>
      </c>
    </row>
    <row r="85" spans="1:62" ht="12.5" x14ac:dyDescent="0.25">
      <c r="A85" s="6">
        <f ca="1">IFERROR(__xludf.DUMMYFUNCTION("""COMPUTED_VALUE"""),43303.9274604166)</f>
        <v>43303.927460416598</v>
      </c>
      <c r="B85" s="2" t="str">
        <f ca="1">IFERROR(__xludf.DUMMYFUNCTION("""COMPUTED_VALUE"""),"Bay of Plenty")</f>
        <v>Bay of Plenty</v>
      </c>
      <c r="C85" s="2" t="str">
        <f ca="1">IFERROR(__xludf.DUMMYFUNCTION("""COMPUTED_VALUE"""),"Tx 17 - Teddy")</f>
        <v>Tx 17 - Teddy</v>
      </c>
      <c r="D85" s="10">
        <f ca="1">IFERROR(__xludf.DUMMYFUNCTION("""COMPUTED_VALUE"""),43301)</f>
        <v>43301</v>
      </c>
      <c r="E85" s="4">
        <f ca="1">IFERROR(__xludf.DUMMYFUNCTION("""COMPUTED_VALUE"""),0.33333333333212)</f>
        <v>0.33333333333212001</v>
      </c>
      <c r="F85" s="2" t="str">
        <f ca="1">IFERROR(__xludf.DUMMYFUNCTION("""COMPUTED_VALUE"""),"Little Waihi")</f>
        <v>Little Waihi</v>
      </c>
      <c r="G85" s="2" t="str">
        <f ca="1">IFERROR(__xludf.DUMMYFUNCTION("""COMPUTED_VALUE"""),"GPS: I converted data downloaded from ARGOS using Pinpoint software")</f>
        <v>GPS: I converted data downloaded from ARGOS using Pinpoint software</v>
      </c>
      <c r="H85" s="2" t="str">
        <f ca="1">IFERROR(__xludf.DUMMYFUNCTION("""COMPUTED_VALUE"""),"")</f>
        <v/>
      </c>
      <c r="I85" s="2" t="str">
        <f ca="1">IFERROR(__xludf.DUMMYFUNCTION("""COMPUTED_VALUE"""),"")</f>
        <v/>
      </c>
      <c r="J85" s="2" t="str">
        <f ca="1">IFERROR(__xludf.DUMMYFUNCTION("""COMPUTED_VALUE"""),"")</f>
        <v/>
      </c>
      <c r="K85" s="2" t="str">
        <f ca="1">IFERROR(__xludf.DUMMYFUNCTION("""COMPUTED_VALUE"""),"")</f>
        <v/>
      </c>
      <c r="L85" s="2" t="str">
        <f ca="1">IFERROR(__xludf.DUMMYFUNCTION("""COMPUTED_VALUE"""),"")</f>
        <v/>
      </c>
      <c r="M85" s="5" t="str">
        <f ca="1">IFERROR(__xludf.DUMMYFUNCTION("""COMPUTED_VALUE"""),"")</f>
        <v/>
      </c>
      <c r="N85" s="5" t="str">
        <f ca="1">IFERROR(__xludf.DUMMYFUNCTION("""COMPUTED_VALUE"""),"")</f>
        <v/>
      </c>
      <c r="O85" s="2" t="str">
        <f ca="1">IFERROR(__xludf.DUMMYFUNCTION("""COMPUTED_VALUE"""),"")</f>
        <v/>
      </c>
      <c r="P85" s="2" t="str">
        <f ca="1">IFERROR(__xludf.DUMMYFUNCTION("""COMPUTED_VALUE"""),"")</f>
        <v/>
      </c>
      <c r="Q85" s="2" t="str">
        <f ca="1">IFERROR(__xludf.DUMMYFUNCTION("""COMPUTED_VALUE"""),"")</f>
        <v/>
      </c>
      <c r="R85" s="2" t="str">
        <f ca="1">IFERROR(__xludf.DUMMYFUNCTION("""COMPUTED_VALUE"""),"")</f>
        <v/>
      </c>
      <c r="S85" s="2" t="str">
        <f ca="1">IFERROR(__xludf.DUMMYFUNCTION("""COMPUTED_VALUE"""),"")</f>
        <v/>
      </c>
      <c r="T85" s="2" t="str">
        <f ca="1">IFERROR(__xludf.DUMMYFUNCTION("""COMPUTED_VALUE"""),"")</f>
        <v/>
      </c>
      <c r="U85" s="2" t="str">
        <f ca="1">IFERROR(__xludf.DUMMYFUNCTION("""COMPUTED_VALUE"""),"")</f>
        <v/>
      </c>
      <c r="V85" s="2" t="str">
        <f ca="1">IFERROR(__xludf.DUMMYFUNCTION("""COMPUTED_VALUE"""),"")</f>
        <v/>
      </c>
      <c r="W85" s="2" t="str">
        <f ca="1">IFERROR(__xludf.DUMMYFUNCTION("""COMPUTED_VALUE"""),"")</f>
        <v/>
      </c>
      <c r="X85" s="2" t="str">
        <f ca="1">IFERROR(__xludf.DUMMYFUNCTION("""COMPUTED_VALUE"""),"")</f>
        <v/>
      </c>
      <c r="Y85" s="2" t="str">
        <f ca="1">IFERROR(__xludf.DUMMYFUNCTION("""COMPUTED_VALUE"""),"")</f>
        <v/>
      </c>
      <c r="Z85" s="2" t="str">
        <f ca="1">IFERROR(__xludf.DUMMYFUNCTION("""COMPUTED_VALUE"""),"")</f>
        <v/>
      </c>
      <c r="AA85" s="2" t="str">
        <f ca="1">IFERROR(__xludf.DUMMYFUNCTION("""COMPUTED_VALUE"""),"")</f>
        <v/>
      </c>
      <c r="AB85" s="2" t="str">
        <f ca="1">IFERROR(__xludf.DUMMYFUNCTION("""COMPUTED_VALUE"""),"")</f>
        <v/>
      </c>
      <c r="AC85" s="2" t="str">
        <f ca="1">IFERROR(__xludf.DUMMYFUNCTION("""COMPUTED_VALUE"""),"")</f>
        <v/>
      </c>
      <c r="AD85" s="2" t="str">
        <f ca="1">IFERROR(__xludf.DUMMYFUNCTION("""COMPUTED_VALUE"""),"")</f>
        <v/>
      </c>
      <c r="AE85" s="2" t="str">
        <f ca="1">IFERROR(__xludf.DUMMYFUNCTION("""COMPUTED_VALUE"""),"")</f>
        <v/>
      </c>
      <c r="AF85" s="2" t="str">
        <f ca="1">IFERROR(__xludf.DUMMYFUNCTION("""COMPUTED_VALUE"""),"")</f>
        <v/>
      </c>
      <c r="AG85" s="2" t="str">
        <f ca="1">IFERROR(__xludf.DUMMYFUNCTION("""COMPUTED_VALUE"""),"")</f>
        <v/>
      </c>
      <c r="AH85" s="2" t="str">
        <f ca="1">IFERROR(__xludf.DUMMYFUNCTION("""COMPUTED_VALUE"""),"")</f>
        <v/>
      </c>
      <c r="AI85" s="2" t="str">
        <f ca="1">IFERROR(__xludf.DUMMYFUNCTION("""COMPUTED_VALUE"""),"")</f>
        <v/>
      </c>
      <c r="AJ85" s="2" t="str">
        <f ca="1">IFERROR(__xludf.DUMMYFUNCTION("""COMPUTED_VALUE"""),"")</f>
        <v/>
      </c>
      <c r="AK85" s="2" t="str">
        <f ca="1">IFERROR(__xludf.DUMMYFUNCTION("""COMPUTED_VALUE"""),"")</f>
        <v/>
      </c>
      <c r="AL85" s="2" t="str">
        <f ca="1">IFERROR(__xludf.DUMMYFUNCTION("""COMPUTED_VALUE"""),"")</f>
        <v/>
      </c>
      <c r="AM85" s="2" t="str">
        <f ca="1">IFERROR(__xludf.DUMMYFUNCTION("""COMPUTED_VALUE"""),"")</f>
        <v/>
      </c>
      <c r="AN85" s="2" t="str">
        <f ca="1">IFERROR(__xludf.DUMMYFUNCTION("""COMPUTED_VALUE"""),"")</f>
        <v/>
      </c>
      <c r="AO85" s="2" t="str">
        <f ca="1">IFERROR(__xludf.DUMMYFUNCTION("""COMPUTED_VALUE"""),"")</f>
        <v/>
      </c>
      <c r="AP85" s="2" t="str">
        <f ca="1">IFERROR(__xludf.DUMMYFUNCTION("""COMPUTED_VALUE"""),"")</f>
        <v/>
      </c>
      <c r="AQ85" s="2" t="str">
        <f ca="1">IFERROR(__xludf.DUMMYFUNCTION("""COMPUTED_VALUE"""),"")</f>
        <v/>
      </c>
      <c r="AR85" s="2" t="str">
        <f ca="1">IFERROR(__xludf.DUMMYFUNCTION("""COMPUTED_VALUE"""),"")</f>
        <v/>
      </c>
      <c r="AS85" s="2" t="str">
        <f ca="1">IFERROR(__xludf.DUMMYFUNCTION("""COMPUTED_VALUE"""),"")</f>
        <v/>
      </c>
      <c r="AT85" s="2" t="str">
        <f ca="1">IFERROR(__xludf.DUMMYFUNCTION("""COMPUTED_VALUE"""),"")</f>
        <v/>
      </c>
      <c r="AU85" s="2" t="str">
        <f ca="1">IFERROR(__xludf.DUMMYFUNCTION("""COMPUTED_VALUE"""),"")</f>
        <v/>
      </c>
      <c r="AV85" s="2" t="str">
        <f ca="1">IFERROR(__xludf.DUMMYFUNCTION("""COMPUTED_VALUE"""),"")</f>
        <v/>
      </c>
      <c r="AW85" s="2" t="str">
        <f ca="1">IFERROR(__xludf.DUMMYFUNCTION("""COMPUTED_VALUE"""),"")</f>
        <v/>
      </c>
      <c r="AX85" s="2" t="str">
        <f ca="1">IFERROR(__xludf.DUMMYFUNCTION("""COMPUTED_VALUE"""),"")</f>
        <v/>
      </c>
      <c r="AY85" s="2" t="str">
        <f ca="1">IFERROR(__xludf.DUMMYFUNCTION("""COMPUTED_VALUE"""),"")</f>
        <v/>
      </c>
      <c r="AZ85" s="2" t="str">
        <f ca="1">IFERROR(__xludf.DUMMYFUNCTION("""COMPUTED_VALUE""")," 3D")</f>
        <v xml:space="preserve"> 3D</v>
      </c>
      <c r="BA85" s="2">
        <f ca="1">IFERROR(__xludf.DUMMYFUNCTION("""COMPUTED_VALUE"""),1906798)</f>
        <v>1906798</v>
      </c>
      <c r="BB85" s="2">
        <f ca="1">IFERROR(__xludf.DUMMYFUNCTION("""COMPUTED_VALUE"""),5812995)</f>
        <v>5812995</v>
      </c>
      <c r="BC85" s="2" t="str">
        <f ca="1">IFERROR(__xludf.DUMMYFUNCTION("""COMPUTED_VALUE"""),"CRC = OK; LAT = -37.7789307; LONG = 176.4834137")</f>
        <v>CRC = OK; LAT = -37.7789307; LONG = 176.4834137</v>
      </c>
      <c r="BD85" s="2" t="str">
        <f ca="1">IFERROR(__xludf.DUMMYFUNCTION("""COMPUTED_VALUE"""),"")</f>
        <v/>
      </c>
      <c r="BE85" s="2" t="str">
        <f ca="1">IFERROR(__xludf.DUMMYFUNCTION("""COMPUTED_VALUE"""),"")</f>
        <v/>
      </c>
      <c r="BF85" t="str">
        <f ca="1">IFERROR(__xludf.DUMMYFUNCTION("""COMPUTED_VALUE"""),"")</f>
        <v/>
      </c>
      <c r="BG85" t="str">
        <f ca="1">IFERROR(__xludf.DUMMYFUNCTION("""COMPUTED_VALUE"""),"")</f>
        <v/>
      </c>
      <c r="BH85" t="str">
        <f ca="1">IFERROR(__xludf.DUMMYFUNCTION("""COMPUTED_VALUE"""),"")</f>
        <v/>
      </c>
      <c r="BI85" t="str">
        <f ca="1">IFERROR(__xludf.DUMMYFUNCTION("""COMPUTED_VALUE"""),"")</f>
        <v/>
      </c>
      <c r="BJ85" s="3" t="str">
        <f ca="1">IFERROR(__xludf.DUMMYFUNCTION("""COMPUTED_VALUE"""),"")</f>
        <v/>
      </c>
    </row>
    <row r="86" spans="1:62" ht="12.5" x14ac:dyDescent="0.25">
      <c r="A86" s="6">
        <f ca="1">IFERROR(__xludf.DUMMYFUNCTION("""COMPUTED_VALUE"""),43303.9290507291)</f>
        <v>43303.929050729101</v>
      </c>
      <c r="B86" s="2" t="str">
        <f ca="1">IFERROR(__xludf.DUMMYFUNCTION("""COMPUTED_VALUE"""),"Bay of Plenty")</f>
        <v>Bay of Plenty</v>
      </c>
      <c r="C86" s="2" t="str">
        <f ca="1">IFERROR(__xludf.DUMMYFUNCTION("""COMPUTED_VALUE"""),"Tx 17 - Teddy")</f>
        <v>Tx 17 - Teddy</v>
      </c>
      <c r="D86" s="10">
        <f ca="1">IFERROR(__xludf.DUMMYFUNCTION("""COMPUTED_VALUE"""),43302)</f>
        <v>43302</v>
      </c>
      <c r="E86" s="4">
        <f ca="1">IFERROR(__xludf.DUMMYFUNCTION("""COMPUTED_VALUE"""),0.67638888888905)</f>
        <v>0.67638888888905002</v>
      </c>
      <c r="F86" s="2" t="str">
        <f ca="1">IFERROR(__xludf.DUMMYFUNCTION("""COMPUTED_VALUE"""),"Little Waihi")</f>
        <v>Little Waihi</v>
      </c>
      <c r="G86" s="2" t="str">
        <f ca="1">IFERROR(__xludf.DUMMYFUNCTION("""COMPUTED_VALUE"""),"GPS: I converted data downloaded from ARGOS using Pinpoint software")</f>
        <v>GPS: I converted data downloaded from ARGOS using Pinpoint software</v>
      </c>
      <c r="H86" s="2" t="str">
        <f ca="1">IFERROR(__xludf.DUMMYFUNCTION("""COMPUTED_VALUE"""),"")</f>
        <v/>
      </c>
      <c r="I86" s="2" t="str">
        <f ca="1">IFERROR(__xludf.DUMMYFUNCTION("""COMPUTED_VALUE"""),"")</f>
        <v/>
      </c>
      <c r="J86" s="2" t="str">
        <f ca="1">IFERROR(__xludf.DUMMYFUNCTION("""COMPUTED_VALUE"""),"")</f>
        <v/>
      </c>
      <c r="K86" s="2" t="str">
        <f ca="1">IFERROR(__xludf.DUMMYFUNCTION("""COMPUTED_VALUE"""),"")</f>
        <v/>
      </c>
      <c r="L86" s="2" t="str">
        <f ca="1">IFERROR(__xludf.DUMMYFUNCTION("""COMPUTED_VALUE"""),"")</f>
        <v/>
      </c>
      <c r="M86" s="5" t="str">
        <f ca="1">IFERROR(__xludf.DUMMYFUNCTION("""COMPUTED_VALUE"""),"")</f>
        <v/>
      </c>
      <c r="N86" s="5" t="str">
        <f ca="1">IFERROR(__xludf.DUMMYFUNCTION("""COMPUTED_VALUE"""),"")</f>
        <v/>
      </c>
      <c r="O86" s="2" t="str">
        <f ca="1">IFERROR(__xludf.DUMMYFUNCTION("""COMPUTED_VALUE"""),"")</f>
        <v/>
      </c>
      <c r="P86" s="2" t="str">
        <f ca="1">IFERROR(__xludf.DUMMYFUNCTION("""COMPUTED_VALUE"""),"")</f>
        <v/>
      </c>
      <c r="Q86" s="2" t="str">
        <f ca="1">IFERROR(__xludf.DUMMYFUNCTION("""COMPUTED_VALUE"""),"")</f>
        <v/>
      </c>
      <c r="R86" s="2" t="str">
        <f ca="1">IFERROR(__xludf.DUMMYFUNCTION("""COMPUTED_VALUE"""),"")</f>
        <v/>
      </c>
      <c r="S86" s="2" t="str">
        <f ca="1">IFERROR(__xludf.DUMMYFUNCTION("""COMPUTED_VALUE"""),"")</f>
        <v/>
      </c>
      <c r="T86" s="2" t="str">
        <f ca="1">IFERROR(__xludf.DUMMYFUNCTION("""COMPUTED_VALUE"""),"")</f>
        <v/>
      </c>
      <c r="U86" s="2" t="str">
        <f ca="1">IFERROR(__xludf.DUMMYFUNCTION("""COMPUTED_VALUE"""),"")</f>
        <v/>
      </c>
      <c r="V86" s="2" t="str">
        <f ca="1">IFERROR(__xludf.DUMMYFUNCTION("""COMPUTED_VALUE"""),"")</f>
        <v/>
      </c>
      <c r="W86" s="2" t="str">
        <f ca="1">IFERROR(__xludf.DUMMYFUNCTION("""COMPUTED_VALUE"""),"")</f>
        <v/>
      </c>
      <c r="X86" s="2" t="str">
        <f ca="1">IFERROR(__xludf.DUMMYFUNCTION("""COMPUTED_VALUE"""),"")</f>
        <v/>
      </c>
      <c r="Y86" s="2" t="str">
        <f ca="1">IFERROR(__xludf.DUMMYFUNCTION("""COMPUTED_VALUE"""),"")</f>
        <v/>
      </c>
      <c r="Z86" s="2" t="str">
        <f ca="1">IFERROR(__xludf.DUMMYFUNCTION("""COMPUTED_VALUE"""),"")</f>
        <v/>
      </c>
      <c r="AA86" s="2" t="str">
        <f ca="1">IFERROR(__xludf.DUMMYFUNCTION("""COMPUTED_VALUE"""),"")</f>
        <v/>
      </c>
      <c r="AB86" s="2" t="str">
        <f ca="1">IFERROR(__xludf.DUMMYFUNCTION("""COMPUTED_VALUE"""),"")</f>
        <v/>
      </c>
      <c r="AC86" s="2" t="str">
        <f ca="1">IFERROR(__xludf.DUMMYFUNCTION("""COMPUTED_VALUE"""),"")</f>
        <v/>
      </c>
      <c r="AD86" s="2" t="str">
        <f ca="1">IFERROR(__xludf.DUMMYFUNCTION("""COMPUTED_VALUE"""),"")</f>
        <v/>
      </c>
      <c r="AE86" s="2" t="str">
        <f ca="1">IFERROR(__xludf.DUMMYFUNCTION("""COMPUTED_VALUE"""),"")</f>
        <v/>
      </c>
      <c r="AF86" s="2" t="str">
        <f ca="1">IFERROR(__xludf.DUMMYFUNCTION("""COMPUTED_VALUE"""),"")</f>
        <v/>
      </c>
      <c r="AG86" s="2" t="str">
        <f ca="1">IFERROR(__xludf.DUMMYFUNCTION("""COMPUTED_VALUE"""),"")</f>
        <v/>
      </c>
      <c r="AH86" s="2" t="str">
        <f ca="1">IFERROR(__xludf.DUMMYFUNCTION("""COMPUTED_VALUE"""),"")</f>
        <v/>
      </c>
      <c r="AI86" s="2" t="str">
        <f ca="1">IFERROR(__xludf.DUMMYFUNCTION("""COMPUTED_VALUE"""),"")</f>
        <v/>
      </c>
      <c r="AJ86" s="2" t="str">
        <f ca="1">IFERROR(__xludf.DUMMYFUNCTION("""COMPUTED_VALUE"""),"")</f>
        <v/>
      </c>
      <c r="AK86" s="2" t="str">
        <f ca="1">IFERROR(__xludf.DUMMYFUNCTION("""COMPUTED_VALUE"""),"")</f>
        <v/>
      </c>
      <c r="AL86" s="2" t="str">
        <f ca="1">IFERROR(__xludf.DUMMYFUNCTION("""COMPUTED_VALUE"""),"")</f>
        <v/>
      </c>
      <c r="AM86" s="2" t="str">
        <f ca="1">IFERROR(__xludf.DUMMYFUNCTION("""COMPUTED_VALUE"""),"")</f>
        <v/>
      </c>
      <c r="AN86" s="2" t="str">
        <f ca="1">IFERROR(__xludf.DUMMYFUNCTION("""COMPUTED_VALUE"""),"")</f>
        <v/>
      </c>
      <c r="AO86" s="2" t="str">
        <f ca="1">IFERROR(__xludf.DUMMYFUNCTION("""COMPUTED_VALUE"""),"")</f>
        <v/>
      </c>
      <c r="AP86" s="2" t="str">
        <f ca="1">IFERROR(__xludf.DUMMYFUNCTION("""COMPUTED_VALUE"""),"")</f>
        <v/>
      </c>
      <c r="AQ86" s="2" t="str">
        <f ca="1">IFERROR(__xludf.DUMMYFUNCTION("""COMPUTED_VALUE"""),"")</f>
        <v/>
      </c>
      <c r="AR86" s="2" t="str">
        <f ca="1">IFERROR(__xludf.DUMMYFUNCTION("""COMPUTED_VALUE"""),"")</f>
        <v/>
      </c>
      <c r="AS86" s="2" t="str">
        <f ca="1">IFERROR(__xludf.DUMMYFUNCTION("""COMPUTED_VALUE"""),"")</f>
        <v/>
      </c>
      <c r="AT86" s="2" t="str">
        <f ca="1">IFERROR(__xludf.DUMMYFUNCTION("""COMPUTED_VALUE"""),"")</f>
        <v/>
      </c>
      <c r="AU86" s="2" t="str">
        <f ca="1">IFERROR(__xludf.DUMMYFUNCTION("""COMPUTED_VALUE"""),"")</f>
        <v/>
      </c>
      <c r="AV86" s="2" t="str">
        <f ca="1">IFERROR(__xludf.DUMMYFUNCTION("""COMPUTED_VALUE"""),"")</f>
        <v/>
      </c>
      <c r="AW86" s="2" t="str">
        <f ca="1">IFERROR(__xludf.DUMMYFUNCTION("""COMPUTED_VALUE"""),"")</f>
        <v/>
      </c>
      <c r="AX86" s="2" t="str">
        <f ca="1">IFERROR(__xludf.DUMMYFUNCTION("""COMPUTED_VALUE"""),"")</f>
        <v/>
      </c>
      <c r="AY86" s="2" t="str">
        <f ca="1">IFERROR(__xludf.DUMMYFUNCTION("""COMPUTED_VALUE"""),"")</f>
        <v/>
      </c>
      <c r="AZ86" s="2" t="str">
        <f ca="1">IFERROR(__xludf.DUMMYFUNCTION("""COMPUTED_VALUE"""),"A2")</f>
        <v>A2</v>
      </c>
      <c r="BA86" s="2">
        <f ca="1">IFERROR(__xludf.DUMMYFUNCTION("""COMPUTED_VALUE"""),1907562)</f>
        <v>1907562</v>
      </c>
      <c r="BB86" s="2">
        <f ca="1">IFERROR(__xludf.DUMMYFUNCTION("""COMPUTED_VALUE"""),5813181)</f>
        <v>5813181</v>
      </c>
      <c r="BC86" s="2" t="str">
        <f ca="1">IFERROR(__xludf.DUMMYFUNCTION("""COMPUTED_VALUE"""),"CRC = OK; LAT = -37.777; LONG = 176.492")</f>
        <v>CRC = OK; LAT = -37.777; LONG = 176.492</v>
      </c>
      <c r="BD86" s="2" t="str">
        <f ca="1">IFERROR(__xludf.DUMMYFUNCTION("""COMPUTED_VALUE"""),"")</f>
        <v/>
      </c>
      <c r="BE86" s="2" t="str">
        <f ca="1">IFERROR(__xludf.DUMMYFUNCTION("""COMPUTED_VALUE"""),"")</f>
        <v/>
      </c>
      <c r="BF86" t="str">
        <f ca="1">IFERROR(__xludf.DUMMYFUNCTION("""COMPUTED_VALUE"""),"")</f>
        <v/>
      </c>
      <c r="BG86" t="str">
        <f ca="1">IFERROR(__xludf.DUMMYFUNCTION("""COMPUTED_VALUE"""),"")</f>
        <v/>
      </c>
      <c r="BH86" t="str">
        <f ca="1">IFERROR(__xludf.DUMMYFUNCTION("""COMPUTED_VALUE"""),"")</f>
        <v/>
      </c>
      <c r="BI86" t="str">
        <f ca="1">IFERROR(__xludf.DUMMYFUNCTION("""COMPUTED_VALUE"""),"")</f>
        <v/>
      </c>
      <c r="BJ86" s="3" t="str">
        <f ca="1">IFERROR(__xludf.DUMMYFUNCTION("""COMPUTED_VALUE"""),"")</f>
        <v/>
      </c>
    </row>
    <row r="87" spans="1:62" ht="12.5" x14ac:dyDescent="0.25">
      <c r="A87" s="6">
        <f ca="1">IFERROR(__xludf.DUMMYFUNCTION("""COMPUTED_VALUE"""),43334.6644759375)</f>
        <v>43334.664475937498</v>
      </c>
      <c r="B87" s="2" t="str">
        <f ca="1">IFERROR(__xludf.DUMMYFUNCTION("""COMPUTED_VALUE"""),"Bay of Plenty")</f>
        <v>Bay of Plenty</v>
      </c>
      <c r="C87" s="2" t="str">
        <f ca="1">IFERROR(__xludf.DUMMYFUNCTION("""COMPUTED_VALUE"""),"Tx 17 - Teddy")</f>
        <v>Tx 17 - Teddy</v>
      </c>
      <c r="D87" s="10">
        <f ca="1">IFERROR(__xludf.DUMMYFUNCTION("""COMPUTED_VALUE"""),43333)</f>
        <v>43333</v>
      </c>
      <c r="E87" s="4">
        <f ca="1">IFERROR(__xludf.DUMMYFUNCTION("""COMPUTED_VALUE"""),0.729166666667879)</f>
        <v>0.72916666666787899</v>
      </c>
      <c r="F87" s="2" t="str">
        <f ca="1">IFERROR(__xludf.DUMMYFUNCTION("""COMPUTED_VALUE"""),"Little Waihi")</f>
        <v>Little Waihi</v>
      </c>
      <c r="G87" s="2" t="str">
        <f ca="1">IFERROR(__xludf.DUMMYFUNCTION("""COMPUTED_VALUE"""),"VHF (triangulation): I triangulated the bird with at least three bearings")</f>
        <v>VHF (triangulation): I triangulated the bird with at least three bearings</v>
      </c>
      <c r="H87" s="2" t="str">
        <f ca="1">IFERROR(__xludf.DUMMYFUNCTION("""COMPUTED_VALUE"""),"")</f>
        <v/>
      </c>
      <c r="I87" s="2" t="str">
        <f ca="1">IFERROR(__xludf.DUMMYFUNCTION("""COMPUTED_VALUE"""),"")</f>
        <v/>
      </c>
      <c r="J87" s="2" t="str">
        <f ca="1">IFERROR(__xludf.DUMMYFUNCTION("""COMPUTED_VALUE"""),"")</f>
        <v/>
      </c>
      <c r="K87" s="2" t="str">
        <f ca="1">IFERROR(__xludf.DUMMYFUNCTION("""COMPUTED_VALUE"""),"")</f>
        <v/>
      </c>
      <c r="L87" s="2" t="str">
        <f ca="1">IFERROR(__xludf.DUMMYFUNCTION("""COMPUTED_VALUE"""),"")</f>
        <v/>
      </c>
      <c r="M87" s="5" t="str">
        <f ca="1">IFERROR(__xludf.DUMMYFUNCTION("""COMPUTED_VALUE"""),"")</f>
        <v/>
      </c>
      <c r="N87" s="5" t="str">
        <f ca="1">IFERROR(__xludf.DUMMYFUNCTION("""COMPUTED_VALUE"""),"")</f>
        <v/>
      </c>
      <c r="O87" s="2" t="str">
        <f ca="1">IFERROR(__xludf.DUMMYFUNCTION("""COMPUTED_VALUE"""),"")</f>
        <v/>
      </c>
      <c r="P87" s="2" t="str">
        <f ca="1">IFERROR(__xludf.DUMMYFUNCTION("""COMPUTED_VALUE"""),"")</f>
        <v/>
      </c>
      <c r="Q87" s="2" t="str">
        <f ca="1">IFERROR(__xludf.DUMMYFUNCTION("""COMPUTED_VALUE"""),"")</f>
        <v/>
      </c>
      <c r="R87" s="2" t="str">
        <f ca="1">IFERROR(__xludf.DUMMYFUNCTION("""COMPUTED_VALUE"""),"")</f>
        <v/>
      </c>
      <c r="S87" s="2" t="str">
        <f ca="1">IFERROR(__xludf.DUMMYFUNCTION("""COMPUTED_VALUE"""),"")</f>
        <v/>
      </c>
      <c r="T87" s="2" t="str">
        <f ca="1">IFERROR(__xludf.DUMMYFUNCTION("""COMPUTED_VALUE"""),"")</f>
        <v/>
      </c>
      <c r="U87" s="2" t="str">
        <f ca="1">IFERROR(__xludf.DUMMYFUNCTION("""COMPUTED_VALUE"""),"")</f>
        <v/>
      </c>
      <c r="V87" s="2" t="str">
        <f ca="1">IFERROR(__xludf.DUMMYFUNCTION("""COMPUTED_VALUE"""),"")</f>
        <v/>
      </c>
      <c r="W87" s="2" t="str">
        <f ca="1">IFERROR(__xludf.DUMMYFUNCTION("""COMPUTED_VALUE"""),"")</f>
        <v/>
      </c>
      <c r="X87" s="2" t="str">
        <f ca="1">IFERROR(__xludf.DUMMYFUNCTION("""COMPUTED_VALUE"""),"")</f>
        <v/>
      </c>
      <c r="Y87" s="2" t="str">
        <f ca="1">IFERROR(__xludf.DUMMYFUNCTION("""COMPUTED_VALUE"""),"")</f>
        <v/>
      </c>
      <c r="Z87" s="2" t="str">
        <f ca="1">IFERROR(__xludf.DUMMYFUNCTION("""COMPUTED_VALUE"""),"")</f>
        <v/>
      </c>
      <c r="AA87" s="2">
        <f ca="1">IFERROR(__xludf.DUMMYFUNCTION("""COMPUTED_VALUE"""),1907681)</f>
        <v>1907681</v>
      </c>
      <c r="AB87" s="2">
        <f ca="1">IFERROR(__xludf.DUMMYFUNCTION("""COMPUTED_VALUE"""),5812258)</f>
        <v>5812258</v>
      </c>
      <c r="AC87" s="2">
        <f ca="1">IFERROR(__xludf.DUMMYFUNCTION("""COMPUTED_VALUE"""),270)</f>
        <v>270</v>
      </c>
      <c r="AD87" s="2" t="str">
        <f ca="1">IFERROR(__xludf.DUMMYFUNCTION("""COMPUTED_VALUE"""),"Medium - Signal was good but bird was not close.")</f>
        <v>Medium - Signal was good but bird was not close.</v>
      </c>
      <c r="AE87" s="2">
        <f ca="1">IFERROR(__xludf.DUMMYFUNCTION("""COMPUTED_VALUE"""),1907547)</f>
        <v>1907547</v>
      </c>
      <c r="AF87" s="2">
        <f ca="1">IFERROR(__xludf.DUMMYFUNCTION("""COMPUTED_VALUE"""),5812875)</f>
        <v>5812875</v>
      </c>
      <c r="AG87" s="2">
        <f ca="1">IFERROR(__xludf.DUMMYFUNCTION("""COMPUTED_VALUE"""),280)</f>
        <v>280</v>
      </c>
      <c r="AH87" s="2" t="str">
        <f ca="1">IFERROR(__xludf.DUMMYFUNCTION("""COMPUTED_VALUE"""),"Strong - I got a lovely, clear, strong signal.")</f>
        <v>Strong - I got a lovely, clear, strong signal.</v>
      </c>
      <c r="AI87" s="2">
        <f ca="1">IFERROR(__xludf.DUMMYFUNCTION("""COMPUTED_VALUE"""),1906958)</f>
        <v>1906958</v>
      </c>
      <c r="AJ87" s="2">
        <f ca="1">IFERROR(__xludf.DUMMYFUNCTION("""COMPUTED_VALUE"""),5813105)</f>
        <v>5813105</v>
      </c>
      <c r="AK87" s="2">
        <f ca="1">IFERROR(__xludf.DUMMYFUNCTION("""COMPUTED_VALUE"""),270)</f>
        <v>270</v>
      </c>
      <c r="AL87" s="2" t="str">
        <f ca="1">IFERROR(__xludf.DUMMYFUNCTION("""COMPUTED_VALUE"""),"Strong - I got a lovely, clear, strong signal.")</f>
        <v>Strong - I got a lovely, clear, strong signal.</v>
      </c>
      <c r="AM87" s="2">
        <f ca="1">IFERROR(__xludf.DUMMYFUNCTION("""COMPUTED_VALUE"""),1906411)</f>
        <v>1906411</v>
      </c>
      <c r="AN87" s="2">
        <f ca="1">IFERROR(__xludf.DUMMYFUNCTION("""COMPUTED_VALUE"""),5812906)</f>
        <v>5812906</v>
      </c>
      <c r="AO87" s="2">
        <f ca="1">IFERROR(__xludf.DUMMYFUNCTION("""COMPUTED_VALUE"""),80)</f>
        <v>80</v>
      </c>
      <c r="AP87" s="2" t="str">
        <f ca="1">IFERROR(__xludf.DUMMYFUNCTION("""COMPUTED_VALUE"""),"Strong - I got a lovely, clear, strong signal.")</f>
        <v>Strong - I got a lovely, clear, strong signal.</v>
      </c>
      <c r="AQ87" s="2" t="str">
        <f ca="1">IFERROR(__xludf.DUMMYFUNCTION("""COMPUTED_VALUE"""),"")</f>
        <v/>
      </c>
      <c r="AR87" s="2" t="str">
        <f ca="1">IFERROR(__xludf.DUMMYFUNCTION("""COMPUTED_VALUE"""),"")</f>
        <v/>
      </c>
      <c r="AS87" s="2" t="str">
        <f ca="1">IFERROR(__xludf.DUMMYFUNCTION("""COMPUTED_VALUE"""),"")</f>
        <v/>
      </c>
      <c r="AT87" s="2" t="str">
        <f ca="1">IFERROR(__xludf.DUMMYFUNCTION("""COMPUTED_VALUE"""),"")</f>
        <v/>
      </c>
      <c r="AU87" s="2" t="str">
        <f ca="1">IFERROR(__xludf.DUMMYFUNCTION("""COMPUTED_VALUE"""),"Tx 17 was on 'Stationary' double speed mode so we tracked it down in the marsh. The backpack was found without the bird and no sign of struggle. There was a tuft of cotton down and a bent antenna showing it had released. The location was in raupo, wet und"&amp;"erfoot. From WAMS map was approx 1906792 - 5812988 ")</f>
        <v xml:space="preserve">Tx 17 was on 'Stationary' double speed mode so we tracked it down in the marsh. The backpack was found without the bird and no sign of struggle. There was a tuft of cotton down and a bent antenna showing it had released. The location was in raupo, wet underfoot. From WAMS map was approx 1906792 - 5812988 </v>
      </c>
      <c r="AV87" s="2" t="str">
        <f ca="1">IFERROR(__xludf.DUMMYFUNCTION("""COMPUTED_VALUE"""),"")</f>
        <v/>
      </c>
      <c r="AW87" s="2" t="str">
        <f ca="1">IFERROR(__xludf.DUMMYFUNCTION("""COMPUTED_VALUE"""),"")</f>
        <v/>
      </c>
      <c r="AX87" s="2" t="str">
        <f ca="1">IFERROR(__xludf.DUMMYFUNCTION("""COMPUTED_VALUE"""),"")</f>
        <v/>
      </c>
      <c r="AY87" s="2" t="str">
        <f ca="1">IFERROR(__xludf.DUMMYFUNCTION("""COMPUTED_VALUE"""),"")</f>
        <v/>
      </c>
      <c r="AZ87" s="2" t="str">
        <f ca="1">IFERROR(__xludf.DUMMYFUNCTION("""COMPUTED_VALUE"""),"")</f>
        <v/>
      </c>
      <c r="BA87" s="2" t="str">
        <f ca="1">IFERROR(__xludf.DUMMYFUNCTION("""COMPUTED_VALUE"""),"")</f>
        <v/>
      </c>
      <c r="BB87" s="2" t="str">
        <f ca="1">IFERROR(__xludf.DUMMYFUNCTION("""COMPUTED_VALUE"""),"")</f>
        <v/>
      </c>
      <c r="BC87" s="2" t="str">
        <f ca="1">IFERROR(__xludf.DUMMYFUNCTION("""COMPUTED_VALUE"""),"")</f>
        <v/>
      </c>
      <c r="BD87" s="2" t="str">
        <f ca="1">IFERROR(__xludf.DUMMYFUNCTION("""COMPUTED_VALUE"""),"")</f>
        <v/>
      </c>
      <c r="BE87" s="2" t="str">
        <f ca="1">IFERROR(__xludf.DUMMYFUNCTION("""COMPUTED_VALUE"""),"")</f>
        <v/>
      </c>
      <c r="BF87" t="str">
        <f ca="1">IFERROR(__xludf.DUMMYFUNCTION("""COMPUTED_VALUE"""),"")</f>
        <v/>
      </c>
      <c r="BG87" t="str">
        <f ca="1">IFERROR(__xludf.DUMMYFUNCTION("""COMPUTED_VALUE"""),"")</f>
        <v/>
      </c>
      <c r="BH87" t="str">
        <f ca="1">IFERROR(__xludf.DUMMYFUNCTION("""COMPUTED_VALUE"""),"")</f>
        <v/>
      </c>
      <c r="BI87" t="str">
        <f ca="1">IFERROR(__xludf.DUMMYFUNCTION("""COMPUTED_VALUE"""),"")</f>
        <v/>
      </c>
      <c r="BJ87" s="3" t="str">
        <f ca="1">IFERROR(__xludf.DUMMYFUNCTION("""COMPUTED_VALUE"""),"")</f>
        <v/>
      </c>
    </row>
    <row r="88" spans="1:62" ht="12.5" x14ac:dyDescent="0.25">
      <c r="A88" s="6">
        <f ca="1">IFERROR(__xludf.DUMMYFUNCTION("""COMPUTED_VALUE"""),43334.7410519097)</f>
        <v>43334.741051909703</v>
      </c>
      <c r="B88" s="2" t="str">
        <f ca="1">IFERROR(__xludf.DUMMYFUNCTION("""COMPUTED_VALUE"""),"Bay of Plenty")</f>
        <v>Bay of Plenty</v>
      </c>
      <c r="C88" s="2" t="str">
        <f ca="1">IFERROR(__xludf.DUMMYFUNCTION("""COMPUTED_VALUE"""),"Tx 40 - Tumanako/Hope")</f>
        <v>Tx 40 - Tumanako/Hope</v>
      </c>
      <c r="D88" s="10">
        <f ca="1">IFERROR(__xludf.DUMMYFUNCTION("""COMPUTED_VALUE"""),43333)</f>
        <v>43333</v>
      </c>
      <c r="E88" s="4">
        <f ca="1">IFERROR(__xludf.DUMMYFUNCTION("""COMPUTED_VALUE"""),0.729166666667879)</f>
        <v>0.72916666666787899</v>
      </c>
      <c r="F88" s="2" t="str">
        <f ca="1">IFERROR(__xludf.DUMMYFUNCTION("""COMPUTED_VALUE"""),"Little Waihi")</f>
        <v>Little Waihi</v>
      </c>
      <c r="G88" s="2" t="str">
        <f ca="1">IFERROR(__xludf.DUMMYFUNCTION("""COMPUTED_VALUE"""),"VHF (triangulation): I triangulated the bird with at least three bearings")</f>
        <v>VHF (triangulation): I triangulated the bird with at least three bearings</v>
      </c>
      <c r="H88" s="2" t="str">
        <f ca="1">IFERROR(__xludf.DUMMYFUNCTION("""COMPUTED_VALUE"""),"")</f>
        <v/>
      </c>
      <c r="I88" s="2" t="str">
        <f ca="1">IFERROR(__xludf.DUMMYFUNCTION("""COMPUTED_VALUE"""),"")</f>
        <v/>
      </c>
      <c r="J88" s="2" t="str">
        <f ca="1">IFERROR(__xludf.DUMMYFUNCTION("""COMPUTED_VALUE"""),"")</f>
        <v/>
      </c>
      <c r="K88" s="2" t="str">
        <f ca="1">IFERROR(__xludf.DUMMYFUNCTION("""COMPUTED_VALUE"""),"")</f>
        <v/>
      </c>
      <c r="L88" s="2" t="str">
        <f ca="1">IFERROR(__xludf.DUMMYFUNCTION("""COMPUTED_VALUE"""),"")</f>
        <v/>
      </c>
      <c r="M88" s="5" t="str">
        <f ca="1">IFERROR(__xludf.DUMMYFUNCTION("""COMPUTED_VALUE"""),"")</f>
        <v/>
      </c>
      <c r="N88" s="5" t="str">
        <f ca="1">IFERROR(__xludf.DUMMYFUNCTION("""COMPUTED_VALUE"""),"")</f>
        <v/>
      </c>
      <c r="O88" s="2" t="str">
        <f ca="1">IFERROR(__xludf.DUMMYFUNCTION("""COMPUTED_VALUE"""),"")</f>
        <v/>
      </c>
      <c r="P88" s="2" t="str">
        <f ca="1">IFERROR(__xludf.DUMMYFUNCTION("""COMPUTED_VALUE"""),"")</f>
        <v/>
      </c>
      <c r="Q88" s="2" t="str">
        <f ca="1">IFERROR(__xludf.DUMMYFUNCTION("""COMPUTED_VALUE"""),"")</f>
        <v/>
      </c>
      <c r="R88" s="2" t="str">
        <f ca="1">IFERROR(__xludf.DUMMYFUNCTION("""COMPUTED_VALUE"""),"")</f>
        <v/>
      </c>
      <c r="S88" s="2" t="str">
        <f ca="1">IFERROR(__xludf.DUMMYFUNCTION("""COMPUTED_VALUE"""),"")</f>
        <v/>
      </c>
      <c r="T88" s="2" t="str">
        <f ca="1">IFERROR(__xludf.DUMMYFUNCTION("""COMPUTED_VALUE"""),"")</f>
        <v/>
      </c>
      <c r="U88" s="2" t="str">
        <f ca="1">IFERROR(__xludf.DUMMYFUNCTION("""COMPUTED_VALUE"""),"")</f>
        <v/>
      </c>
      <c r="V88" s="2" t="str">
        <f ca="1">IFERROR(__xludf.DUMMYFUNCTION("""COMPUTED_VALUE"""),"")</f>
        <v/>
      </c>
      <c r="W88" s="2" t="str">
        <f ca="1">IFERROR(__xludf.DUMMYFUNCTION("""COMPUTED_VALUE"""),"")</f>
        <v/>
      </c>
      <c r="X88" s="2" t="str">
        <f ca="1">IFERROR(__xludf.DUMMYFUNCTION("""COMPUTED_VALUE"""),"")</f>
        <v/>
      </c>
      <c r="Y88" s="2" t="str">
        <f ca="1">IFERROR(__xludf.DUMMYFUNCTION("""COMPUTED_VALUE"""),"")</f>
        <v/>
      </c>
      <c r="Z88" s="2" t="str">
        <f ca="1">IFERROR(__xludf.DUMMYFUNCTION("""COMPUTED_VALUE"""),"")</f>
        <v/>
      </c>
      <c r="AA88" s="2">
        <f ca="1">IFERROR(__xludf.DUMMYFUNCTION("""COMPUTED_VALUE"""),1907547)</f>
        <v>1907547</v>
      </c>
      <c r="AB88" s="2">
        <f ca="1">IFERROR(__xludf.DUMMYFUNCTION("""COMPUTED_VALUE"""),5812875)</f>
        <v>5812875</v>
      </c>
      <c r="AC88" s="2">
        <f ca="1">IFERROR(__xludf.DUMMYFUNCTION("""COMPUTED_VALUE"""),250)</f>
        <v>250</v>
      </c>
      <c r="AD88" s="2" t="str">
        <f ca="1">IFERROR(__xludf.DUMMYFUNCTION("""COMPUTED_VALUE"""),"Weak - I could barely hear it.")</f>
        <v>Weak - I could barely hear it.</v>
      </c>
      <c r="AE88" s="2">
        <f ca="1">IFERROR(__xludf.DUMMYFUNCTION("""COMPUTED_VALUE"""),1906958)</f>
        <v>1906958</v>
      </c>
      <c r="AF88" s="2">
        <f ca="1">IFERROR(__xludf.DUMMYFUNCTION("""COMPUTED_VALUE"""),5813105)</f>
        <v>5813105</v>
      </c>
      <c r="AG88" s="2">
        <f ca="1">IFERROR(__xludf.DUMMYFUNCTION("""COMPUTED_VALUE"""),240)</f>
        <v>240</v>
      </c>
      <c r="AH88" s="2" t="str">
        <f ca="1">IFERROR(__xludf.DUMMYFUNCTION("""COMPUTED_VALUE"""),"Medium - Signal was good but bird was not close.")</f>
        <v>Medium - Signal was good but bird was not close.</v>
      </c>
      <c r="AI88" s="2">
        <f ca="1">IFERROR(__xludf.DUMMYFUNCTION("""COMPUTED_VALUE"""),1906411)</f>
        <v>1906411</v>
      </c>
      <c r="AJ88" s="2">
        <f ca="1">IFERROR(__xludf.DUMMYFUNCTION("""COMPUTED_VALUE"""),5812906)</f>
        <v>5812906</v>
      </c>
      <c r="AK88" s="2">
        <f ca="1">IFERROR(__xludf.DUMMYFUNCTION("""COMPUTED_VALUE"""),350)</f>
        <v>350</v>
      </c>
      <c r="AL88" s="2" t="str">
        <f ca="1">IFERROR(__xludf.DUMMYFUNCTION("""COMPUTED_VALUE"""),"Strong - I got a lovely, clear, strong signal.")</f>
        <v>Strong - I got a lovely, clear, strong signal.</v>
      </c>
      <c r="AM88" s="2" t="str">
        <f ca="1">IFERROR(__xludf.DUMMYFUNCTION("""COMPUTED_VALUE"""),"")</f>
        <v/>
      </c>
      <c r="AN88" s="2" t="str">
        <f ca="1">IFERROR(__xludf.DUMMYFUNCTION("""COMPUTED_VALUE"""),"")</f>
        <v/>
      </c>
      <c r="AO88" s="2" t="str">
        <f ca="1">IFERROR(__xludf.DUMMYFUNCTION("""COMPUTED_VALUE"""),"")</f>
        <v/>
      </c>
      <c r="AP88" s="2" t="str">
        <f ca="1">IFERROR(__xludf.DUMMYFUNCTION("""COMPUTED_VALUE"""),"")</f>
        <v/>
      </c>
      <c r="AQ88" s="2" t="str">
        <f ca="1">IFERROR(__xludf.DUMMYFUNCTION("""COMPUTED_VALUE"""),"")</f>
        <v/>
      </c>
      <c r="AR88" s="2" t="str">
        <f ca="1">IFERROR(__xludf.DUMMYFUNCTION("""COMPUTED_VALUE"""),"")</f>
        <v/>
      </c>
      <c r="AS88" s="2" t="str">
        <f ca="1">IFERROR(__xludf.DUMMYFUNCTION("""COMPUTED_VALUE"""),"")</f>
        <v/>
      </c>
      <c r="AT88" s="2" t="str">
        <f ca="1">IFERROR(__xludf.DUMMYFUNCTION("""COMPUTED_VALUE"""),"")</f>
        <v/>
      </c>
      <c r="AU88" s="2" t="str">
        <f ca="1">IFERROR(__xludf.DUMMYFUNCTION("""COMPUTED_VALUE"""),"This transmitter is a lot weaker than Tx 17, so we have to get closer to get a fix.")</f>
        <v>This transmitter is a lot weaker than Tx 17, so we have to get closer to get a fix.</v>
      </c>
      <c r="AV88" s="2" t="str">
        <f ca="1">IFERROR(__xludf.DUMMYFUNCTION("""COMPUTED_VALUE"""),"")</f>
        <v/>
      </c>
      <c r="AW88" s="2" t="str">
        <f ca="1">IFERROR(__xludf.DUMMYFUNCTION("""COMPUTED_VALUE"""),"")</f>
        <v/>
      </c>
      <c r="AX88" s="2" t="str">
        <f ca="1">IFERROR(__xludf.DUMMYFUNCTION("""COMPUTED_VALUE"""),"")</f>
        <v/>
      </c>
      <c r="AY88" s="2" t="str">
        <f ca="1">IFERROR(__xludf.DUMMYFUNCTION("""COMPUTED_VALUE"""),"")</f>
        <v/>
      </c>
      <c r="AZ88" s="2" t="str">
        <f ca="1">IFERROR(__xludf.DUMMYFUNCTION("""COMPUTED_VALUE"""),"")</f>
        <v/>
      </c>
      <c r="BA88" s="2" t="str">
        <f ca="1">IFERROR(__xludf.DUMMYFUNCTION("""COMPUTED_VALUE"""),"")</f>
        <v/>
      </c>
      <c r="BB88" s="2" t="str">
        <f ca="1">IFERROR(__xludf.DUMMYFUNCTION("""COMPUTED_VALUE"""),"")</f>
        <v/>
      </c>
      <c r="BC88" s="2" t="str">
        <f ca="1">IFERROR(__xludf.DUMMYFUNCTION("""COMPUTED_VALUE"""),"")</f>
        <v/>
      </c>
      <c r="BD88" s="2" t="str">
        <f ca="1">IFERROR(__xludf.DUMMYFUNCTION("""COMPUTED_VALUE"""),"")</f>
        <v/>
      </c>
      <c r="BE88" s="2" t="str">
        <f ca="1">IFERROR(__xludf.DUMMYFUNCTION("""COMPUTED_VALUE"""),"")</f>
        <v/>
      </c>
      <c r="BF88" t="str">
        <f ca="1">IFERROR(__xludf.DUMMYFUNCTION("""COMPUTED_VALUE"""),"")</f>
        <v/>
      </c>
      <c r="BG88" t="str">
        <f ca="1">IFERROR(__xludf.DUMMYFUNCTION("""COMPUTED_VALUE"""),"")</f>
        <v/>
      </c>
      <c r="BH88" t="str">
        <f ca="1">IFERROR(__xludf.DUMMYFUNCTION("""COMPUTED_VALUE"""),"")</f>
        <v/>
      </c>
      <c r="BI88" t="str">
        <f ca="1">IFERROR(__xludf.DUMMYFUNCTION("""COMPUTED_VALUE"""),"")</f>
        <v/>
      </c>
      <c r="BJ88" s="3" t="str">
        <f ca="1">IFERROR(__xludf.DUMMYFUNCTION("""COMPUTED_VALUE"""),"")</f>
        <v/>
      </c>
    </row>
    <row r="89" spans="1:62" ht="12.5" x14ac:dyDescent="0.25">
      <c r="A89" s="6">
        <f ca="1">IFERROR(__xludf.DUMMYFUNCTION("""COMPUTED_VALUE"""),43342.470453287)</f>
        <v>43342.470453287002</v>
      </c>
      <c r="B89" s="2" t="str">
        <f ca="1">IFERROR(__xludf.DUMMYFUNCTION("""COMPUTED_VALUE"""),"Bay of Plenty")</f>
        <v>Bay of Plenty</v>
      </c>
      <c r="C89" s="2" t="str">
        <f ca="1">IFERROR(__xludf.DUMMYFUNCTION("""COMPUTED_VALUE"""),"Tx 40 - Tumanako/Hope")</f>
        <v>Tx 40 - Tumanako/Hope</v>
      </c>
      <c r="D89" s="10">
        <f ca="1">IFERROR(__xludf.DUMMYFUNCTION("""COMPUTED_VALUE"""),43340)</f>
        <v>43340</v>
      </c>
      <c r="E89" s="4">
        <f ca="1">IFERROR(__xludf.DUMMYFUNCTION("""COMPUTED_VALUE"""),0.45833333333212)</f>
        <v>0.45833333333212001</v>
      </c>
      <c r="F89" s="2" t="str">
        <f ca="1">IFERROR(__xludf.DUMMYFUNCTION("""COMPUTED_VALUE"""),"Little Waihi")</f>
        <v>Little Waihi</v>
      </c>
      <c r="G89" s="2" t="str">
        <f ca="1">IFERROR(__xludf.DUMMYFUNCTION("""COMPUTED_VALUE"""),"VHF (close approach): I followed the signal until I got within 50 m of the bird")</f>
        <v>VHF (close approach): I followed the signal until I got within 50 m of the bird</v>
      </c>
      <c r="H89" s="2" t="str">
        <f ca="1">IFERROR(__xludf.DUMMYFUNCTION("""COMPUTED_VALUE"""),"")</f>
        <v/>
      </c>
      <c r="I89" s="2" t="str">
        <f ca="1">IFERROR(__xludf.DUMMYFUNCTION("""COMPUTED_VALUE"""),"")</f>
        <v/>
      </c>
      <c r="J89" s="2" t="str">
        <f ca="1">IFERROR(__xludf.DUMMYFUNCTION("""COMPUTED_VALUE"""),"")</f>
        <v/>
      </c>
      <c r="K89" s="2" t="str">
        <f ca="1">IFERROR(__xludf.DUMMYFUNCTION("""COMPUTED_VALUE"""),"")</f>
        <v/>
      </c>
      <c r="L89" s="2" t="str">
        <f ca="1">IFERROR(__xludf.DUMMYFUNCTION("""COMPUTED_VALUE"""),"No - I got very close to the bird but it was well hidden in the vegetation")</f>
        <v>No - I got very close to the bird but it was well hidden in the vegetation</v>
      </c>
      <c r="M89" s="5">
        <f ca="1">IFERROR(__xludf.DUMMYFUNCTION("""COMPUTED_VALUE"""),1906524)</f>
        <v>1906524</v>
      </c>
      <c r="N89" s="5">
        <f ca="1">IFERROR(__xludf.DUMMYFUNCTION("""COMPUTED_VALUE"""),5812959)</f>
        <v>5812959</v>
      </c>
      <c r="O89" s="2" t="str">
        <f ca="1">IFERROR(__xludf.DUMMYFUNCTION("""COMPUTED_VALUE"""),"")</f>
        <v/>
      </c>
      <c r="P89" s="2" t="str">
        <f ca="1">IFERROR(__xludf.DUMMYFUNCTION("""COMPUTED_VALUE"""),"N/A - not grazed")</f>
        <v>N/A - not grazed</v>
      </c>
      <c r="Q89" s="2" t="str">
        <f ca="1">IFERROR(__xludf.DUMMYFUNCTION("""COMPUTED_VALUE"""),"Wet")</f>
        <v>Wet</v>
      </c>
      <c r="R89" s="2" t="str">
        <f ca="1">IFERROR(__xludf.DUMMYFUNCTION("""COMPUTED_VALUE"""),"Don't know")</f>
        <v>Don't know</v>
      </c>
      <c r="S89" s="2" t="str">
        <f ca="1">IFERROR(__xludf.DUMMYFUNCTION("""COMPUTED_VALUE"""),"2")</f>
        <v>2</v>
      </c>
      <c r="T89" s="2" t="str">
        <f ca="1">IFERROR(__xludf.DUMMYFUNCTION("""COMPUTED_VALUE"""),"Don't know")</f>
        <v>Don't know</v>
      </c>
      <c r="U89" s="2" t="str">
        <f ca="1">IFERROR(__xludf.DUMMYFUNCTION("""COMPUTED_VALUE"""),"Within 50 metres of release site")</f>
        <v>Within 50 metres of release site</v>
      </c>
      <c r="V89" s="2" t="str">
        <f ca="1">IFERROR(__xludf.DUMMYFUNCTION("""COMPUTED_VALUE"""),"")</f>
        <v/>
      </c>
      <c r="W89" s="2" t="str">
        <f ca="1">IFERROR(__xludf.DUMMYFUNCTION("""COMPUTED_VALUE"""),"")</f>
        <v/>
      </c>
      <c r="X89" s="2" t="str">
        <f ca="1">IFERROR(__xludf.DUMMYFUNCTION("""COMPUTED_VALUE"""),"")</f>
        <v/>
      </c>
      <c r="Y89" s="2" t="str">
        <f ca="1">IFERROR(__xludf.DUMMYFUNCTION("""COMPUTED_VALUE"""),"")</f>
        <v/>
      </c>
      <c r="Z89" s="2" t="str">
        <f ca="1">IFERROR(__xludf.DUMMYFUNCTION("""COMPUTED_VALUE"""),"")</f>
        <v/>
      </c>
      <c r="AA89" s="2" t="str">
        <f ca="1">IFERROR(__xludf.DUMMYFUNCTION("""COMPUTED_VALUE"""),"")</f>
        <v/>
      </c>
      <c r="AB89" s="2" t="str">
        <f ca="1">IFERROR(__xludf.DUMMYFUNCTION("""COMPUTED_VALUE"""),"")</f>
        <v/>
      </c>
      <c r="AC89" s="2" t="str">
        <f ca="1">IFERROR(__xludf.DUMMYFUNCTION("""COMPUTED_VALUE"""),"")</f>
        <v/>
      </c>
      <c r="AD89" s="2" t="str">
        <f ca="1">IFERROR(__xludf.DUMMYFUNCTION("""COMPUTED_VALUE"""),"")</f>
        <v/>
      </c>
      <c r="AE89" s="2" t="str">
        <f ca="1">IFERROR(__xludf.DUMMYFUNCTION("""COMPUTED_VALUE"""),"")</f>
        <v/>
      </c>
      <c r="AF89" s="2" t="str">
        <f ca="1">IFERROR(__xludf.DUMMYFUNCTION("""COMPUTED_VALUE"""),"")</f>
        <v/>
      </c>
      <c r="AG89" s="2" t="str">
        <f ca="1">IFERROR(__xludf.DUMMYFUNCTION("""COMPUTED_VALUE"""),"")</f>
        <v/>
      </c>
      <c r="AH89" s="2" t="str">
        <f ca="1">IFERROR(__xludf.DUMMYFUNCTION("""COMPUTED_VALUE"""),"")</f>
        <v/>
      </c>
      <c r="AI89" s="2" t="str">
        <f ca="1">IFERROR(__xludf.DUMMYFUNCTION("""COMPUTED_VALUE"""),"")</f>
        <v/>
      </c>
      <c r="AJ89" s="2" t="str">
        <f ca="1">IFERROR(__xludf.DUMMYFUNCTION("""COMPUTED_VALUE"""),"")</f>
        <v/>
      </c>
      <c r="AK89" s="2" t="str">
        <f ca="1">IFERROR(__xludf.DUMMYFUNCTION("""COMPUTED_VALUE"""),"")</f>
        <v/>
      </c>
      <c r="AL89" s="2" t="str">
        <f ca="1">IFERROR(__xludf.DUMMYFUNCTION("""COMPUTED_VALUE"""),"")</f>
        <v/>
      </c>
      <c r="AM89" s="2" t="str">
        <f ca="1">IFERROR(__xludf.DUMMYFUNCTION("""COMPUTED_VALUE"""),"")</f>
        <v/>
      </c>
      <c r="AN89" s="2" t="str">
        <f ca="1">IFERROR(__xludf.DUMMYFUNCTION("""COMPUTED_VALUE"""),"")</f>
        <v/>
      </c>
      <c r="AO89" s="2" t="str">
        <f ca="1">IFERROR(__xludf.DUMMYFUNCTION("""COMPUTED_VALUE"""),"")</f>
        <v/>
      </c>
      <c r="AP89" s="2" t="str">
        <f ca="1">IFERROR(__xludf.DUMMYFUNCTION("""COMPUTED_VALUE"""),"")</f>
        <v/>
      </c>
      <c r="AQ89" s="2" t="str">
        <f ca="1">IFERROR(__xludf.DUMMYFUNCTION("""COMPUTED_VALUE"""),"")</f>
        <v/>
      </c>
      <c r="AR89" s="2" t="str">
        <f ca="1">IFERROR(__xludf.DUMMYFUNCTION("""COMPUTED_VALUE"""),"")</f>
        <v/>
      </c>
      <c r="AS89" s="2" t="str">
        <f ca="1">IFERROR(__xludf.DUMMYFUNCTION("""COMPUTED_VALUE"""),"")</f>
        <v/>
      </c>
      <c r="AT89" s="2" t="str">
        <f ca="1">IFERROR(__xludf.DUMMYFUNCTION("""COMPUTED_VALUE"""),"")</f>
        <v/>
      </c>
      <c r="AU89" s="2" t="str">
        <f ca="1">IFERROR(__xludf.DUMMYFUNCTION("""COMPUTED_VALUE"""),"")</f>
        <v/>
      </c>
      <c r="AV89" s="2" t="str">
        <f ca="1">IFERROR(__xludf.DUMMYFUNCTION("""COMPUTED_VALUE"""),"")</f>
        <v/>
      </c>
      <c r="AW89" s="2" t="str">
        <f ca="1">IFERROR(__xludf.DUMMYFUNCTION("""COMPUTED_VALUE"""),"")</f>
        <v/>
      </c>
      <c r="AX89" s="2" t="str">
        <f ca="1">IFERROR(__xludf.DUMMYFUNCTION("""COMPUTED_VALUE"""),"")</f>
        <v/>
      </c>
      <c r="AY89" s="2" t="str">
        <f ca="1">IFERROR(__xludf.DUMMYFUNCTION("""COMPUTED_VALUE"""),"")</f>
        <v/>
      </c>
      <c r="AZ89" s="2" t="str">
        <f ca="1">IFERROR(__xludf.DUMMYFUNCTION("""COMPUTED_VALUE"""),"")</f>
        <v/>
      </c>
      <c r="BA89" s="2" t="str">
        <f ca="1">IFERROR(__xludf.DUMMYFUNCTION("""COMPUTED_VALUE"""),"")</f>
        <v/>
      </c>
      <c r="BB89" s="2" t="str">
        <f ca="1">IFERROR(__xludf.DUMMYFUNCTION("""COMPUTED_VALUE"""),"")</f>
        <v/>
      </c>
      <c r="BC89" s="2" t="str">
        <f ca="1">IFERROR(__xludf.DUMMYFUNCTION("""COMPUTED_VALUE"""),"")</f>
        <v/>
      </c>
      <c r="BD89" s="2" t="str">
        <f ca="1">IFERROR(__xludf.DUMMYFUNCTION("""COMPUTED_VALUE"""),"")</f>
        <v/>
      </c>
      <c r="BE89" s="2" t="str">
        <f ca="1">IFERROR(__xludf.DUMMYFUNCTION("""COMPUTED_VALUE"""),"")</f>
        <v/>
      </c>
      <c r="BF89" t="str">
        <f ca="1">IFERROR(__xludf.DUMMYFUNCTION("""COMPUTED_VALUE"""),"")</f>
        <v/>
      </c>
      <c r="BG89" t="str">
        <f ca="1">IFERROR(__xludf.DUMMYFUNCTION("""COMPUTED_VALUE"""),"")</f>
        <v/>
      </c>
      <c r="BH89" t="str">
        <f ca="1">IFERROR(__xludf.DUMMYFUNCTION("""COMPUTED_VALUE"""),"")</f>
        <v/>
      </c>
      <c r="BI89" t="str">
        <f ca="1">IFERROR(__xludf.DUMMYFUNCTION("""COMPUTED_VALUE"""),"")</f>
        <v/>
      </c>
      <c r="BJ89" s="3" t="str">
        <f ca="1">IFERROR(__xludf.DUMMYFUNCTION("""COMPUTED_VALUE"""),"")</f>
        <v/>
      </c>
    </row>
    <row r="90" spans="1:62" ht="12.5" x14ac:dyDescent="0.25">
      <c r="A90" s="6">
        <f ca="1">IFERROR(__xludf.DUMMYFUNCTION("""COMPUTED_VALUE"""),43348.469486493)</f>
        <v>43348.469486492999</v>
      </c>
      <c r="B90" s="2" t="str">
        <f ca="1">IFERROR(__xludf.DUMMYFUNCTION("""COMPUTED_VALUE"""),"Bay of Plenty")</f>
        <v>Bay of Plenty</v>
      </c>
      <c r="C90" s="2" t="str">
        <f ca="1">IFERROR(__xludf.DUMMYFUNCTION("""COMPUTED_VALUE"""),"Tx 40 - Tumanako/Hope")</f>
        <v>Tx 40 - Tumanako/Hope</v>
      </c>
      <c r="D90" s="10">
        <f ca="1">IFERROR(__xludf.DUMMYFUNCTION("""COMPUTED_VALUE"""),43347)</f>
        <v>43347</v>
      </c>
      <c r="E90" s="4">
        <f ca="1">IFERROR(__xludf.DUMMYFUNCTION("""COMPUTED_VALUE"""),0.416666666667879)</f>
        <v>0.41666666666787899</v>
      </c>
      <c r="F90" s="2" t="str">
        <f ca="1">IFERROR(__xludf.DUMMYFUNCTION("""COMPUTED_VALUE"""),"Little Waihi")</f>
        <v>Little Waihi</v>
      </c>
      <c r="G90" s="2" t="str">
        <f ca="1">IFERROR(__xludf.DUMMYFUNCTION("""COMPUTED_VALUE"""),"VHF (close approach): I followed the signal until I got within 50 m of the bird")</f>
        <v>VHF (close approach): I followed the signal until I got within 50 m of the bird</v>
      </c>
      <c r="H90" s="2" t="str">
        <f ca="1">IFERROR(__xludf.DUMMYFUNCTION("""COMPUTED_VALUE"""),"")</f>
        <v/>
      </c>
      <c r="I90" s="2" t="str">
        <f ca="1">IFERROR(__xludf.DUMMYFUNCTION("""COMPUTED_VALUE"""),"")</f>
        <v/>
      </c>
      <c r="J90" s="2" t="str">
        <f ca="1">IFERROR(__xludf.DUMMYFUNCTION("""COMPUTED_VALUE"""),"")</f>
        <v/>
      </c>
      <c r="K90" s="2" t="str">
        <f ca="1">IFERROR(__xludf.DUMMYFUNCTION("""COMPUTED_VALUE"""),"")</f>
        <v/>
      </c>
      <c r="L90" s="2" t="str">
        <f ca="1">IFERROR(__xludf.DUMMYFUNCTION("""COMPUTED_VALUE"""),"Yes - I managed to observe the bird without it flushing")</f>
        <v>Yes - I managed to observe the bird without it flushing</v>
      </c>
      <c r="M90" s="5">
        <f ca="1">IFERROR(__xludf.DUMMYFUNCTION("""COMPUTED_VALUE"""),190662)</f>
        <v>190662</v>
      </c>
      <c r="N90" s="5">
        <f ca="1">IFERROR(__xludf.DUMMYFUNCTION("""COMPUTED_VALUE"""),5812827)</f>
        <v>5812827</v>
      </c>
      <c r="O90" s="2" t="str">
        <f ca="1">IFERROR(__xludf.DUMMYFUNCTION("""COMPUTED_VALUE"""),"")</f>
        <v/>
      </c>
      <c r="P90" s="2" t="str">
        <f ca="1">IFERROR(__xludf.DUMMYFUNCTION("""COMPUTED_VALUE"""),"No")</f>
        <v>No</v>
      </c>
      <c r="Q90" s="2" t="str">
        <f ca="1">IFERROR(__xludf.DUMMYFUNCTION("""COMPUTED_VALUE"""),"Wet")</f>
        <v>Wet</v>
      </c>
      <c r="R90" s="2" t="str">
        <f ca="1">IFERROR(__xludf.DUMMYFUNCTION("""COMPUTED_VALUE"""),"0")</f>
        <v>0</v>
      </c>
      <c r="S90" s="2" t="str">
        <f ca="1">IFERROR(__xludf.DUMMYFUNCTION("""COMPUTED_VALUE"""),"50")</f>
        <v>50</v>
      </c>
      <c r="T90" s="2" t="str">
        <f ca="1">IFERROR(__xludf.DUMMYFUNCTION("""COMPUTED_VALUE"""),"Sodden pasture with sparse reeds, barely bird height")</f>
        <v>Sodden pasture with sparse reeds, barely bird height</v>
      </c>
      <c r="U90" s="2" t="str">
        <f ca="1">IFERROR(__xludf.DUMMYFUNCTION("""COMPUTED_VALUE"""),"No")</f>
        <v>No</v>
      </c>
      <c r="V90" s="2" t="str">
        <f ca="1">IFERROR(__xludf.DUMMYFUNCTION("""COMPUTED_VALUE"""),"")</f>
        <v/>
      </c>
      <c r="W90" s="2" t="str">
        <f ca="1">IFERROR(__xludf.DUMMYFUNCTION("""COMPUTED_VALUE"""),"")</f>
        <v/>
      </c>
      <c r="X90" s="2" t="str">
        <f ca="1">IFERROR(__xludf.DUMMYFUNCTION("""COMPUTED_VALUE"""),"")</f>
        <v/>
      </c>
      <c r="Y90" s="2" t="str">
        <f ca="1">IFERROR(__xludf.DUMMYFUNCTION("""COMPUTED_VALUE"""),"")</f>
        <v/>
      </c>
      <c r="Z90" s="2" t="str">
        <f ca="1">IFERROR(__xludf.DUMMYFUNCTION("""COMPUTED_VALUE"""),"")</f>
        <v/>
      </c>
      <c r="AA90" s="2" t="str">
        <f ca="1">IFERROR(__xludf.DUMMYFUNCTION("""COMPUTED_VALUE"""),"")</f>
        <v/>
      </c>
      <c r="AB90" s="2" t="str">
        <f ca="1">IFERROR(__xludf.DUMMYFUNCTION("""COMPUTED_VALUE"""),"")</f>
        <v/>
      </c>
      <c r="AC90" s="2" t="str">
        <f ca="1">IFERROR(__xludf.DUMMYFUNCTION("""COMPUTED_VALUE"""),"")</f>
        <v/>
      </c>
      <c r="AD90" s="2" t="str">
        <f ca="1">IFERROR(__xludf.DUMMYFUNCTION("""COMPUTED_VALUE"""),"")</f>
        <v/>
      </c>
      <c r="AE90" s="2" t="str">
        <f ca="1">IFERROR(__xludf.DUMMYFUNCTION("""COMPUTED_VALUE"""),"")</f>
        <v/>
      </c>
      <c r="AF90" s="2" t="str">
        <f ca="1">IFERROR(__xludf.DUMMYFUNCTION("""COMPUTED_VALUE"""),"")</f>
        <v/>
      </c>
      <c r="AG90" s="2" t="str">
        <f ca="1">IFERROR(__xludf.DUMMYFUNCTION("""COMPUTED_VALUE"""),"")</f>
        <v/>
      </c>
      <c r="AH90" s="2" t="str">
        <f ca="1">IFERROR(__xludf.DUMMYFUNCTION("""COMPUTED_VALUE"""),"")</f>
        <v/>
      </c>
      <c r="AI90" s="2" t="str">
        <f ca="1">IFERROR(__xludf.DUMMYFUNCTION("""COMPUTED_VALUE"""),"")</f>
        <v/>
      </c>
      <c r="AJ90" s="2" t="str">
        <f ca="1">IFERROR(__xludf.DUMMYFUNCTION("""COMPUTED_VALUE"""),"")</f>
        <v/>
      </c>
      <c r="AK90" s="2" t="str">
        <f ca="1">IFERROR(__xludf.DUMMYFUNCTION("""COMPUTED_VALUE"""),"")</f>
        <v/>
      </c>
      <c r="AL90" s="2" t="str">
        <f ca="1">IFERROR(__xludf.DUMMYFUNCTION("""COMPUTED_VALUE"""),"")</f>
        <v/>
      </c>
      <c r="AM90" s="2" t="str">
        <f ca="1">IFERROR(__xludf.DUMMYFUNCTION("""COMPUTED_VALUE"""),"")</f>
        <v/>
      </c>
      <c r="AN90" s="2" t="str">
        <f ca="1">IFERROR(__xludf.DUMMYFUNCTION("""COMPUTED_VALUE"""),"")</f>
        <v/>
      </c>
      <c r="AO90" s="2" t="str">
        <f ca="1">IFERROR(__xludf.DUMMYFUNCTION("""COMPUTED_VALUE"""),"")</f>
        <v/>
      </c>
      <c r="AP90" s="2" t="str">
        <f ca="1">IFERROR(__xludf.DUMMYFUNCTION("""COMPUTED_VALUE"""),"")</f>
        <v/>
      </c>
      <c r="AQ90" s="2" t="str">
        <f ca="1">IFERROR(__xludf.DUMMYFUNCTION("""COMPUTED_VALUE"""),"")</f>
        <v/>
      </c>
      <c r="AR90" s="2" t="str">
        <f ca="1">IFERROR(__xludf.DUMMYFUNCTION("""COMPUTED_VALUE"""),"")</f>
        <v/>
      </c>
      <c r="AS90" s="2" t="str">
        <f ca="1">IFERROR(__xludf.DUMMYFUNCTION("""COMPUTED_VALUE"""),"")</f>
        <v/>
      </c>
      <c r="AT90" s="2" t="str">
        <f ca="1">IFERROR(__xludf.DUMMYFUNCTION("""COMPUTED_VALUE"""),"")</f>
        <v/>
      </c>
      <c r="AU90" s="2" t="str">
        <f ca="1">IFERROR(__xludf.DUMMYFUNCTION("""COMPUTED_VALUE"""),"")</f>
        <v/>
      </c>
      <c r="AV90" s="2" t="str">
        <f ca="1">IFERROR(__xludf.DUMMYFUNCTION("""COMPUTED_VALUE"""),"")</f>
        <v/>
      </c>
      <c r="AW90" s="2" t="str">
        <f ca="1">IFERROR(__xludf.DUMMYFUNCTION("""COMPUTED_VALUE"""),"")</f>
        <v/>
      </c>
      <c r="AX90" s="2" t="str">
        <f ca="1">IFERROR(__xludf.DUMMYFUNCTION("""COMPUTED_VALUE"""),"")</f>
        <v/>
      </c>
      <c r="AY90" s="2" t="str">
        <f ca="1">IFERROR(__xludf.DUMMYFUNCTION("""COMPUTED_VALUE"""),"")</f>
        <v/>
      </c>
      <c r="AZ90" s="2" t="str">
        <f ca="1">IFERROR(__xludf.DUMMYFUNCTION("""COMPUTED_VALUE"""),"")</f>
        <v/>
      </c>
      <c r="BA90" s="2" t="str">
        <f ca="1">IFERROR(__xludf.DUMMYFUNCTION("""COMPUTED_VALUE"""),"")</f>
        <v/>
      </c>
      <c r="BB90" s="2" t="str">
        <f ca="1">IFERROR(__xludf.DUMMYFUNCTION("""COMPUTED_VALUE"""),"")</f>
        <v/>
      </c>
      <c r="BC90" s="2" t="str">
        <f ca="1">IFERROR(__xludf.DUMMYFUNCTION("""COMPUTED_VALUE"""),"")</f>
        <v/>
      </c>
      <c r="BD90" s="2" t="str">
        <f ca="1">IFERROR(__xludf.DUMMYFUNCTION("""COMPUTED_VALUE"""),"")</f>
        <v/>
      </c>
      <c r="BE90" s="2" t="str">
        <f ca="1">IFERROR(__xludf.DUMMYFUNCTION("""COMPUTED_VALUE"""),"")</f>
        <v/>
      </c>
      <c r="BF90" t="str">
        <f ca="1">IFERROR(__xludf.DUMMYFUNCTION("""COMPUTED_VALUE"""),"")</f>
        <v/>
      </c>
      <c r="BG90" t="str">
        <f ca="1">IFERROR(__xludf.DUMMYFUNCTION("""COMPUTED_VALUE"""),"")</f>
        <v/>
      </c>
      <c r="BH90" t="str">
        <f ca="1">IFERROR(__xludf.DUMMYFUNCTION("""COMPUTED_VALUE"""),"")</f>
        <v/>
      </c>
      <c r="BI90" t="str">
        <f ca="1">IFERROR(__xludf.DUMMYFUNCTION("""COMPUTED_VALUE"""),"")</f>
        <v/>
      </c>
      <c r="BJ90" s="3" t="str">
        <f ca="1">IFERROR(__xludf.DUMMYFUNCTION("""COMPUTED_VALUE"""),"")</f>
        <v/>
      </c>
    </row>
    <row r="91" spans="1:62" ht="12.5" x14ac:dyDescent="0.25">
      <c r="A91" s="6">
        <f ca="1">IFERROR(__xludf.DUMMYFUNCTION("""COMPUTED_VALUE"""),43370.525281956)</f>
        <v>43370.525281955997</v>
      </c>
      <c r="B91" s="2" t="str">
        <f ca="1">IFERROR(__xludf.DUMMYFUNCTION("""COMPUTED_VALUE"""),"Bay of Plenty")</f>
        <v>Bay of Plenty</v>
      </c>
      <c r="C91" s="2" t="str">
        <f ca="1">IFERROR(__xludf.DUMMYFUNCTION("""COMPUTED_VALUE"""),"Tx 40 - Tumanako/Hope")</f>
        <v>Tx 40 - Tumanako/Hope</v>
      </c>
      <c r="D91" s="10">
        <f ca="1">IFERROR(__xludf.DUMMYFUNCTION("""COMPUTED_VALUE"""),43370)</f>
        <v>43370</v>
      </c>
      <c r="E91" s="4">
        <f ca="1">IFERROR(__xludf.DUMMYFUNCTION("""COMPUTED_VALUE"""),0.4375)</f>
        <v>0.4375</v>
      </c>
      <c r="F91" s="2" t="str">
        <f ca="1">IFERROR(__xludf.DUMMYFUNCTION("""COMPUTED_VALUE"""),"Little Waihi")</f>
        <v>Little Waihi</v>
      </c>
      <c r="G91" s="2" t="str">
        <f ca="1">IFERROR(__xludf.DUMMYFUNCTION("""COMPUTED_VALUE"""),"VHF (close approach): I followed the signal until I got within 50 m of the bird")</f>
        <v>VHF (close approach): I followed the signal until I got within 50 m of the bird</v>
      </c>
      <c r="H91" s="2" t="str">
        <f ca="1">IFERROR(__xludf.DUMMYFUNCTION("""COMPUTED_VALUE"""),"")</f>
        <v/>
      </c>
      <c r="I91" s="2" t="str">
        <f ca="1">IFERROR(__xludf.DUMMYFUNCTION("""COMPUTED_VALUE"""),"")</f>
        <v/>
      </c>
      <c r="J91" s="2" t="str">
        <f ca="1">IFERROR(__xludf.DUMMYFUNCTION("""COMPUTED_VALUE"""),"")</f>
        <v/>
      </c>
      <c r="K91" s="2" t="str">
        <f ca="1">IFERROR(__xludf.DUMMYFUNCTION("""COMPUTED_VALUE"""),"")</f>
        <v/>
      </c>
      <c r="L91" s="2" t="str">
        <f ca="1">IFERROR(__xludf.DUMMYFUNCTION("""COMPUTED_VALUE"""),"Yes - I managed to observe the bird without it flushing")</f>
        <v>Yes - I managed to observe the bird without it flushing</v>
      </c>
      <c r="M91" s="5">
        <f ca="1">IFERROR(__xludf.DUMMYFUNCTION("""COMPUTED_VALUE"""),5812799)</f>
        <v>5812799</v>
      </c>
      <c r="N91" s="5">
        <f ca="1">IFERROR(__xludf.DUMMYFUNCTION("""COMPUTED_VALUE"""),1906637)</f>
        <v>1906637</v>
      </c>
      <c r="O91" s="2" t="str">
        <f ca="1">IFERROR(__xludf.DUMMYFUNCTION("""COMPUTED_VALUE"""),"")</f>
        <v/>
      </c>
      <c r="P91" s="2" t="str">
        <f ca="1">IFERROR(__xludf.DUMMYFUNCTION("""COMPUTED_VALUE"""),"No")</f>
        <v>No</v>
      </c>
      <c r="Q91" s="2" t="str">
        <f ca="1">IFERROR(__xludf.DUMMYFUNCTION("""COMPUTED_VALUE"""),"Dry")</f>
        <v>Dry</v>
      </c>
      <c r="R91" s="2" t="str">
        <f ca="1">IFERROR(__xludf.DUMMYFUNCTION("""COMPUTED_VALUE"""),"0")</f>
        <v>0</v>
      </c>
      <c r="S91" s="2" t="str">
        <f ca="1">IFERROR(__xludf.DUMMYFUNCTION("""COMPUTED_VALUE"""),"20")</f>
        <v>20</v>
      </c>
      <c r="T91" s="2" t="str">
        <f ca="1">IFERROR(__xludf.DUMMYFUNCTION("""COMPUTED_VALUE"""),"short pasture with scant reeds")</f>
        <v>short pasture with scant reeds</v>
      </c>
      <c r="U91" s="2" t="str">
        <f ca="1">IFERROR(__xludf.DUMMYFUNCTION("""COMPUTED_VALUE"""),"Found the dead bird, photographed and recovered it. Tx in place, and bird not obviously predated. Had been dead for some time. Karl took the bird to courier it to Massey. ")</f>
        <v xml:space="preserve">Found the dead bird, photographed and recovered it. Tx in place, and bird not obviously predated. Had been dead for some time. Karl took the bird to courier it to Massey. </v>
      </c>
      <c r="V91" s="2" t="str">
        <f ca="1">IFERROR(__xludf.DUMMYFUNCTION("""COMPUTED_VALUE"""),"")</f>
        <v/>
      </c>
      <c r="W91" s="2" t="str">
        <f ca="1">IFERROR(__xludf.DUMMYFUNCTION("""COMPUTED_VALUE"""),"")</f>
        <v/>
      </c>
      <c r="X91" s="2" t="str">
        <f ca="1">IFERROR(__xludf.DUMMYFUNCTION("""COMPUTED_VALUE"""),"")</f>
        <v/>
      </c>
      <c r="Y91" s="2" t="str">
        <f ca="1">IFERROR(__xludf.DUMMYFUNCTION("""COMPUTED_VALUE"""),"")</f>
        <v/>
      </c>
      <c r="Z91" s="2" t="str">
        <f ca="1">IFERROR(__xludf.DUMMYFUNCTION("""COMPUTED_VALUE"""),"")</f>
        <v/>
      </c>
      <c r="AA91" s="2" t="str">
        <f ca="1">IFERROR(__xludf.DUMMYFUNCTION("""COMPUTED_VALUE"""),"")</f>
        <v/>
      </c>
      <c r="AB91" s="2" t="str">
        <f ca="1">IFERROR(__xludf.DUMMYFUNCTION("""COMPUTED_VALUE"""),"")</f>
        <v/>
      </c>
      <c r="AC91" s="2" t="str">
        <f ca="1">IFERROR(__xludf.DUMMYFUNCTION("""COMPUTED_VALUE"""),"")</f>
        <v/>
      </c>
      <c r="AD91" s="2" t="str">
        <f ca="1">IFERROR(__xludf.DUMMYFUNCTION("""COMPUTED_VALUE"""),"")</f>
        <v/>
      </c>
      <c r="AE91" s="2" t="str">
        <f ca="1">IFERROR(__xludf.DUMMYFUNCTION("""COMPUTED_VALUE"""),"")</f>
        <v/>
      </c>
      <c r="AF91" s="2" t="str">
        <f ca="1">IFERROR(__xludf.DUMMYFUNCTION("""COMPUTED_VALUE"""),"")</f>
        <v/>
      </c>
      <c r="AG91" s="2" t="str">
        <f ca="1">IFERROR(__xludf.DUMMYFUNCTION("""COMPUTED_VALUE"""),"")</f>
        <v/>
      </c>
      <c r="AH91" s="2" t="str">
        <f ca="1">IFERROR(__xludf.DUMMYFUNCTION("""COMPUTED_VALUE"""),"")</f>
        <v/>
      </c>
      <c r="AI91" s="2" t="str">
        <f ca="1">IFERROR(__xludf.DUMMYFUNCTION("""COMPUTED_VALUE"""),"")</f>
        <v/>
      </c>
      <c r="AJ91" s="2" t="str">
        <f ca="1">IFERROR(__xludf.DUMMYFUNCTION("""COMPUTED_VALUE"""),"")</f>
        <v/>
      </c>
      <c r="AK91" s="2" t="str">
        <f ca="1">IFERROR(__xludf.DUMMYFUNCTION("""COMPUTED_VALUE"""),"")</f>
        <v/>
      </c>
      <c r="AL91" s="2" t="str">
        <f ca="1">IFERROR(__xludf.DUMMYFUNCTION("""COMPUTED_VALUE"""),"")</f>
        <v/>
      </c>
      <c r="AM91" s="2" t="str">
        <f ca="1">IFERROR(__xludf.DUMMYFUNCTION("""COMPUTED_VALUE"""),"")</f>
        <v/>
      </c>
      <c r="AN91" s="2" t="str">
        <f ca="1">IFERROR(__xludf.DUMMYFUNCTION("""COMPUTED_VALUE"""),"")</f>
        <v/>
      </c>
      <c r="AO91" s="2" t="str">
        <f ca="1">IFERROR(__xludf.DUMMYFUNCTION("""COMPUTED_VALUE"""),"")</f>
        <v/>
      </c>
      <c r="AP91" s="2" t="str">
        <f ca="1">IFERROR(__xludf.DUMMYFUNCTION("""COMPUTED_VALUE"""),"")</f>
        <v/>
      </c>
      <c r="AQ91" s="2" t="str">
        <f ca="1">IFERROR(__xludf.DUMMYFUNCTION("""COMPUTED_VALUE"""),"")</f>
        <v/>
      </c>
      <c r="AR91" s="2" t="str">
        <f ca="1">IFERROR(__xludf.DUMMYFUNCTION("""COMPUTED_VALUE"""),"")</f>
        <v/>
      </c>
      <c r="AS91" s="2" t="str">
        <f ca="1">IFERROR(__xludf.DUMMYFUNCTION("""COMPUTED_VALUE"""),"")</f>
        <v/>
      </c>
      <c r="AT91" s="2" t="str">
        <f ca="1">IFERROR(__xludf.DUMMYFUNCTION("""COMPUTED_VALUE"""),"")</f>
        <v/>
      </c>
      <c r="AU91" s="2" t="str">
        <f ca="1">IFERROR(__xludf.DUMMYFUNCTION("""COMPUTED_VALUE"""),"")</f>
        <v/>
      </c>
      <c r="AV91" s="2" t="str">
        <f ca="1">IFERROR(__xludf.DUMMYFUNCTION("""COMPUTED_VALUE"""),"")</f>
        <v/>
      </c>
      <c r="AW91" s="2" t="str">
        <f ca="1">IFERROR(__xludf.DUMMYFUNCTION("""COMPUTED_VALUE"""),"")</f>
        <v/>
      </c>
      <c r="AX91" s="2" t="str">
        <f ca="1">IFERROR(__xludf.DUMMYFUNCTION("""COMPUTED_VALUE"""),"")</f>
        <v/>
      </c>
      <c r="AY91" s="2" t="str">
        <f ca="1">IFERROR(__xludf.DUMMYFUNCTION("""COMPUTED_VALUE"""),"")</f>
        <v/>
      </c>
      <c r="AZ91" s="2" t="str">
        <f ca="1">IFERROR(__xludf.DUMMYFUNCTION("""COMPUTED_VALUE"""),"")</f>
        <v/>
      </c>
      <c r="BA91" s="2" t="str">
        <f ca="1">IFERROR(__xludf.DUMMYFUNCTION("""COMPUTED_VALUE"""),"")</f>
        <v/>
      </c>
      <c r="BB91" s="2" t="str">
        <f ca="1">IFERROR(__xludf.DUMMYFUNCTION("""COMPUTED_VALUE"""),"")</f>
        <v/>
      </c>
      <c r="BC91" s="2" t="str">
        <f ca="1">IFERROR(__xludf.DUMMYFUNCTION("""COMPUTED_VALUE"""),"")</f>
        <v/>
      </c>
      <c r="BD91" s="2" t="str">
        <f ca="1">IFERROR(__xludf.DUMMYFUNCTION("""COMPUTED_VALUE"""),"")</f>
        <v/>
      </c>
      <c r="BE91" s="2" t="str">
        <f ca="1">IFERROR(__xludf.DUMMYFUNCTION("""COMPUTED_VALUE"""),"")</f>
        <v/>
      </c>
      <c r="BF91" t="str">
        <f ca="1">IFERROR(__xludf.DUMMYFUNCTION("""COMPUTED_VALUE"""),"")</f>
        <v/>
      </c>
      <c r="BG91" t="str">
        <f ca="1">IFERROR(__xludf.DUMMYFUNCTION("""COMPUTED_VALUE"""),"")</f>
        <v/>
      </c>
      <c r="BH91" t="str">
        <f ca="1">IFERROR(__xludf.DUMMYFUNCTION("""COMPUTED_VALUE"""),"")</f>
        <v/>
      </c>
      <c r="BI91" t="str">
        <f ca="1">IFERROR(__xludf.DUMMYFUNCTION("""COMPUTED_VALUE"""),"")</f>
        <v/>
      </c>
      <c r="BJ91" s="3" t="str">
        <f ca="1">IFERROR(__xludf.DUMMYFUNCTION("""COMPUTED_VALUE"""),"")</f>
        <v/>
      </c>
    </row>
    <row r="92" spans="1:62" ht="12.5" x14ac:dyDescent="0.25">
      <c r="A92" s="6">
        <f ca="1">IFERROR(__xludf.DUMMYFUNCTION("""COMPUTED_VALUE"""),43434.769628368)</f>
        <v>43434.769628367998</v>
      </c>
      <c r="B92" s="2" t="str">
        <f ca="1">IFERROR(__xludf.DUMMYFUNCTION("""COMPUTED_VALUE"""),"Bay of Plenty")</f>
        <v>Bay of Plenty</v>
      </c>
      <c r="C92" s="2" t="str">
        <f ca="1">IFERROR(__xludf.DUMMYFUNCTION("""COMPUTED_VALUE"""),"Tx 54")</f>
        <v>Tx 54</v>
      </c>
      <c r="D92" s="10">
        <f ca="1">IFERROR(__xludf.DUMMYFUNCTION("""COMPUTED_VALUE"""),43430)</f>
        <v>43430</v>
      </c>
      <c r="E92" s="4">
        <f ca="1">IFERROR(__xludf.DUMMYFUNCTION("""COMPUTED_VALUE"""),0.45833333333212)</f>
        <v>0.45833333333212001</v>
      </c>
      <c r="F92" s="2" t="str">
        <f ca="1">IFERROR(__xludf.DUMMYFUNCTION("""COMPUTED_VALUE"""),"Little Waihi")</f>
        <v>Little Waihi</v>
      </c>
      <c r="G92" s="2" t="str">
        <f ca="1">IFERROR(__xludf.DUMMYFUNCTION("""COMPUTED_VALUE"""),"VHF (triangulation): I triangulated the bird with at least three bearings")</f>
        <v>VHF (triangulation): I triangulated the bird with at least three bearings</v>
      </c>
      <c r="H92" s="2" t="str">
        <f ca="1">IFERROR(__xludf.DUMMYFUNCTION("""COMPUTED_VALUE"""),"")</f>
        <v/>
      </c>
      <c r="I92" s="2" t="str">
        <f ca="1">IFERROR(__xludf.DUMMYFUNCTION("""COMPUTED_VALUE"""),"")</f>
        <v/>
      </c>
      <c r="J92" s="2" t="str">
        <f ca="1">IFERROR(__xludf.DUMMYFUNCTION("""COMPUTED_VALUE"""),"")</f>
        <v/>
      </c>
      <c r="K92" s="2" t="str">
        <f ca="1">IFERROR(__xludf.DUMMYFUNCTION("""COMPUTED_VALUE"""),"")</f>
        <v/>
      </c>
      <c r="L92" s="2" t="str">
        <f ca="1">IFERROR(__xludf.DUMMYFUNCTION("""COMPUTED_VALUE"""),"")</f>
        <v/>
      </c>
      <c r="M92" s="5" t="str">
        <f ca="1">IFERROR(__xludf.DUMMYFUNCTION("""COMPUTED_VALUE"""),"")</f>
        <v/>
      </c>
      <c r="N92" s="5" t="str">
        <f ca="1">IFERROR(__xludf.DUMMYFUNCTION("""COMPUTED_VALUE"""),"")</f>
        <v/>
      </c>
      <c r="O92" s="2" t="str">
        <f ca="1">IFERROR(__xludf.DUMMYFUNCTION("""COMPUTED_VALUE"""),"")</f>
        <v/>
      </c>
      <c r="P92" s="2" t="str">
        <f ca="1">IFERROR(__xludf.DUMMYFUNCTION("""COMPUTED_VALUE"""),"")</f>
        <v/>
      </c>
      <c r="Q92" s="2" t="str">
        <f ca="1">IFERROR(__xludf.DUMMYFUNCTION("""COMPUTED_VALUE"""),"")</f>
        <v/>
      </c>
      <c r="R92" s="2" t="str">
        <f ca="1">IFERROR(__xludf.DUMMYFUNCTION("""COMPUTED_VALUE"""),"")</f>
        <v/>
      </c>
      <c r="S92" s="2" t="str">
        <f ca="1">IFERROR(__xludf.DUMMYFUNCTION("""COMPUTED_VALUE"""),"")</f>
        <v/>
      </c>
      <c r="T92" s="2" t="str">
        <f ca="1">IFERROR(__xludf.DUMMYFUNCTION("""COMPUTED_VALUE"""),"")</f>
        <v/>
      </c>
      <c r="U92" s="2" t="str">
        <f ca="1">IFERROR(__xludf.DUMMYFUNCTION("""COMPUTED_VALUE"""),"")</f>
        <v/>
      </c>
      <c r="V92" s="2" t="str">
        <f ca="1">IFERROR(__xludf.DUMMYFUNCTION("""COMPUTED_VALUE"""),"")</f>
        <v/>
      </c>
      <c r="W92" s="2" t="str">
        <f ca="1">IFERROR(__xludf.DUMMYFUNCTION("""COMPUTED_VALUE"""),"")</f>
        <v/>
      </c>
      <c r="X92" s="2" t="str">
        <f ca="1">IFERROR(__xludf.DUMMYFUNCTION("""COMPUTED_VALUE"""),"")</f>
        <v/>
      </c>
      <c r="Y92" s="2" t="str">
        <f ca="1">IFERROR(__xludf.DUMMYFUNCTION("""COMPUTED_VALUE"""),"")</f>
        <v/>
      </c>
      <c r="Z92" s="2" t="str">
        <f ca="1">IFERROR(__xludf.DUMMYFUNCTION("""COMPUTED_VALUE"""),"")</f>
        <v/>
      </c>
      <c r="AA92" s="2">
        <f ca="1">IFERROR(__xludf.DUMMYFUNCTION("""COMPUTED_VALUE"""),1907650)</f>
        <v>1907650</v>
      </c>
      <c r="AB92" s="2">
        <f ca="1">IFERROR(__xludf.DUMMYFUNCTION("""COMPUTED_VALUE"""),5814148)</f>
        <v>5814148</v>
      </c>
      <c r="AC92" s="2">
        <f ca="1">IFERROR(__xludf.DUMMYFUNCTION("""COMPUTED_VALUE"""),220)</f>
        <v>220</v>
      </c>
      <c r="AD92" s="2" t="str">
        <f ca="1">IFERROR(__xludf.DUMMYFUNCTION("""COMPUTED_VALUE"""),"Medium - Signal was good but bird was not close.")</f>
        <v>Medium - Signal was good but bird was not close.</v>
      </c>
      <c r="AE92" s="2">
        <f ca="1">IFERROR(__xludf.DUMMYFUNCTION("""COMPUTED_VALUE"""),1907547)</f>
        <v>1907547</v>
      </c>
      <c r="AF92" s="2">
        <f ca="1">IFERROR(__xludf.DUMMYFUNCTION("""COMPUTED_VALUE"""),5812875)</f>
        <v>5812875</v>
      </c>
      <c r="AG92" s="2">
        <f ca="1">IFERROR(__xludf.DUMMYFUNCTION("""COMPUTED_VALUE"""),60)</f>
        <v>60</v>
      </c>
      <c r="AH92" s="2" t="str">
        <f ca="1">IFERROR(__xludf.DUMMYFUNCTION("""COMPUTED_VALUE"""),"Strong - I got a lovely, clear, strong signal.")</f>
        <v>Strong - I got a lovely, clear, strong signal.</v>
      </c>
      <c r="AI92" s="2">
        <f ca="1">IFERROR(__xludf.DUMMYFUNCTION("""COMPUTED_VALUE"""),1907758)</f>
        <v>1907758</v>
      </c>
      <c r="AJ92" s="2">
        <f ca="1">IFERROR(__xludf.DUMMYFUNCTION("""COMPUTED_VALUE"""),5811928)</f>
        <v>5811928</v>
      </c>
      <c r="AK92" s="2">
        <f ca="1">IFERROR(__xludf.DUMMYFUNCTION("""COMPUTED_VALUE"""),350)</f>
        <v>350</v>
      </c>
      <c r="AL92" s="2" t="str">
        <f ca="1">IFERROR(__xludf.DUMMYFUNCTION("""COMPUTED_VALUE"""),"Medium - Signal was good but bird was not close.")</f>
        <v>Medium - Signal was good but bird was not close.</v>
      </c>
      <c r="AM92" s="2" t="str">
        <f ca="1">IFERROR(__xludf.DUMMYFUNCTION("""COMPUTED_VALUE"""),"")</f>
        <v/>
      </c>
      <c r="AN92" s="2" t="str">
        <f ca="1">IFERROR(__xludf.DUMMYFUNCTION("""COMPUTED_VALUE"""),"")</f>
        <v/>
      </c>
      <c r="AO92" s="2" t="str">
        <f ca="1">IFERROR(__xludf.DUMMYFUNCTION("""COMPUTED_VALUE"""),"")</f>
        <v/>
      </c>
      <c r="AP92" s="2" t="str">
        <f ca="1">IFERROR(__xludf.DUMMYFUNCTION("""COMPUTED_VALUE"""),"")</f>
        <v/>
      </c>
      <c r="AQ92" s="2" t="str">
        <f ca="1">IFERROR(__xludf.DUMMYFUNCTION("""COMPUTED_VALUE"""),"")</f>
        <v/>
      </c>
      <c r="AR92" s="2" t="str">
        <f ca="1">IFERROR(__xludf.DUMMYFUNCTION("""COMPUTED_VALUE"""),"")</f>
        <v/>
      </c>
      <c r="AS92" s="2" t="str">
        <f ca="1">IFERROR(__xludf.DUMMYFUNCTION("""COMPUTED_VALUE"""),"")</f>
        <v/>
      </c>
      <c r="AT92" s="2" t="str">
        <f ca="1">IFERROR(__xludf.DUMMYFUNCTION("""COMPUTED_VALUE"""),"")</f>
        <v/>
      </c>
      <c r="AU92" s="2" t="str">
        <f ca="1">IFERROR(__xludf.DUMMYFUNCTION("""COMPUTED_VALUE"""),"Bird was in the estuary close to where we think Pearl may have nested in 2017")</f>
        <v>Bird was in the estuary close to where we think Pearl may have nested in 2017</v>
      </c>
      <c r="AV92" s="2" t="str">
        <f ca="1">IFERROR(__xludf.DUMMYFUNCTION("""COMPUTED_VALUE"""),"")</f>
        <v/>
      </c>
      <c r="AW92" s="2" t="str">
        <f ca="1">IFERROR(__xludf.DUMMYFUNCTION("""COMPUTED_VALUE"""),"")</f>
        <v/>
      </c>
      <c r="AX92" s="2" t="str">
        <f ca="1">IFERROR(__xludf.DUMMYFUNCTION("""COMPUTED_VALUE"""),"")</f>
        <v/>
      </c>
      <c r="AY92" s="2" t="str">
        <f ca="1">IFERROR(__xludf.DUMMYFUNCTION("""COMPUTED_VALUE"""),"")</f>
        <v/>
      </c>
      <c r="AZ92" s="2" t="str">
        <f ca="1">IFERROR(__xludf.DUMMYFUNCTION("""COMPUTED_VALUE"""),"")</f>
        <v/>
      </c>
      <c r="BA92" s="2" t="str">
        <f ca="1">IFERROR(__xludf.DUMMYFUNCTION("""COMPUTED_VALUE"""),"")</f>
        <v/>
      </c>
      <c r="BB92" s="2" t="str">
        <f ca="1">IFERROR(__xludf.DUMMYFUNCTION("""COMPUTED_VALUE"""),"")</f>
        <v/>
      </c>
      <c r="BC92" s="2" t="str">
        <f ca="1">IFERROR(__xludf.DUMMYFUNCTION("""COMPUTED_VALUE"""),"")</f>
        <v/>
      </c>
      <c r="BD92" s="2" t="str">
        <f ca="1">IFERROR(__xludf.DUMMYFUNCTION("""COMPUTED_VALUE"""),"")</f>
        <v/>
      </c>
      <c r="BE92" s="2" t="str">
        <f ca="1">IFERROR(__xludf.DUMMYFUNCTION("""COMPUTED_VALUE"""),"")</f>
        <v/>
      </c>
      <c r="BF92" t="str">
        <f ca="1">IFERROR(__xludf.DUMMYFUNCTION("""COMPUTED_VALUE"""),"")</f>
        <v/>
      </c>
      <c r="BG92" t="str">
        <f ca="1">IFERROR(__xludf.DUMMYFUNCTION("""COMPUTED_VALUE"""),"")</f>
        <v/>
      </c>
      <c r="BH92" t="str">
        <f ca="1">IFERROR(__xludf.DUMMYFUNCTION("""COMPUTED_VALUE"""),"")</f>
        <v/>
      </c>
      <c r="BI92" t="str">
        <f ca="1">IFERROR(__xludf.DUMMYFUNCTION("""COMPUTED_VALUE"""),"")</f>
        <v/>
      </c>
      <c r="BJ92" s="3" t="str">
        <f ca="1">IFERROR(__xludf.DUMMYFUNCTION("""COMPUTED_VALUE"""),"")</f>
        <v/>
      </c>
    </row>
    <row r="93" spans="1:62" ht="12.5" x14ac:dyDescent="0.25">
      <c r="A93" s="6">
        <f ca="1">IFERROR(__xludf.DUMMYFUNCTION("""COMPUTED_VALUE"""),43435.5744664583)</f>
        <v>43435.574466458304</v>
      </c>
      <c r="B93" s="2" t="str">
        <f ca="1">IFERROR(__xludf.DUMMYFUNCTION("""COMPUTED_VALUE"""),"Bay of Plenty")</f>
        <v>Bay of Plenty</v>
      </c>
      <c r="C93" s="2" t="str">
        <f ca="1">IFERROR(__xludf.DUMMYFUNCTION("""COMPUTED_VALUE"""),"Tx 17 - Teddy")</f>
        <v>Tx 17 - Teddy</v>
      </c>
      <c r="D93" s="10">
        <f ca="1">IFERROR(__xludf.DUMMYFUNCTION("""COMPUTED_VALUE"""),43156)</f>
        <v>43156</v>
      </c>
      <c r="E93" s="4">
        <f ca="1">IFERROR(__xludf.DUMMYFUNCTION("""COMPUTED_VALUE"""),0.45833333333212)</f>
        <v>0.45833333333212001</v>
      </c>
      <c r="F93" s="2" t="str">
        <f ca="1">IFERROR(__xludf.DUMMYFUNCTION("""COMPUTED_VALUE"""),"Little Waihi WMR ")</f>
        <v xml:space="preserve">Little Waihi WMR </v>
      </c>
      <c r="G93" s="2" t="str">
        <f ca="1">IFERROR(__xludf.DUMMYFUNCTION("""COMPUTED_VALUE"""),"VHF (close approach): I followed the signal until I got within 50 m of the bird")</f>
        <v>VHF (close approach): I followed the signal until I got within 50 m of the bird</v>
      </c>
      <c r="H93" s="2" t="str">
        <f ca="1">IFERROR(__xludf.DUMMYFUNCTION("""COMPUTED_VALUE"""),"")</f>
        <v/>
      </c>
      <c r="I93" s="2" t="str">
        <f ca="1">IFERROR(__xludf.DUMMYFUNCTION("""COMPUTED_VALUE"""),"")</f>
        <v/>
      </c>
      <c r="J93" s="2" t="str">
        <f ca="1">IFERROR(__xludf.DUMMYFUNCTION("""COMPUTED_VALUE"""),"")</f>
        <v/>
      </c>
      <c r="K93" s="2" t="str">
        <f ca="1">IFERROR(__xludf.DUMMYFUNCTION("""COMPUTED_VALUE"""),"")</f>
        <v/>
      </c>
      <c r="L93" s="2" t="str">
        <f ca="1">IFERROR(__xludf.DUMMYFUNCTION("""COMPUTED_VALUE"""),"No - I got very close to the bird but it was well hidden in the vegetation")</f>
        <v>No - I got very close to the bird but it was well hidden in the vegetation</v>
      </c>
      <c r="M93" s="5">
        <f ca="1">IFERROR(__xludf.DUMMYFUNCTION("""COMPUTED_VALUE"""),1906787)</f>
        <v>1906787</v>
      </c>
      <c r="N93" s="5">
        <f ca="1">IFERROR(__xludf.DUMMYFUNCTION("""COMPUTED_VALUE"""),5813051)</f>
        <v>5813051</v>
      </c>
      <c r="O93" s="2" t="str">
        <f ca="1">IFERROR(__xludf.DUMMYFUNCTION("""COMPUTED_VALUE"""),"")</f>
        <v/>
      </c>
      <c r="P93" s="2" t="str">
        <f ca="1">IFERROR(__xludf.DUMMYFUNCTION("""COMPUTED_VALUE"""),"N/A - not grazed")</f>
        <v>N/A - not grazed</v>
      </c>
      <c r="Q93" s="2" t="str">
        <f ca="1">IFERROR(__xludf.DUMMYFUNCTION("""COMPUTED_VALUE"""),"Don't know")</f>
        <v>Don't know</v>
      </c>
      <c r="R93" s="2" t="str">
        <f ca="1">IFERROR(__xludf.DUMMYFUNCTION("""COMPUTED_VALUE"""),"Dont know")</f>
        <v>Dont know</v>
      </c>
      <c r="S93" s="2" t="str">
        <f ca="1">IFERROR(__xludf.DUMMYFUNCTION("""COMPUTED_VALUE"""),"Dont know")</f>
        <v>Dont know</v>
      </c>
      <c r="T93" s="2" t="str">
        <f ca="1">IFERROR(__xludf.DUMMYFUNCTION("""COMPUTED_VALUE"""),"WMR - Fresh water ")</f>
        <v xml:space="preserve">WMR - Fresh water </v>
      </c>
      <c r="U93" s="2" t="str">
        <f ca="1">IFERROR(__xludf.DUMMYFUNCTION("""COMPUTED_VALUE"""),"Fresh water ")</f>
        <v xml:space="preserve">Fresh water </v>
      </c>
      <c r="V93" s="2" t="str">
        <f ca="1">IFERROR(__xludf.DUMMYFUNCTION("""COMPUTED_VALUE"""),"")</f>
        <v/>
      </c>
      <c r="W93" s="2" t="str">
        <f ca="1">IFERROR(__xludf.DUMMYFUNCTION("""COMPUTED_VALUE"""),"")</f>
        <v/>
      </c>
      <c r="X93" s="2" t="str">
        <f ca="1">IFERROR(__xludf.DUMMYFUNCTION("""COMPUTED_VALUE"""),"")</f>
        <v/>
      </c>
      <c r="Y93" s="2" t="str">
        <f ca="1">IFERROR(__xludf.DUMMYFUNCTION("""COMPUTED_VALUE"""),"")</f>
        <v/>
      </c>
      <c r="Z93" s="2" t="str">
        <f ca="1">IFERROR(__xludf.DUMMYFUNCTION("""COMPUTED_VALUE"""),"")</f>
        <v/>
      </c>
      <c r="AA93" s="2" t="str">
        <f ca="1">IFERROR(__xludf.DUMMYFUNCTION("""COMPUTED_VALUE"""),"")</f>
        <v/>
      </c>
      <c r="AB93" s="2" t="str">
        <f ca="1">IFERROR(__xludf.DUMMYFUNCTION("""COMPUTED_VALUE"""),"")</f>
        <v/>
      </c>
      <c r="AC93" s="2" t="str">
        <f ca="1">IFERROR(__xludf.DUMMYFUNCTION("""COMPUTED_VALUE"""),"")</f>
        <v/>
      </c>
      <c r="AD93" s="2" t="str">
        <f ca="1">IFERROR(__xludf.DUMMYFUNCTION("""COMPUTED_VALUE"""),"")</f>
        <v/>
      </c>
      <c r="AE93" s="2" t="str">
        <f ca="1">IFERROR(__xludf.DUMMYFUNCTION("""COMPUTED_VALUE"""),"")</f>
        <v/>
      </c>
      <c r="AF93" s="2" t="str">
        <f ca="1">IFERROR(__xludf.DUMMYFUNCTION("""COMPUTED_VALUE"""),"")</f>
        <v/>
      </c>
      <c r="AG93" s="2" t="str">
        <f ca="1">IFERROR(__xludf.DUMMYFUNCTION("""COMPUTED_VALUE"""),"")</f>
        <v/>
      </c>
      <c r="AH93" s="2" t="str">
        <f ca="1">IFERROR(__xludf.DUMMYFUNCTION("""COMPUTED_VALUE"""),"")</f>
        <v/>
      </c>
      <c r="AI93" s="2" t="str">
        <f ca="1">IFERROR(__xludf.DUMMYFUNCTION("""COMPUTED_VALUE"""),"")</f>
        <v/>
      </c>
      <c r="AJ93" s="2" t="str">
        <f ca="1">IFERROR(__xludf.DUMMYFUNCTION("""COMPUTED_VALUE"""),"")</f>
        <v/>
      </c>
      <c r="AK93" s="2" t="str">
        <f ca="1">IFERROR(__xludf.DUMMYFUNCTION("""COMPUTED_VALUE"""),"")</f>
        <v/>
      </c>
      <c r="AL93" s="2" t="str">
        <f ca="1">IFERROR(__xludf.DUMMYFUNCTION("""COMPUTED_VALUE"""),"")</f>
        <v/>
      </c>
      <c r="AM93" s="2" t="str">
        <f ca="1">IFERROR(__xludf.DUMMYFUNCTION("""COMPUTED_VALUE"""),"")</f>
        <v/>
      </c>
      <c r="AN93" s="2" t="str">
        <f ca="1">IFERROR(__xludf.DUMMYFUNCTION("""COMPUTED_VALUE"""),"")</f>
        <v/>
      </c>
      <c r="AO93" s="2" t="str">
        <f ca="1">IFERROR(__xludf.DUMMYFUNCTION("""COMPUTED_VALUE"""),"")</f>
        <v/>
      </c>
      <c r="AP93" s="2" t="str">
        <f ca="1">IFERROR(__xludf.DUMMYFUNCTION("""COMPUTED_VALUE"""),"")</f>
        <v/>
      </c>
      <c r="AQ93" s="2" t="str">
        <f ca="1">IFERROR(__xludf.DUMMYFUNCTION("""COMPUTED_VALUE"""),"")</f>
        <v/>
      </c>
      <c r="AR93" s="2" t="str">
        <f ca="1">IFERROR(__xludf.DUMMYFUNCTION("""COMPUTED_VALUE"""),"")</f>
        <v/>
      </c>
      <c r="AS93" s="2" t="str">
        <f ca="1">IFERROR(__xludf.DUMMYFUNCTION("""COMPUTED_VALUE"""),"")</f>
        <v/>
      </c>
      <c r="AT93" s="2" t="str">
        <f ca="1">IFERROR(__xludf.DUMMYFUNCTION("""COMPUTED_VALUE"""),"")</f>
        <v/>
      </c>
      <c r="AU93" s="2" t="str">
        <f ca="1">IFERROR(__xludf.DUMMYFUNCTION("""COMPUTED_VALUE"""),"")</f>
        <v/>
      </c>
      <c r="AV93" s="2" t="str">
        <f ca="1">IFERROR(__xludf.DUMMYFUNCTION("""COMPUTED_VALUE"""),"")</f>
        <v/>
      </c>
      <c r="AW93" s="2" t="str">
        <f ca="1">IFERROR(__xludf.DUMMYFUNCTION("""COMPUTED_VALUE"""),"")</f>
        <v/>
      </c>
      <c r="AX93" s="2" t="str">
        <f ca="1">IFERROR(__xludf.DUMMYFUNCTION("""COMPUTED_VALUE"""),"")</f>
        <v/>
      </c>
      <c r="AY93" s="2" t="str">
        <f ca="1">IFERROR(__xludf.DUMMYFUNCTION("""COMPUTED_VALUE"""),"")</f>
        <v/>
      </c>
      <c r="AZ93" s="2" t="str">
        <f ca="1">IFERROR(__xludf.DUMMYFUNCTION("""COMPUTED_VALUE"""),"")</f>
        <v/>
      </c>
      <c r="BA93" s="2" t="str">
        <f ca="1">IFERROR(__xludf.DUMMYFUNCTION("""COMPUTED_VALUE"""),"")</f>
        <v/>
      </c>
      <c r="BB93" s="2" t="str">
        <f ca="1">IFERROR(__xludf.DUMMYFUNCTION("""COMPUTED_VALUE"""),"")</f>
        <v/>
      </c>
      <c r="BC93" s="2" t="str">
        <f ca="1">IFERROR(__xludf.DUMMYFUNCTION("""COMPUTED_VALUE"""),"")</f>
        <v/>
      </c>
      <c r="BD93" s="2" t="str">
        <f ca="1">IFERROR(__xludf.DUMMYFUNCTION("""COMPUTED_VALUE"""),"")</f>
        <v/>
      </c>
      <c r="BE93" s="2" t="str">
        <f ca="1">IFERROR(__xludf.DUMMYFUNCTION("""COMPUTED_VALUE"""),"")</f>
        <v/>
      </c>
      <c r="BF93" t="str">
        <f ca="1">IFERROR(__xludf.DUMMYFUNCTION("""COMPUTED_VALUE"""),"")</f>
        <v/>
      </c>
      <c r="BG93" t="str">
        <f ca="1">IFERROR(__xludf.DUMMYFUNCTION("""COMPUTED_VALUE"""),"")</f>
        <v/>
      </c>
      <c r="BH93" t="str">
        <f ca="1">IFERROR(__xludf.DUMMYFUNCTION("""COMPUTED_VALUE"""),"")</f>
        <v/>
      </c>
      <c r="BI93" t="str">
        <f ca="1">IFERROR(__xludf.DUMMYFUNCTION("""COMPUTED_VALUE"""),"")</f>
        <v/>
      </c>
      <c r="BJ93" s="3" t="str">
        <f ca="1">IFERROR(__xludf.DUMMYFUNCTION("""COMPUTED_VALUE"""),"")</f>
        <v/>
      </c>
    </row>
    <row r="94" spans="1:62" ht="12.5" x14ac:dyDescent="0.25">
      <c r="A94" s="6">
        <f ca="1">IFERROR(__xludf.DUMMYFUNCTION("""COMPUTED_VALUE"""),43435.5785109722)</f>
        <v>43435.578510972198</v>
      </c>
      <c r="B94" s="2" t="str">
        <f ca="1">IFERROR(__xludf.DUMMYFUNCTION("""COMPUTED_VALUE"""),"Bay of Plenty")</f>
        <v>Bay of Plenty</v>
      </c>
      <c r="C94" s="2" t="str">
        <f ca="1">IFERROR(__xludf.DUMMYFUNCTION("""COMPUTED_VALUE"""),"Tx 17 - Teddy")</f>
        <v>Tx 17 - Teddy</v>
      </c>
      <c r="D94" s="10">
        <f ca="1">IFERROR(__xludf.DUMMYFUNCTION("""COMPUTED_VALUE"""),43160)</f>
        <v>43160</v>
      </c>
      <c r="E94" s="4">
        <f ca="1">IFERROR(__xludf.DUMMYFUNCTION("""COMPUTED_VALUE"""),0.541666666667879)</f>
        <v>0.54166666666787899</v>
      </c>
      <c r="F94" s="2" t="str">
        <f ca="1">IFERROR(__xludf.DUMMYFUNCTION("""COMPUTED_VALUE"""),"Little Waihi WMR")</f>
        <v>Little Waihi WMR</v>
      </c>
      <c r="G94" s="2" t="str">
        <f ca="1">IFERROR(__xludf.DUMMYFUNCTION("""COMPUTED_VALUE"""),"VHF (close approach): I followed the signal until I got within 50 m of the bird")</f>
        <v>VHF (close approach): I followed the signal until I got within 50 m of the bird</v>
      </c>
      <c r="H94" s="2" t="str">
        <f ca="1">IFERROR(__xludf.DUMMYFUNCTION("""COMPUTED_VALUE"""),"")</f>
        <v/>
      </c>
      <c r="I94" s="2" t="str">
        <f ca="1">IFERROR(__xludf.DUMMYFUNCTION("""COMPUTED_VALUE"""),"")</f>
        <v/>
      </c>
      <c r="J94" s="2" t="str">
        <f ca="1">IFERROR(__xludf.DUMMYFUNCTION("""COMPUTED_VALUE"""),"")</f>
        <v/>
      </c>
      <c r="K94" s="2" t="str">
        <f ca="1">IFERROR(__xludf.DUMMYFUNCTION("""COMPUTED_VALUE"""),"")</f>
        <v/>
      </c>
      <c r="L94" s="2" t="str">
        <f ca="1">IFERROR(__xludf.DUMMYFUNCTION("""COMPUTED_VALUE"""),"No - I got very close to the bird but it was well hidden in the vegetation")</f>
        <v>No - I got very close to the bird but it was well hidden in the vegetation</v>
      </c>
      <c r="M94" s="5">
        <f ca="1">IFERROR(__xludf.DUMMYFUNCTION("""COMPUTED_VALUE"""),1906866)</f>
        <v>1906866</v>
      </c>
      <c r="N94" s="5">
        <f ca="1">IFERROR(__xludf.DUMMYFUNCTION("""COMPUTED_VALUE"""),5813045)</f>
        <v>5813045</v>
      </c>
      <c r="O94" s="2" t="str">
        <f ca="1">IFERROR(__xludf.DUMMYFUNCTION("""COMPUTED_VALUE"""),"")</f>
        <v/>
      </c>
      <c r="P94" s="2" t="str">
        <f ca="1">IFERROR(__xludf.DUMMYFUNCTION("""COMPUTED_VALUE"""),"N/A - not grazed")</f>
        <v>N/A - not grazed</v>
      </c>
      <c r="Q94" s="2" t="str">
        <f ca="1">IFERROR(__xludf.DUMMYFUNCTION("""COMPUTED_VALUE"""),"Wet")</f>
        <v>Wet</v>
      </c>
      <c r="R94" s="2" t="str">
        <f ca="1">IFERROR(__xludf.DUMMYFUNCTION("""COMPUTED_VALUE"""),"dont know")</f>
        <v>dont know</v>
      </c>
      <c r="S94" s="2" t="str">
        <f ca="1">IFERROR(__xludf.DUMMYFUNCTION("""COMPUTED_VALUE"""),"see map of WMR")</f>
        <v>see map of WMR</v>
      </c>
      <c r="T94" s="2" t="str">
        <f ca="1">IFERROR(__xludf.DUMMYFUNCTION("""COMPUTED_VALUE"""),"Dont know")</f>
        <v>Dont know</v>
      </c>
      <c r="U94" s="2" t="str">
        <f ca="1">IFERROR(__xludf.DUMMYFUNCTION("""COMPUTED_VALUE"""),"Water level low - Julian drying for pampas spraying?")</f>
        <v>Water level low - Julian drying for pampas spraying?</v>
      </c>
      <c r="V94" s="2" t="str">
        <f ca="1">IFERROR(__xludf.DUMMYFUNCTION("""COMPUTED_VALUE"""),"")</f>
        <v/>
      </c>
      <c r="W94" s="2" t="str">
        <f ca="1">IFERROR(__xludf.DUMMYFUNCTION("""COMPUTED_VALUE"""),"")</f>
        <v/>
      </c>
      <c r="X94" s="2" t="str">
        <f ca="1">IFERROR(__xludf.DUMMYFUNCTION("""COMPUTED_VALUE"""),"")</f>
        <v/>
      </c>
      <c r="Y94" s="2" t="str">
        <f ca="1">IFERROR(__xludf.DUMMYFUNCTION("""COMPUTED_VALUE"""),"")</f>
        <v/>
      </c>
      <c r="Z94" s="2" t="str">
        <f ca="1">IFERROR(__xludf.DUMMYFUNCTION("""COMPUTED_VALUE"""),"")</f>
        <v/>
      </c>
      <c r="AA94" s="2" t="str">
        <f ca="1">IFERROR(__xludf.DUMMYFUNCTION("""COMPUTED_VALUE"""),"")</f>
        <v/>
      </c>
      <c r="AB94" s="2" t="str">
        <f ca="1">IFERROR(__xludf.DUMMYFUNCTION("""COMPUTED_VALUE"""),"")</f>
        <v/>
      </c>
      <c r="AC94" s="2" t="str">
        <f ca="1">IFERROR(__xludf.DUMMYFUNCTION("""COMPUTED_VALUE"""),"")</f>
        <v/>
      </c>
      <c r="AD94" s="2" t="str">
        <f ca="1">IFERROR(__xludf.DUMMYFUNCTION("""COMPUTED_VALUE"""),"")</f>
        <v/>
      </c>
      <c r="AE94" s="2" t="str">
        <f ca="1">IFERROR(__xludf.DUMMYFUNCTION("""COMPUTED_VALUE"""),"")</f>
        <v/>
      </c>
      <c r="AF94" s="2" t="str">
        <f ca="1">IFERROR(__xludf.DUMMYFUNCTION("""COMPUTED_VALUE"""),"")</f>
        <v/>
      </c>
      <c r="AG94" s="2" t="str">
        <f ca="1">IFERROR(__xludf.DUMMYFUNCTION("""COMPUTED_VALUE"""),"")</f>
        <v/>
      </c>
      <c r="AH94" s="2" t="str">
        <f ca="1">IFERROR(__xludf.DUMMYFUNCTION("""COMPUTED_VALUE"""),"")</f>
        <v/>
      </c>
      <c r="AI94" s="2" t="str">
        <f ca="1">IFERROR(__xludf.DUMMYFUNCTION("""COMPUTED_VALUE"""),"")</f>
        <v/>
      </c>
      <c r="AJ94" s="2" t="str">
        <f ca="1">IFERROR(__xludf.DUMMYFUNCTION("""COMPUTED_VALUE"""),"")</f>
        <v/>
      </c>
      <c r="AK94" s="2" t="str">
        <f ca="1">IFERROR(__xludf.DUMMYFUNCTION("""COMPUTED_VALUE"""),"")</f>
        <v/>
      </c>
      <c r="AL94" s="2" t="str">
        <f ca="1">IFERROR(__xludf.DUMMYFUNCTION("""COMPUTED_VALUE"""),"")</f>
        <v/>
      </c>
      <c r="AM94" s="2" t="str">
        <f ca="1">IFERROR(__xludf.DUMMYFUNCTION("""COMPUTED_VALUE"""),"")</f>
        <v/>
      </c>
      <c r="AN94" s="2" t="str">
        <f ca="1">IFERROR(__xludf.DUMMYFUNCTION("""COMPUTED_VALUE"""),"")</f>
        <v/>
      </c>
      <c r="AO94" s="2" t="str">
        <f ca="1">IFERROR(__xludf.DUMMYFUNCTION("""COMPUTED_VALUE"""),"")</f>
        <v/>
      </c>
      <c r="AP94" s="2" t="str">
        <f ca="1">IFERROR(__xludf.DUMMYFUNCTION("""COMPUTED_VALUE"""),"")</f>
        <v/>
      </c>
      <c r="AQ94" s="2" t="str">
        <f ca="1">IFERROR(__xludf.DUMMYFUNCTION("""COMPUTED_VALUE"""),"")</f>
        <v/>
      </c>
      <c r="AR94" s="2" t="str">
        <f ca="1">IFERROR(__xludf.DUMMYFUNCTION("""COMPUTED_VALUE"""),"")</f>
        <v/>
      </c>
      <c r="AS94" s="2" t="str">
        <f ca="1">IFERROR(__xludf.DUMMYFUNCTION("""COMPUTED_VALUE"""),"")</f>
        <v/>
      </c>
      <c r="AT94" s="2" t="str">
        <f ca="1">IFERROR(__xludf.DUMMYFUNCTION("""COMPUTED_VALUE"""),"")</f>
        <v/>
      </c>
      <c r="AU94" s="2" t="str">
        <f ca="1">IFERROR(__xludf.DUMMYFUNCTION("""COMPUTED_VALUE"""),"")</f>
        <v/>
      </c>
      <c r="AV94" s="2" t="str">
        <f ca="1">IFERROR(__xludf.DUMMYFUNCTION("""COMPUTED_VALUE"""),"")</f>
        <v/>
      </c>
      <c r="AW94" s="2" t="str">
        <f ca="1">IFERROR(__xludf.DUMMYFUNCTION("""COMPUTED_VALUE"""),"")</f>
        <v/>
      </c>
      <c r="AX94" s="2" t="str">
        <f ca="1">IFERROR(__xludf.DUMMYFUNCTION("""COMPUTED_VALUE"""),"")</f>
        <v/>
      </c>
      <c r="AY94" s="2" t="str">
        <f ca="1">IFERROR(__xludf.DUMMYFUNCTION("""COMPUTED_VALUE"""),"")</f>
        <v/>
      </c>
      <c r="AZ94" s="2" t="str">
        <f ca="1">IFERROR(__xludf.DUMMYFUNCTION("""COMPUTED_VALUE"""),"")</f>
        <v/>
      </c>
      <c r="BA94" s="2" t="str">
        <f ca="1">IFERROR(__xludf.DUMMYFUNCTION("""COMPUTED_VALUE"""),"")</f>
        <v/>
      </c>
      <c r="BB94" s="2" t="str">
        <f ca="1">IFERROR(__xludf.DUMMYFUNCTION("""COMPUTED_VALUE"""),"")</f>
        <v/>
      </c>
      <c r="BC94" s="2" t="str">
        <f ca="1">IFERROR(__xludf.DUMMYFUNCTION("""COMPUTED_VALUE"""),"")</f>
        <v/>
      </c>
      <c r="BD94" s="2" t="str">
        <f ca="1">IFERROR(__xludf.DUMMYFUNCTION("""COMPUTED_VALUE"""),"")</f>
        <v/>
      </c>
      <c r="BE94" s="2" t="str">
        <f ca="1">IFERROR(__xludf.DUMMYFUNCTION("""COMPUTED_VALUE"""),"")</f>
        <v/>
      </c>
      <c r="BF94" t="str">
        <f ca="1">IFERROR(__xludf.DUMMYFUNCTION("""COMPUTED_VALUE"""),"")</f>
        <v/>
      </c>
      <c r="BG94" t="str">
        <f ca="1">IFERROR(__xludf.DUMMYFUNCTION("""COMPUTED_VALUE"""),"")</f>
        <v/>
      </c>
      <c r="BH94" t="str">
        <f ca="1">IFERROR(__xludf.DUMMYFUNCTION("""COMPUTED_VALUE"""),"")</f>
        <v/>
      </c>
      <c r="BI94" t="str">
        <f ca="1">IFERROR(__xludf.DUMMYFUNCTION("""COMPUTED_VALUE"""),"")</f>
        <v/>
      </c>
      <c r="BJ94" s="3" t="str">
        <f ca="1">IFERROR(__xludf.DUMMYFUNCTION("""COMPUTED_VALUE"""),"")</f>
        <v/>
      </c>
    </row>
    <row r="95" spans="1:62" ht="12.5" x14ac:dyDescent="0.25">
      <c r="A95" s="6">
        <f ca="1">IFERROR(__xludf.DUMMYFUNCTION("""COMPUTED_VALUE"""),43435.5840087383)</f>
        <v>43435.584008738297</v>
      </c>
      <c r="B95" s="2" t="str">
        <f ca="1">IFERROR(__xludf.DUMMYFUNCTION("""COMPUTED_VALUE"""),"Bay of Plenty")</f>
        <v>Bay of Plenty</v>
      </c>
      <c r="C95" s="2" t="str">
        <f ca="1">IFERROR(__xludf.DUMMYFUNCTION("""COMPUTED_VALUE"""),"Tx 17 - Teddy")</f>
        <v>Tx 17 - Teddy</v>
      </c>
      <c r="D95" s="10">
        <f ca="1">IFERROR(__xludf.DUMMYFUNCTION("""COMPUTED_VALUE"""),43182)</f>
        <v>43182</v>
      </c>
      <c r="E95" s="4">
        <f ca="1">IFERROR(__xludf.DUMMYFUNCTION("""COMPUTED_VALUE"""),0.565972222222626)</f>
        <v>0.565972222222626</v>
      </c>
      <c r="F95" s="2" t="str">
        <f ca="1">IFERROR(__xludf.DUMMYFUNCTION("""COMPUTED_VALUE"""),"Waihi WMR ")</f>
        <v xml:space="preserve">Waihi WMR </v>
      </c>
      <c r="G95" s="2" t="str">
        <f ca="1">IFERROR(__xludf.DUMMYFUNCTION("""COMPUTED_VALUE"""),"VHF (close approach): I followed the signal until I got within 50 m of the bird")</f>
        <v>VHF (close approach): I followed the signal until I got within 50 m of the bird</v>
      </c>
      <c r="H95" s="2" t="str">
        <f ca="1">IFERROR(__xludf.DUMMYFUNCTION("""COMPUTED_VALUE"""),"")</f>
        <v/>
      </c>
      <c r="I95" s="2" t="str">
        <f ca="1">IFERROR(__xludf.DUMMYFUNCTION("""COMPUTED_VALUE"""),"")</f>
        <v/>
      </c>
      <c r="J95" s="2" t="str">
        <f ca="1">IFERROR(__xludf.DUMMYFUNCTION("""COMPUTED_VALUE"""),"")</f>
        <v/>
      </c>
      <c r="K95" s="2" t="str">
        <f ca="1">IFERROR(__xludf.DUMMYFUNCTION("""COMPUTED_VALUE"""),"")</f>
        <v/>
      </c>
      <c r="L95" s="2" t="str">
        <f ca="1">IFERROR(__xludf.DUMMYFUNCTION("""COMPUTED_VALUE"""),"No - I got very close to the bird but it was well hidden in the vegetation")</f>
        <v>No - I got very close to the bird but it was well hidden in the vegetation</v>
      </c>
      <c r="M95" s="5">
        <f ca="1">IFERROR(__xludf.DUMMYFUNCTION("""COMPUTED_VALUE"""),1906858)</f>
        <v>1906858</v>
      </c>
      <c r="N95" s="5">
        <f ca="1">IFERROR(__xludf.DUMMYFUNCTION("""COMPUTED_VALUE"""),5813067)</f>
        <v>5813067</v>
      </c>
      <c r="O95" s="2" t="str">
        <f ca="1">IFERROR(__xludf.DUMMYFUNCTION("""COMPUTED_VALUE"""),"")</f>
        <v/>
      </c>
      <c r="P95" s="2" t="str">
        <f ca="1">IFERROR(__xludf.DUMMYFUNCTION("""COMPUTED_VALUE"""),"N/A - not grazed")</f>
        <v>N/A - not grazed</v>
      </c>
      <c r="Q95" s="2" t="str">
        <f ca="1">IFERROR(__xludf.DUMMYFUNCTION("""COMPUTED_VALUE"""),"Don't know")</f>
        <v>Don't know</v>
      </c>
      <c r="R95" s="2" t="str">
        <f ca="1">IFERROR(__xludf.DUMMYFUNCTION("""COMPUTED_VALUE"""),"dont know")</f>
        <v>dont know</v>
      </c>
      <c r="S95" s="2" t="str">
        <f ca="1">IFERROR(__xludf.DUMMYFUNCTION("""COMPUTED_VALUE"""),"see WMR map")</f>
        <v>see WMR map</v>
      </c>
      <c r="T95" s="2" t="str">
        <f ca="1">IFERROR(__xludf.DUMMYFUNCTION("""COMPUTED_VALUE"""),"Dont know")</f>
        <v>Dont know</v>
      </c>
      <c r="U95" s="2" t="str">
        <f ca="1">IFERROR(__xludf.DUMMYFUNCTION("""COMPUTED_VALUE"""),"bird within 50m of gps mark ")</f>
        <v xml:space="preserve">bird within 50m of gps mark </v>
      </c>
      <c r="V95" s="2" t="str">
        <f ca="1">IFERROR(__xludf.DUMMYFUNCTION("""COMPUTED_VALUE"""),"")</f>
        <v/>
      </c>
      <c r="W95" s="2" t="str">
        <f ca="1">IFERROR(__xludf.DUMMYFUNCTION("""COMPUTED_VALUE"""),"")</f>
        <v/>
      </c>
      <c r="X95" s="2" t="str">
        <f ca="1">IFERROR(__xludf.DUMMYFUNCTION("""COMPUTED_VALUE"""),"")</f>
        <v/>
      </c>
      <c r="Y95" s="2" t="str">
        <f ca="1">IFERROR(__xludf.DUMMYFUNCTION("""COMPUTED_VALUE"""),"")</f>
        <v/>
      </c>
      <c r="Z95" s="2" t="str">
        <f ca="1">IFERROR(__xludf.DUMMYFUNCTION("""COMPUTED_VALUE"""),"")</f>
        <v/>
      </c>
      <c r="AA95" s="2" t="str">
        <f ca="1">IFERROR(__xludf.DUMMYFUNCTION("""COMPUTED_VALUE"""),"")</f>
        <v/>
      </c>
      <c r="AB95" s="2" t="str">
        <f ca="1">IFERROR(__xludf.DUMMYFUNCTION("""COMPUTED_VALUE"""),"")</f>
        <v/>
      </c>
      <c r="AC95" s="2" t="str">
        <f ca="1">IFERROR(__xludf.DUMMYFUNCTION("""COMPUTED_VALUE"""),"")</f>
        <v/>
      </c>
      <c r="AD95" s="2" t="str">
        <f ca="1">IFERROR(__xludf.DUMMYFUNCTION("""COMPUTED_VALUE"""),"")</f>
        <v/>
      </c>
      <c r="AE95" s="2" t="str">
        <f ca="1">IFERROR(__xludf.DUMMYFUNCTION("""COMPUTED_VALUE"""),"")</f>
        <v/>
      </c>
      <c r="AF95" s="2" t="str">
        <f ca="1">IFERROR(__xludf.DUMMYFUNCTION("""COMPUTED_VALUE"""),"")</f>
        <v/>
      </c>
      <c r="AG95" s="2" t="str">
        <f ca="1">IFERROR(__xludf.DUMMYFUNCTION("""COMPUTED_VALUE"""),"")</f>
        <v/>
      </c>
      <c r="AH95" s="2" t="str">
        <f ca="1">IFERROR(__xludf.DUMMYFUNCTION("""COMPUTED_VALUE"""),"")</f>
        <v/>
      </c>
      <c r="AI95" s="2" t="str">
        <f ca="1">IFERROR(__xludf.DUMMYFUNCTION("""COMPUTED_VALUE"""),"")</f>
        <v/>
      </c>
      <c r="AJ95" s="2" t="str">
        <f ca="1">IFERROR(__xludf.DUMMYFUNCTION("""COMPUTED_VALUE"""),"")</f>
        <v/>
      </c>
      <c r="AK95" s="2" t="str">
        <f ca="1">IFERROR(__xludf.DUMMYFUNCTION("""COMPUTED_VALUE"""),"")</f>
        <v/>
      </c>
      <c r="AL95" s="2" t="str">
        <f ca="1">IFERROR(__xludf.DUMMYFUNCTION("""COMPUTED_VALUE"""),"")</f>
        <v/>
      </c>
      <c r="AM95" s="2" t="str">
        <f ca="1">IFERROR(__xludf.DUMMYFUNCTION("""COMPUTED_VALUE"""),"")</f>
        <v/>
      </c>
      <c r="AN95" s="2" t="str">
        <f ca="1">IFERROR(__xludf.DUMMYFUNCTION("""COMPUTED_VALUE"""),"")</f>
        <v/>
      </c>
      <c r="AO95" s="2" t="str">
        <f ca="1">IFERROR(__xludf.DUMMYFUNCTION("""COMPUTED_VALUE"""),"")</f>
        <v/>
      </c>
      <c r="AP95" s="2" t="str">
        <f ca="1">IFERROR(__xludf.DUMMYFUNCTION("""COMPUTED_VALUE"""),"")</f>
        <v/>
      </c>
      <c r="AQ95" s="2" t="str">
        <f ca="1">IFERROR(__xludf.DUMMYFUNCTION("""COMPUTED_VALUE"""),"")</f>
        <v/>
      </c>
      <c r="AR95" s="2" t="str">
        <f ca="1">IFERROR(__xludf.DUMMYFUNCTION("""COMPUTED_VALUE"""),"")</f>
        <v/>
      </c>
      <c r="AS95" s="2" t="str">
        <f ca="1">IFERROR(__xludf.DUMMYFUNCTION("""COMPUTED_VALUE"""),"")</f>
        <v/>
      </c>
      <c r="AT95" s="2" t="str">
        <f ca="1">IFERROR(__xludf.DUMMYFUNCTION("""COMPUTED_VALUE"""),"")</f>
        <v/>
      </c>
      <c r="AU95" s="2" t="str">
        <f ca="1">IFERROR(__xludf.DUMMYFUNCTION("""COMPUTED_VALUE"""),"")</f>
        <v/>
      </c>
      <c r="AV95" s="2" t="str">
        <f ca="1">IFERROR(__xludf.DUMMYFUNCTION("""COMPUTED_VALUE"""),"")</f>
        <v/>
      </c>
      <c r="AW95" s="2" t="str">
        <f ca="1">IFERROR(__xludf.DUMMYFUNCTION("""COMPUTED_VALUE"""),"")</f>
        <v/>
      </c>
      <c r="AX95" s="2" t="str">
        <f ca="1">IFERROR(__xludf.DUMMYFUNCTION("""COMPUTED_VALUE"""),"")</f>
        <v/>
      </c>
      <c r="AY95" s="2" t="str">
        <f ca="1">IFERROR(__xludf.DUMMYFUNCTION("""COMPUTED_VALUE"""),"")</f>
        <v/>
      </c>
      <c r="AZ95" s="2" t="str">
        <f ca="1">IFERROR(__xludf.DUMMYFUNCTION("""COMPUTED_VALUE"""),"")</f>
        <v/>
      </c>
      <c r="BA95" s="2" t="str">
        <f ca="1">IFERROR(__xludf.DUMMYFUNCTION("""COMPUTED_VALUE"""),"")</f>
        <v/>
      </c>
      <c r="BB95" s="2" t="str">
        <f ca="1">IFERROR(__xludf.DUMMYFUNCTION("""COMPUTED_VALUE"""),"")</f>
        <v/>
      </c>
      <c r="BC95" s="2" t="str">
        <f ca="1">IFERROR(__xludf.DUMMYFUNCTION("""COMPUTED_VALUE"""),"")</f>
        <v/>
      </c>
      <c r="BD95" s="2" t="str">
        <f ca="1">IFERROR(__xludf.DUMMYFUNCTION("""COMPUTED_VALUE"""),"")</f>
        <v/>
      </c>
      <c r="BE95" s="2" t="str">
        <f ca="1">IFERROR(__xludf.DUMMYFUNCTION("""COMPUTED_VALUE"""),"")</f>
        <v/>
      </c>
      <c r="BF95" t="str">
        <f ca="1">IFERROR(__xludf.DUMMYFUNCTION("""COMPUTED_VALUE"""),"")</f>
        <v/>
      </c>
      <c r="BG95" t="str">
        <f ca="1">IFERROR(__xludf.DUMMYFUNCTION("""COMPUTED_VALUE"""),"")</f>
        <v/>
      </c>
      <c r="BH95" t="str">
        <f ca="1">IFERROR(__xludf.DUMMYFUNCTION("""COMPUTED_VALUE"""),"")</f>
        <v/>
      </c>
      <c r="BI95" t="str">
        <f ca="1">IFERROR(__xludf.DUMMYFUNCTION("""COMPUTED_VALUE"""),"")</f>
        <v/>
      </c>
      <c r="BJ95" s="3" t="str">
        <f ca="1">IFERROR(__xludf.DUMMYFUNCTION("""COMPUTED_VALUE"""),"")</f>
        <v/>
      </c>
    </row>
    <row r="96" spans="1:62" ht="12.5" x14ac:dyDescent="0.25">
      <c r="A96" s="6">
        <f ca="1">IFERROR(__xludf.DUMMYFUNCTION("""COMPUTED_VALUE"""),43435.5882432407)</f>
        <v>43435.588243240702</v>
      </c>
      <c r="B96" s="2" t="str">
        <f ca="1">IFERROR(__xludf.DUMMYFUNCTION("""COMPUTED_VALUE"""),"Bay of Plenty")</f>
        <v>Bay of Plenty</v>
      </c>
      <c r="C96" s="2" t="str">
        <f ca="1">IFERROR(__xludf.DUMMYFUNCTION("""COMPUTED_VALUE"""),"Tx 17 - Teddy")</f>
        <v>Tx 17 - Teddy</v>
      </c>
      <c r="D96" s="10">
        <f ca="1">IFERROR(__xludf.DUMMYFUNCTION("""COMPUTED_VALUE"""),43214)</f>
        <v>43214</v>
      </c>
      <c r="E96" s="4">
        <f ca="1">IFERROR(__xludf.DUMMYFUNCTION("""COMPUTED_VALUE"""),0.83333333333212)</f>
        <v>0.83333333333212001</v>
      </c>
      <c r="F96" s="2" t="str">
        <f ca="1">IFERROR(__xludf.DUMMYFUNCTION("""COMPUTED_VALUE"""),"Salt marsh opposite cutwater rd  ")</f>
        <v xml:space="preserve">Salt marsh opposite cutwater rd  </v>
      </c>
      <c r="G96" s="2" t="str">
        <f ca="1">IFERROR(__xludf.DUMMYFUNCTION("""COMPUTED_VALUE"""),"VHF (close approach): I followed the signal until I got within 50 m of the bird")</f>
        <v>VHF (close approach): I followed the signal until I got within 50 m of the bird</v>
      </c>
      <c r="H96" s="2" t="str">
        <f ca="1">IFERROR(__xludf.DUMMYFUNCTION("""COMPUTED_VALUE"""),"")</f>
        <v/>
      </c>
      <c r="I96" s="2" t="str">
        <f ca="1">IFERROR(__xludf.DUMMYFUNCTION("""COMPUTED_VALUE"""),"")</f>
        <v/>
      </c>
      <c r="J96" s="2" t="str">
        <f ca="1">IFERROR(__xludf.DUMMYFUNCTION("""COMPUTED_VALUE"""),"")</f>
        <v/>
      </c>
      <c r="K96" s="2" t="str">
        <f ca="1">IFERROR(__xludf.DUMMYFUNCTION("""COMPUTED_VALUE"""),"")</f>
        <v/>
      </c>
      <c r="L96" s="2" t="str">
        <f ca="1">IFERROR(__xludf.DUMMYFUNCTION("""COMPUTED_VALUE"""),"Yes - it flushed")</f>
        <v>Yes - it flushed</v>
      </c>
      <c r="M96" s="5">
        <f ca="1">IFERROR(__xludf.DUMMYFUNCTION("""COMPUTED_VALUE"""),1907514)</f>
        <v>1907514</v>
      </c>
      <c r="N96" s="5">
        <f ca="1">IFERROR(__xludf.DUMMYFUNCTION("""COMPUTED_VALUE"""),5812989)</f>
        <v>5812989</v>
      </c>
      <c r="O96" s="2" t="str">
        <f ca="1">IFERROR(__xludf.DUMMYFUNCTION("""COMPUTED_VALUE"""),"")</f>
        <v/>
      </c>
      <c r="P96" s="2" t="str">
        <f ca="1">IFERROR(__xludf.DUMMYFUNCTION("""COMPUTED_VALUE"""),"")</f>
        <v/>
      </c>
      <c r="Q96" s="2" t="str">
        <f ca="1">IFERROR(__xludf.DUMMYFUNCTION("""COMPUTED_VALUE"""),"Wet")</f>
        <v>Wet</v>
      </c>
      <c r="R96" s="2" t="str">
        <f ca="1">IFERROR(__xludf.DUMMYFUNCTION("""COMPUTED_VALUE"""),"dont know")</f>
        <v>dont know</v>
      </c>
      <c r="S96" s="2" t="str">
        <f ca="1">IFERROR(__xludf.DUMMYFUNCTION("""COMPUTED_VALUE"""),"in salt marsh")</f>
        <v>in salt marsh</v>
      </c>
      <c r="T96" s="2" t="str">
        <f ca="1">IFERROR(__xludf.DUMMYFUNCTION("""COMPUTED_VALUE"""),"oioi salt marsh ")</f>
        <v xml:space="preserve">oioi salt marsh </v>
      </c>
      <c r="U96" s="2" t="str">
        <f ca="1">IFERROR(__xludf.DUMMYFUNCTION("""COMPUTED_VALUE"""),"emma, karl, rhys thermal camera night ")</f>
        <v xml:space="preserve">emma, karl, rhys thermal camera night </v>
      </c>
      <c r="V96" s="2" t="str">
        <f ca="1">IFERROR(__xludf.DUMMYFUNCTION("""COMPUTED_VALUE"""),"")</f>
        <v/>
      </c>
      <c r="W96" s="2" t="str">
        <f ca="1">IFERROR(__xludf.DUMMYFUNCTION("""COMPUTED_VALUE"""),"")</f>
        <v/>
      </c>
      <c r="X96" s="2" t="str">
        <f ca="1">IFERROR(__xludf.DUMMYFUNCTION("""COMPUTED_VALUE"""),"")</f>
        <v/>
      </c>
      <c r="Y96" s="2" t="str">
        <f ca="1">IFERROR(__xludf.DUMMYFUNCTION("""COMPUTED_VALUE"""),"")</f>
        <v/>
      </c>
      <c r="Z96" s="2" t="str">
        <f ca="1">IFERROR(__xludf.DUMMYFUNCTION("""COMPUTED_VALUE"""),"")</f>
        <v/>
      </c>
      <c r="AA96" s="2" t="str">
        <f ca="1">IFERROR(__xludf.DUMMYFUNCTION("""COMPUTED_VALUE"""),"")</f>
        <v/>
      </c>
      <c r="AB96" s="2" t="str">
        <f ca="1">IFERROR(__xludf.DUMMYFUNCTION("""COMPUTED_VALUE"""),"")</f>
        <v/>
      </c>
      <c r="AC96" s="2" t="str">
        <f ca="1">IFERROR(__xludf.DUMMYFUNCTION("""COMPUTED_VALUE"""),"")</f>
        <v/>
      </c>
      <c r="AD96" s="2" t="str">
        <f ca="1">IFERROR(__xludf.DUMMYFUNCTION("""COMPUTED_VALUE"""),"")</f>
        <v/>
      </c>
      <c r="AE96" s="2" t="str">
        <f ca="1">IFERROR(__xludf.DUMMYFUNCTION("""COMPUTED_VALUE"""),"")</f>
        <v/>
      </c>
      <c r="AF96" s="2" t="str">
        <f ca="1">IFERROR(__xludf.DUMMYFUNCTION("""COMPUTED_VALUE"""),"")</f>
        <v/>
      </c>
      <c r="AG96" s="2" t="str">
        <f ca="1">IFERROR(__xludf.DUMMYFUNCTION("""COMPUTED_VALUE"""),"")</f>
        <v/>
      </c>
      <c r="AH96" s="2" t="str">
        <f ca="1">IFERROR(__xludf.DUMMYFUNCTION("""COMPUTED_VALUE"""),"")</f>
        <v/>
      </c>
      <c r="AI96" s="2" t="str">
        <f ca="1">IFERROR(__xludf.DUMMYFUNCTION("""COMPUTED_VALUE"""),"")</f>
        <v/>
      </c>
      <c r="AJ96" s="2" t="str">
        <f ca="1">IFERROR(__xludf.DUMMYFUNCTION("""COMPUTED_VALUE"""),"")</f>
        <v/>
      </c>
      <c r="AK96" s="2" t="str">
        <f ca="1">IFERROR(__xludf.DUMMYFUNCTION("""COMPUTED_VALUE"""),"")</f>
        <v/>
      </c>
      <c r="AL96" s="2" t="str">
        <f ca="1">IFERROR(__xludf.DUMMYFUNCTION("""COMPUTED_VALUE"""),"")</f>
        <v/>
      </c>
      <c r="AM96" s="2" t="str">
        <f ca="1">IFERROR(__xludf.DUMMYFUNCTION("""COMPUTED_VALUE"""),"")</f>
        <v/>
      </c>
      <c r="AN96" s="2" t="str">
        <f ca="1">IFERROR(__xludf.DUMMYFUNCTION("""COMPUTED_VALUE"""),"")</f>
        <v/>
      </c>
      <c r="AO96" s="2" t="str">
        <f ca="1">IFERROR(__xludf.DUMMYFUNCTION("""COMPUTED_VALUE"""),"")</f>
        <v/>
      </c>
      <c r="AP96" s="2" t="str">
        <f ca="1">IFERROR(__xludf.DUMMYFUNCTION("""COMPUTED_VALUE"""),"")</f>
        <v/>
      </c>
      <c r="AQ96" s="2" t="str">
        <f ca="1">IFERROR(__xludf.DUMMYFUNCTION("""COMPUTED_VALUE"""),"")</f>
        <v/>
      </c>
      <c r="AR96" s="2" t="str">
        <f ca="1">IFERROR(__xludf.DUMMYFUNCTION("""COMPUTED_VALUE"""),"")</f>
        <v/>
      </c>
      <c r="AS96" s="2" t="str">
        <f ca="1">IFERROR(__xludf.DUMMYFUNCTION("""COMPUTED_VALUE"""),"")</f>
        <v/>
      </c>
      <c r="AT96" s="2" t="str">
        <f ca="1">IFERROR(__xludf.DUMMYFUNCTION("""COMPUTED_VALUE"""),"")</f>
        <v/>
      </c>
      <c r="AU96" s="2" t="str">
        <f ca="1">IFERROR(__xludf.DUMMYFUNCTION("""COMPUTED_VALUE"""),"")</f>
        <v/>
      </c>
      <c r="AV96" s="2" t="str">
        <f ca="1">IFERROR(__xludf.DUMMYFUNCTION("""COMPUTED_VALUE"""),"")</f>
        <v/>
      </c>
      <c r="AW96" s="2" t="str">
        <f ca="1">IFERROR(__xludf.DUMMYFUNCTION("""COMPUTED_VALUE"""),"")</f>
        <v/>
      </c>
      <c r="AX96" s="2" t="str">
        <f ca="1">IFERROR(__xludf.DUMMYFUNCTION("""COMPUTED_VALUE"""),"")</f>
        <v/>
      </c>
      <c r="AY96" s="2" t="str">
        <f ca="1">IFERROR(__xludf.DUMMYFUNCTION("""COMPUTED_VALUE"""),"")</f>
        <v/>
      </c>
      <c r="AZ96" s="2" t="str">
        <f ca="1">IFERROR(__xludf.DUMMYFUNCTION("""COMPUTED_VALUE"""),"")</f>
        <v/>
      </c>
      <c r="BA96" s="2" t="str">
        <f ca="1">IFERROR(__xludf.DUMMYFUNCTION("""COMPUTED_VALUE"""),"")</f>
        <v/>
      </c>
      <c r="BB96" s="2" t="str">
        <f ca="1">IFERROR(__xludf.DUMMYFUNCTION("""COMPUTED_VALUE"""),"")</f>
        <v/>
      </c>
      <c r="BC96" s="2" t="str">
        <f ca="1">IFERROR(__xludf.DUMMYFUNCTION("""COMPUTED_VALUE"""),"")</f>
        <v/>
      </c>
      <c r="BD96" s="2" t="str">
        <f ca="1">IFERROR(__xludf.DUMMYFUNCTION("""COMPUTED_VALUE"""),"")</f>
        <v/>
      </c>
      <c r="BE96" s="2" t="str">
        <f ca="1">IFERROR(__xludf.DUMMYFUNCTION("""COMPUTED_VALUE"""),"")</f>
        <v/>
      </c>
      <c r="BF96" t="str">
        <f ca="1">IFERROR(__xludf.DUMMYFUNCTION("""COMPUTED_VALUE"""),"")</f>
        <v/>
      </c>
      <c r="BG96" t="str">
        <f ca="1">IFERROR(__xludf.DUMMYFUNCTION("""COMPUTED_VALUE"""),"")</f>
        <v/>
      </c>
      <c r="BH96" t="str">
        <f ca="1">IFERROR(__xludf.DUMMYFUNCTION("""COMPUTED_VALUE"""),"")</f>
        <v/>
      </c>
      <c r="BI96" t="str">
        <f ca="1">IFERROR(__xludf.DUMMYFUNCTION("""COMPUTED_VALUE"""),"")</f>
        <v/>
      </c>
      <c r="BJ96" s="3" t="str">
        <f ca="1">IFERROR(__xludf.DUMMYFUNCTION("""COMPUTED_VALUE"""),"")</f>
        <v/>
      </c>
    </row>
    <row r="97" spans="1:62" ht="12.5" x14ac:dyDescent="0.25">
      <c r="A97" s="6">
        <f ca="1">IFERROR(__xludf.DUMMYFUNCTION("""COMPUTED_VALUE"""),43435.5960693518)</f>
        <v>43435.596069351799</v>
      </c>
      <c r="B97" s="2" t="str">
        <f ca="1">IFERROR(__xludf.DUMMYFUNCTION("""COMPUTED_VALUE"""),"Bay of Plenty")</f>
        <v>Bay of Plenty</v>
      </c>
      <c r="C97" s="2" t="str">
        <f ca="1">IFERROR(__xludf.DUMMYFUNCTION("""COMPUTED_VALUE"""),"Tx 17 - Teddy")</f>
        <v>Tx 17 - Teddy</v>
      </c>
      <c r="D97" s="10">
        <f ca="1">IFERROR(__xludf.DUMMYFUNCTION("""COMPUTED_VALUE"""),43222)</f>
        <v>43222</v>
      </c>
      <c r="E97" s="4">
        <f ca="1">IFERROR(__xludf.DUMMYFUNCTION("""COMPUTED_VALUE"""),0.5625)</f>
        <v>0.5625</v>
      </c>
      <c r="F97" s="2" t="str">
        <f ca="1">IFERROR(__xludf.DUMMYFUNCTION("""COMPUTED_VALUE"""),"Either in willow strip W side along Pongakawa or farmlandwetland habitat SW of this point.  ")</f>
        <v xml:space="preserve">Either in willow strip W side along Pongakawa or farmlandwetland habitat SW of this point.  </v>
      </c>
      <c r="G97" s="2" t="str">
        <f ca="1">IFERROR(__xludf.DUMMYFUNCTION("""COMPUTED_VALUE"""),"VHF (close approach): I followed the signal until I got within 50 m of the bird")</f>
        <v>VHF (close approach): I followed the signal until I got within 50 m of the bird</v>
      </c>
      <c r="H97" s="2" t="str">
        <f ca="1">IFERROR(__xludf.DUMMYFUNCTION("""COMPUTED_VALUE"""),"")</f>
        <v/>
      </c>
      <c r="I97" s="2" t="str">
        <f ca="1">IFERROR(__xludf.DUMMYFUNCTION("""COMPUTED_VALUE"""),"")</f>
        <v/>
      </c>
      <c r="J97" s="2" t="str">
        <f ca="1">IFERROR(__xludf.DUMMYFUNCTION("""COMPUTED_VALUE"""),"")</f>
        <v/>
      </c>
      <c r="K97" s="2" t="str">
        <f ca="1">IFERROR(__xludf.DUMMYFUNCTION("""COMPUTED_VALUE"""),"")</f>
        <v/>
      </c>
      <c r="L97" s="2" t="str">
        <f ca="1">IFERROR(__xludf.DUMMYFUNCTION("""COMPUTED_VALUE"""),"No - I got very close to the bird but it was well hidden in the vegetation")</f>
        <v>No - I got very close to the bird but it was well hidden in the vegetation</v>
      </c>
      <c r="M97" s="5">
        <f ca="1">IFERROR(__xludf.DUMMYFUNCTION("""COMPUTED_VALUE"""),1907202)</f>
        <v>1907202</v>
      </c>
      <c r="N97" s="5">
        <f ca="1">IFERROR(__xludf.DUMMYFUNCTION("""COMPUTED_VALUE"""),5811996)</f>
        <v>5811996</v>
      </c>
      <c r="O97" s="2" t="str">
        <f ca="1">IFERROR(__xludf.DUMMYFUNCTION("""COMPUTED_VALUE"""),"")</f>
        <v/>
      </c>
      <c r="P97" s="2" t="str">
        <f ca="1">IFERROR(__xludf.DUMMYFUNCTION("""COMPUTED_VALUE"""),"Don't know")</f>
        <v>Don't know</v>
      </c>
      <c r="Q97" s="2" t="str">
        <f ca="1">IFERROR(__xludf.DUMMYFUNCTION("""COMPUTED_VALUE"""),"Don't know")</f>
        <v>Don't know</v>
      </c>
      <c r="R97" s="2" t="str">
        <f ca="1">IFERROR(__xludf.DUMMYFUNCTION("""COMPUTED_VALUE"""),"dont know")</f>
        <v>dont know</v>
      </c>
      <c r="S97" s="2" t="str">
        <f ca="1">IFERROR(__xludf.DUMMYFUNCTION("""COMPUTED_VALUE"""),"?")</f>
        <v>?</v>
      </c>
      <c r="T97" s="2" t="str">
        <f ca="1">IFERROR(__xludf.DUMMYFUNCTION("""COMPUTED_VALUE"""),"farmland / willow strip ")</f>
        <v xml:space="preserve">farmland / willow strip </v>
      </c>
      <c r="U97" s="2" t="str">
        <f ca="1">IFERROR(__xludf.DUMMYFUNCTION("""COMPUTED_VALUE"""),"bird within 140m of gps mark ")</f>
        <v xml:space="preserve">bird within 140m of gps mark </v>
      </c>
      <c r="V97" s="2" t="str">
        <f ca="1">IFERROR(__xludf.DUMMYFUNCTION("""COMPUTED_VALUE"""),"")</f>
        <v/>
      </c>
      <c r="W97" s="2" t="str">
        <f ca="1">IFERROR(__xludf.DUMMYFUNCTION("""COMPUTED_VALUE"""),"")</f>
        <v/>
      </c>
      <c r="X97" s="2" t="str">
        <f ca="1">IFERROR(__xludf.DUMMYFUNCTION("""COMPUTED_VALUE"""),"")</f>
        <v/>
      </c>
      <c r="Y97" s="2" t="str">
        <f ca="1">IFERROR(__xludf.DUMMYFUNCTION("""COMPUTED_VALUE"""),"")</f>
        <v/>
      </c>
      <c r="Z97" s="2" t="str">
        <f ca="1">IFERROR(__xludf.DUMMYFUNCTION("""COMPUTED_VALUE"""),"")</f>
        <v/>
      </c>
      <c r="AA97" s="2" t="str">
        <f ca="1">IFERROR(__xludf.DUMMYFUNCTION("""COMPUTED_VALUE"""),"")</f>
        <v/>
      </c>
      <c r="AB97" s="2" t="str">
        <f ca="1">IFERROR(__xludf.DUMMYFUNCTION("""COMPUTED_VALUE"""),"")</f>
        <v/>
      </c>
      <c r="AC97" s="2" t="str">
        <f ca="1">IFERROR(__xludf.DUMMYFUNCTION("""COMPUTED_VALUE"""),"")</f>
        <v/>
      </c>
      <c r="AD97" s="2" t="str">
        <f ca="1">IFERROR(__xludf.DUMMYFUNCTION("""COMPUTED_VALUE"""),"")</f>
        <v/>
      </c>
      <c r="AE97" s="2" t="str">
        <f ca="1">IFERROR(__xludf.DUMMYFUNCTION("""COMPUTED_VALUE"""),"")</f>
        <v/>
      </c>
      <c r="AF97" s="2" t="str">
        <f ca="1">IFERROR(__xludf.DUMMYFUNCTION("""COMPUTED_VALUE"""),"")</f>
        <v/>
      </c>
      <c r="AG97" s="2" t="str">
        <f ca="1">IFERROR(__xludf.DUMMYFUNCTION("""COMPUTED_VALUE"""),"")</f>
        <v/>
      </c>
      <c r="AH97" s="2" t="str">
        <f ca="1">IFERROR(__xludf.DUMMYFUNCTION("""COMPUTED_VALUE"""),"")</f>
        <v/>
      </c>
      <c r="AI97" s="2" t="str">
        <f ca="1">IFERROR(__xludf.DUMMYFUNCTION("""COMPUTED_VALUE"""),"")</f>
        <v/>
      </c>
      <c r="AJ97" s="2" t="str">
        <f ca="1">IFERROR(__xludf.DUMMYFUNCTION("""COMPUTED_VALUE"""),"")</f>
        <v/>
      </c>
      <c r="AK97" s="2" t="str">
        <f ca="1">IFERROR(__xludf.DUMMYFUNCTION("""COMPUTED_VALUE"""),"")</f>
        <v/>
      </c>
      <c r="AL97" s="2" t="str">
        <f ca="1">IFERROR(__xludf.DUMMYFUNCTION("""COMPUTED_VALUE"""),"")</f>
        <v/>
      </c>
      <c r="AM97" s="2" t="str">
        <f ca="1">IFERROR(__xludf.DUMMYFUNCTION("""COMPUTED_VALUE"""),"")</f>
        <v/>
      </c>
      <c r="AN97" s="2" t="str">
        <f ca="1">IFERROR(__xludf.DUMMYFUNCTION("""COMPUTED_VALUE"""),"")</f>
        <v/>
      </c>
      <c r="AO97" s="2" t="str">
        <f ca="1">IFERROR(__xludf.DUMMYFUNCTION("""COMPUTED_VALUE"""),"")</f>
        <v/>
      </c>
      <c r="AP97" s="2" t="str">
        <f ca="1">IFERROR(__xludf.DUMMYFUNCTION("""COMPUTED_VALUE"""),"")</f>
        <v/>
      </c>
      <c r="AQ97" s="2" t="str">
        <f ca="1">IFERROR(__xludf.DUMMYFUNCTION("""COMPUTED_VALUE"""),"")</f>
        <v/>
      </c>
      <c r="AR97" s="2" t="str">
        <f ca="1">IFERROR(__xludf.DUMMYFUNCTION("""COMPUTED_VALUE"""),"")</f>
        <v/>
      </c>
      <c r="AS97" s="2" t="str">
        <f ca="1">IFERROR(__xludf.DUMMYFUNCTION("""COMPUTED_VALUE"""),"")</f>
        <v/>
      </c>
      <c r="AT97" s="2" t="str">
        <f ca="1">IFERROR(__xludf.DUMMYFUNCTION("""COMPUTED_VALUE"""),"")</f>
        <v/>
      </c>
      <c r="AU97" s="2" t="str">
        <f ca="1">IFERROR(__xludf.DUMMYFUNCTION("""COMPUTED_VALUE"""),"")</f>
        <v/>
      </c>
      <c r="AV97" s="2" t="str">
        <f ca="1">IFERROR(__xludf.DUMMYFUNCTION("""COMPUTED_VALUE"""),"")</f>
        <v/>
      </c>
      <c r="AW97" s="2" t="str">
        <f ca="1">IFERROR(__xludf.DUMMYFUNCTION("""COMPUTED_VALUE"""),"")</f>
        <v/>
      </c>
      <c r="AX97" s="2" t="str">
        <f ca="1">IFERROR(__xludf.DUMMYFUNCTION("""COMPUTED_VALUE"""),"")</f>
        <v/>
      </c>
      <c r="AY97" s="2" t="str">
        <f ca="1">IFERROR(__xludf.DUMMYFUNCTION("""COMPUTED_VALUE"""),"")</f>
        <v/>
      </c>
      <c r="AZ97" s="2" t="str">
        <f ca="1">IFERROR(__xludf.DUMMYFUNCTION("""COMPUTED_VALUE"""),"")</f>
        <v/>
      </c>
      <c r="BA97" s="2" t="str">
        <f ca="1">IFERROR(__xludf.DUMMYFUNCTION("""COMPUTED_VALUE"""),"")</f>
        <v/>
      </c>
      <c r="BB97" s="2" t="str">
        <f ca="1">IFERROR(__xludf.DUMMYFUNCTION("""COMPUTED_VALUE"""),"")</f>
        <v/>
      </c>
      <c r="BC97" s="2" t="str">
        <f ca="1">IFERROR(__xludf.DUMMYFUNCTION("""COMPUTED_VALUE"""),"")</f>
        <v/>
      </c>
      <c r="BD97" s="2" t="str">
        <f ca="1">IFERROR(__xludf.DUMMYFUNCTION("""COMPUTED_VALUE"""),"")</f>
        <v/>
      </c>
      <c r="BE97" s="2" t="str">
        <f ca="1">IFERROR(__xludf.DUMMYFUNCTION("""COMPUTED_VALUE"""),"")</f>
        <v/>
      </c>
      <c r="BF97" t="str">
        <f ca="1">IFERROR(__xludf.DUMMYFUNCTION("""COMPUTED_VALUE"""),"")</f>
        <v/>
      </c>
      <c r="BG97" t="str">
        <f ca="1">IFERROR(__xludf.DUMMYFUNCTION("""COMPUTED_VALUE"""),"")</f>
        <v/>
      </c>
      <c r="BH97" t="str">
        <f ca="1">IFERROR(__xludf.DUMMYFUNCTION("""COMPUTED_VALUE"""),"")</f>
        <v/>
      </c>
      <c r="BI97" t="str">
        <f ca="1">IFERROR(__xludf.DUMMYFUNCTION("""COMPUTED_VALUE"""),"")</f>
        <v/>
      </c>
      <c r="BJ97" s="3" t="str">
        <f ca="1">IFERROR(__xludf.DUMMYFUNCTION("""COMPUTED_VALUE"""),"")</f>
        <v/>
      </c>
    </row>
    <row r="98" spans="1:62" ht="12.5" x14ac:dyDescent="0.25">
      <c r="A98" s="6">
        <f ca="1">IFERROR(__xludf.DUMMYFUNCTION("""COMPUTED_VALUE"""),43435.5997303819)</f>
        <v>43435.599730381902</v>
      </c>
      <c r="B98" s="2" t="str">
        <f ca="1">IFERROR(__xludf.DUMMYFUNCTION("""COMPUTED_VALUE"""),"Bay of Plenty")</f>
        <v>Bay of Plenty</v>
      </c>
      <c r="C98" s="2" t="str">
        <f ca="1">IFERROR(__xludf.DUMMYFUNCTION("""COMPUTED_VALUE"""),"Tx 17 - Teddy")</f>
        <v>Tx 17 - Teddy</v>
      </c>
      <c r="D98" s="10">
        <f ca="1">IFERROR(__xludf.DUMMYFUNCTION("""COMPUTED_VALUE"""),43225)</f>
        <v>43225</v>
      </c>
      <c r="E98" s="4">
        <f ca="1">IFERROR(__xludf.DUMMYFUNCTION("""COMPUTED_VALUE"""),0.3125)</f>
        <v>0.3125</v>
      </c>
      <c r="F98" s="2" t="str">
        <f ca="1">IFERROR(__xludf.DUMMYFUNCTION("""COMPUTED_VALUE"""),"Farmland/wetland? possible rapou patch or long clumby grass to south")</f>
        <v>Farmland/wetland? possible rapou patch or long clumby grass to south</v>
      </c>
      <c r="G98" s="2" t="str">
        <f ca="1">IFERROR(__xludf.DUMMYFUNCTION("""COMPUTED_VALUE"""),"VHF (close approach): I followed the signal until I got within 50 m of the bird")</f>
        <v>VHF (close approach): I followed the signal until I got within 50 m of the bird</v>
      </c>
      <c r="H98" s="2" t="str">
        <f ca="1">IFERROR(__xludf.DUMMYFUNCTION("""COMPUTED_VALUE"""),"")</f>
        <v/>
      </c>
      <c r="I98" s="2" t="str">
        <f ca="1">IFERROR(__xludf.DUMMYFUNCTION("""COMPUTED_VALUE"""),"")</f>
        <v/>
      </c>
      <c r="J98" s="2" t="str">
        <f ca="1">IFERROR(__xludf.DUMMYFUNCTION("""COMPUTED_VALUE"""),"")</f>
        <v/>
      </c>
      <c r="K98" s="2" t="str">
        <f ca="1">IFERROR(__xludf.DUMMYFUNCTION("""COMPUTED_VALUE"""),"")</f>
        <v/>
      </c>
      <c r="L98" s="2" t="str">
        <f ca="1">IFERROR(__xludf.DUMMYFUNCTION("""COMPUTED_VALUE"""),"No - I got very close to the bird but it was well hidden in the vegetation")</f>
        <v>No - I got very close to the bird but it was well hidden in the vegetation</v>
      </c>
      <c r="M98" s="5">
        <f ca="1">IFERROR(__xludf.DUMMYFUNCTION("""COMPUTED_VALUE"""),1906204)</f>
        <v>1906204</v>
      </c>
      <c r="N98" s="5">
        <f ca="1">IFERROR(__xludf.DUMMYFUNCTION("""COMPUTED_VALUE"""),5811968)</f>
        <v>5811968</v>
      </c>
      <c r="O98" s="2" t="str">
        <f ca="1">IFERROR(__xludf.DUMMYFUNCTION("""COMPUTED_VALUE"""),"")</f>
        <v/>
      </c>
      <c r="P98" s="2" t="str">
        <f ca="1">IFERROR(__xludf.DUMMYFUNCTION("""COMPUTED_VALUE"""),"No")</f>
        <v>No</v>
      </c>
      <c r="Q98" s="2" t="str">
        <f ca="1">IFERROR(__xludf.DUMMYFUNCTION("""COMPUTED_VALUE"""),"Don't know")</f>
        <v>Don't know</v>
      </c>
      <c r="R98" s="2" t="str">
        <f ca="1">IFERROR(__xludf.DUMMYFUNCTION("""COMPUTED_VALUE"""),"dont know")</f>
        <v>dont know</v>
      </c>
      <c r="S98" s="2" t="str">
        <f ca="1">IFERROR(__xludf.DUMMYFUNCTION("""COMPUTED_VALUE"""),"dont know ")</f>
        <v xml:space="preserve">dont know </v>
      </c>
      <c r="T98" s="2" t="str">
        <f ca="1">IFERROR(__xludf.DUMMYFUNCTION("""COMPUTED_VALUE"""),"Farmland / possible small raupo patch")</f>
        <v>Farmland / possible small raupo patch</v>
      </c>
      <c r="U98" s="2" t="str">
        <f ca="1">IFERROR(__xludf.DUMMYFUNCTION("""COMPUTED_VALUE"""),"Opening of Duckshooting")</f>
        <v>Opening of Duckshooting</v>
      </c>
      <c r="V98" s="2" t="str">
        <f ca="1">IFERROR(__xludf.DUMMYFUNCTION("""COMPUTED_VALUE"""),"")</f>
        <v/>
      </c>
      <c r="W98" s="2" t="str">
        <f ca="1">IFERROR(__xludf.DUMMYFUNCTION("""COMPUTED_VALUE"""),"")</f>
        <v/>
      </c>
      <c r="X98" s="2" t="str">
        <f ca="1">IFERROR(__xludf.DUMMYFUNCTION("""COMPUTED_VALUE"""),"")</f>
        <v/>
      </c>
      <c r="Y98" s="2" t="str">
        <f ca="1">IFERROR(__xludf.DUMMYFUNCTION("""COMPUTED_VALUE"""),"")</f>
        <v/>
      </c>
      <c r="Z98" s="2" t="str">
        <f ca="1">IFERROR(__xludf.DUMMYFUNCTION("""COMPUTED_VALUE"""),"")</f>
        <v/>
      </c>
      <c r="AA98" s="2" t="str">
        <f ca="1">IFERROR(__xludf.DUMMYFUNCTION("""COMPUTED_VALUE"""),"")</f>
        <v/>
      </c>
      <c r="AB98" s="2" t="str">
        <f ca="1">IFERROR(__xludf.DUMMYFUNCTION("""COMPUTED_VALUE"""),"")</f>
        <v/>
      </c>
      <c r="AC98" s="2" t="str">
        <f ca="1">IFERROR(__xludf.DUMMYFUNCTION("""COMPUTED_VALUE"""),"")</f>
        <v/>
      </c>
      <c r="AD98" s="2" t="str">
        <f ca="1">IFERROR(__xludf.DUMMYFUNCTION("""COMPUTED_VALUE"""),"")</f>
        <v/>
      </c>
      <c r="AE98" s="2" t="str">
        <f ca="1">IFERROR(__xludf.DUMMYFUNCTION("""COMPUTED_VALUE"""),"")</f>
        <v/>
      </c>
      <c r="AF98" s="2" t="str">
        <f ca="1">IFERROR(__xludf.DUMMYFUNCTION("""COMPUTED_VALUE"""),"")</f>
        <v/>
      </c>
      <c r="AG98" s="2" t="str">
        <f ca="1">IFERROR(__xludf.DUMMYFUNCTION("""COMPUTED_VALUE"""),"")</f>
        <v/>
      </c>
      <c r="AH98" s="2" t="str">
        <f ca="1">IFERROR(__xludf.DUMMYFUNCTION("""COMPUTED_VALUE"""),"")</f>
        <v/>
      </c>
      <c r="AI98" s="2" t="str">
        <f ca="1">IFERROR(__xludf.DUMMYFUNCTION("""COMPUTED_VALUE"""),"")</f>
        <v/>
      </c>
      <c r="AJ98" s="2" t="str">
        <f ca="1">IFERROR(__xludf.DUMMYFUNCTION("""COMPUTED_VALUE"""),"")</f>
        <v/>
      </c>
      <c r="AK98" s="2" t="str">
        <f ca="1">IFERROR(__xludf.DUMMYFUNCTION("""COMPUTED_VALUE"""),"")</f>
        <v/>
      </c>
      <c r="AL98" s="2" t="str">
        <f ca="1">IFERROR(__xludf.DUMMYFUNCTION("""COMPUTED_VALUE"""),"")</f>
        <v/>
      </c>
      <c r="AM98" s="2" t="str">
        <f ca="1">IFERROR(__xludf.DUMMYFUNCTION("""COMPUTED_VALUE"""),"")</f>
        <v/>
      </c>
      <c r="AN98" s="2" t="str">
        <f ca="1">IFERROR(__xludf.DUMMYFUNCTION("""COMPUTED_VALUE"""),"")</f>
        <v/>
      </c>
      <c r="AO98" s="2" t="str">
        <f ca="1">IFERROR(__xludf.DUMMYFUNCTION("""COMPUTED_VALUE"""),"")</f>
        <v/>
      </c>
      <c r="AP98" s="2" t="str">
        <f ca="1">IFERROR(__xludf.DUMMYFUNCTION("""COMPUTED_VALUE"""),"")</f>
        <v/>
      </c>
      <c r="AQ98" s="2" t="str">
        <f ca="1">IFERROR(__xludf.DUMMYFUNCTION("""COMPUTED_VALUE"""),"")</f>
        <v/>
      </c>
      <c r="AR98" s="2" t="str">
        <f ca="1">IFERROR(__xludf.DUMMYFUNCTION("""COMPUTED_VALUE"""),"")</f>
        <v/>
      </c>
      <c r="AS98" s="2" t="str">
        <f ca="1">IFERROR(__xludf.DUMMYFUNCTION("""COMPUTED_VALUE"""),"")</f>
        <v/>
      </c>
      <c r="AT98" s="2" t="str">
        <f ca="1">IFERROR(__xludf.DUMMYFUNCTION("""COMPUTED_VALUE"""),"")</f>
        <v/>
      </c>
      <c r="AU98" s="2" t="str">
        <f ca="1">IFERROR(__xludf.DUMMYFUNCTION("""COMPUTED_VALUE"""),"")</f>
        <v/>
      </c>
      <c r="AV98" s="2" t="str">
        <f ca="1">IFERROR(__xludf.DUMMYFUNCTION("""COMPUTED_VALUE"""),"")</f>
        <v/>
      </c>
      <c r="AW98" s="2" t="str">
        <f ca="1">IFERROR(__xludf.DUMMYFUNCTION("""COMPUTED_VALUE"""),"")</f>
        <v/>
      </c>
      <c r="AX98" s="2" t="str">
        <f ca="1">IFERROR(__xludf.DUMMYFUNCTION("""COMPUTED_VALUE"""),"")</f>
        <v/>
      </c>
      <c r="AY98" s="2" t="str">
        <f ca="1">IFERROR(__xludf.DUMMYFUNCTION("""COMPUTED_VALUE"""),"")</f>
        <v/>
      </c>
      <c r="AZ98" s="2" t="str">
        <f ca="1">IFERROR(__xludf.DUMMYFUNCTION("""COMPUTED_VALUE"""),"")</f>
        <v/>
      </c>
      <c r="BA98" s="2" t="str">
        <f ca="1">IFERROR(__xludf.DUMMYFUNCTION("""COMPUTED_VALUE"""),"")</f>
        <v/>
      </c>
      <c r="BB98" s="2" t="str">
        <f ca="1">IFERROR(__xludf.DUMMYFUNCTION("""COMPUTED_VALUE"""),"")</f>
        <v/>
      </c>
      <c r="BC98" s="2" t="str">
        <f ca="1">IFERROR(__xludf.DUMMYFUNCTION("""COMPUTED_VALUE"""),"")</f>
        <v/>
      </c>
      <c r="BD98" s="2" t="str">
        <f ca="1">IFERROR(__xludf.DUMMYFUNCTION("""COMPUTED_VALUE"""),"")</f>
        <v/>
      </c>
      <c r="BE98" s="2" t="str">
        <f ca="1">IFERROR(__xludf.DUMMYFUNCTION("""COMPUTED_VALUE"""),"")</f>
        <v/>
      </c>
      <c r="BF98" t="str">
        <f ca="1">IFERROR(__xludf.DUMMYFUNCTION("""COMPUTED_VALUE"""),"")</f>
        <v/>
      </c>
      <c r="BG98" t="str">
        <f ca="1">IFERROR(__xludf.DUMMYFUNCTION("""COMPUTED_VALUE"""),"")</f>
        <v/>
      </c>
      <c r="BH98" t="str">
        <f ca="1">IFERROR(__xludf.DUMMYFUNCTION("""COMPUTED_VALUE"""),"")</f>
        <v/>
      </c>
      <c r="BI98" t="str">
        <f ca="1">IFERROR(__xludf.DUMMYFUNCTION("""COMPUTED_VALUE"""),"")</f>
        <v/>
      </c>
      <c r="BJ98" s="3" t="str">
        <f ca="1">IFERROR(__xludf.DUMMYFUNCTION("""COMPUTED_VALUE"""),"")</f>
        <v/>
      </c>
    </row>
    <row r="99" spans="1:62" ht="12.5" x14ac:dyDescent="0.25">
      <c r="A99" s="6">
        <f ca="1">IFERROR(__xludf.DUMMYFUNCTION("""COMPUTED_VALUE"""),43435.6047242245)</f>
        <v>43435.604724224497</v>
      </c>
      <c r="B99" s="2" t="str">
        <f ca="1">IFERROR(__xludf.DUMMYFUNCTION("""COMPUTED_VALUE"""),"Bay of Plenty")</f>
        <v>Bay of Plenty</v>
      </c>
      <c r="C99" s="2" t="str">
        <f ca="1">IFERROR(__xludf.DUMMYFUNCTION("""COMPUTED_VALUE"""),"Tx 17 - Teddy")</f>
        <v>Tx 17 - Teddy</v>
      </c>
      <c r="D99" s="10">
        <f ca="1">IFERROR(__xludf.DUMMYFUNCTION("""COMPUTED_VALUE"""),43233)</f>
        <v>43233</v>
      </c>
      <c r="E99" s="4">
        <f ca="1">IFERROR(__xludf.DUMMYFUNCTION("""COMPUTED_VALUE"""),0.58333333333212)</f>
        <v>0.58333333333212001</v>
      </c>
      <c r="F99" s="2" t="str">
        <f ca="1">IFERROR(__xludf.DUMMYFUNCTION("""COMPUTED_VALUE"""),"Waihi WMR ")</f>
        <v xml:space="preserve">Waihi WMR </v>
      </c>
      <c r="G99" s="2" t="str">
        <f ca="1">IFERROR(__xludf.DUMMYFUNCTION("""COMPUTED_VALUE"""),"VHF (close approach): I followed the signal until I got within 50 m of the bird")</f>
        <v>VHF (close approach): I followed the signal until I got within 50 m of the bird</v>
      </c>
      <c r="H99" s="2" t="str">
        <f ca="1">IFERROR(__xludf.DUMMYFUNCTION("""COMPUTED_VALUE"""),"")</f>
        <v/>
      </c>
      <c r="I99" s="2" t="str">
        <f ca="1">IFERROR(__xludf.DUMMYFUNCTION("""COMPUTED_VALUE"""),"")</f>
        <v/>
      </c>
      <c r="J99" s="2" t="str">
        <f ca="1">IFERROR(__xludf.DUMMYFUNCTION("""COMPUTED_VALUE"""),"")</f>
        <v/>
      </c>
      <c r="K99" s="2" t="str">
        <f ca="1">IFERROR(__xludf.DUMMYFUNCTION("""COMPUTED_VALUE"""),"")</f>
        <v/>
      </c>
      <c r="L99" s="2" t="str">
        <f ca="1">IFERROR(__xludf.DUMMYFUNCTION("""COMPUTED_VALUE"""),"No - I got very close to the bird but it was well hidden in the vegetation")</f>
        <v>No - I got very close to the bird but it was well hidden in the vegetation</v>
      </c>
      <c r="M99" s="5">
        <f ca="1">IFERROR(__xludf.DUMMYFUNCTION("""COMPUTED_VALUE"""),1906775)</f>
        <v>1906775</v>
      </c>
      <c r="N99" s="5">
        <f ca="1">IFERROR(__xludf.DUMMYFUNCTION("""COMPUTED_VALUE"""),5813119)</f>
        <v>5813119</v>
      </c>
      <c r="O99" s="2" t="str">
        <f ca="1">IFERROR(__xludf.DUMMYFUNCTION("""COMPUTED_VALUE"""),"")</f>
        <v/>
      </c>
      <c r="P99" s="2" t="str">
        <f ca="1">IFERROR(__xludf.DUMMYFUNCTION("""COMPUTED_VALUE"""),"N/A - not grazed")</f>
        <v>N/A - not grazed</v>
      </c>
      <c r="Q99" s="2" t="str">
        <f ca="1">IFERROR(__xludf.DUMMYFUNCTION("""COMPUTED_VALUE"""),"Wet")</f>
        <v>Wet</v>
      </c>
      <c r="R99" s="2" t="str">
        <f ca="1">IFERROR(__xludf.DUMMYFUNCTION("""COMPUTED_VALUE"""),"dont know")</f>
        <v>dont know</v>
      </c>
      <c r="S99" s="2" t="str">
        <f ca="1">IFERROR(__xludf.DUMMYFUNCTION("""COMPUTED_VALUE"""),"see WMR map ")</f>
        <v xml:space="preserve">see WMR map </v>
      </c>
      <c r="T99" s="2" t="str">
        <f ca="1">IFERROR(__xludf.DUMMYFUNCTION("""COMPUTED_VALUE"""),"? ")</f>
        <v xml:space="preserve">? </v>
      </c>
      <c r="U99" s="2" t="str">
        <f ca="1">IFERROR(__xludf.DUMMYFUNCTION("""COMPUTED_VALUE"""),"water level 5.5  at both PH &amp; flapgate - 30+ pukes very close to bird. Nathan Cotter has tag. 'Heavy rain' event in EBOP just a couple of days of rain .. some surface flooding in surrounding paddocks. some water on track at low points. 5 Royal spoonbills "&amp;"flew over into estury. Julian got  45mm of rain.. ")</f>
        <v xml:space="preserve">water level 5.5  at both PH &amp; flapgate - 30+ pukes very close to bird. Nathan Cotter has tag. 'Heavy rain' event in EBOP just a couple of days of rain .. some surface flooding in surrounding paddocks. some water on track at low points. 5 Royal spoonbills flew over into estury. Julian got  45mm of rain.. </v>
      </c>
      <c r="V99" s="2" t="str">
        <f ca="1">IFERROR(__xludf.DUMMYFUNCTION("""COMPUTED_VALUE"""),"")</f>
        <v/>
      </c>
      <c r="W99" s="2" t="str">
        <f ca="1">IFERROR(__xludf.DUMMYFUNCTION("""COMPUTED_VALUE"""),"")</f>
        <v/>
      </c>
      <c r="X99" s="2" t="str">
        <f ca="1">IFERROR(__xludf.DUMMYFUNCTION("""COMPUTED_VALUE"""),"")</f>
        <v/>
      </c>
      <c r="Y99" s="2" t="str">
        <f ca="1">IFERROR(__xludf.DUMMYFUNCTION("""COMPUTED_VALUE"""),"")</f>
        <v/>
      </c>
      <c r="Z99" s="2" t="str">
        <f ca="1">IFERROR(__xludf.DUMMYFUNCTION("""COMPUTED_VALUE"""),"")</f>
        <v/>
      </c>
      <c r="AA99" s="2" t="str">
        <f ca="1">IFERROR(__xludf.DUMMYFUNCTION("""COMPUTED_VALUE"""),"")</f>
        <v/>
      </c>
      <c r="AB99" s="2" t="str">
        <f ca="1">IFERROR(__xludf.DUMMYFUNCTION("""COMPUTED_VALUE"""),"")</f>
        <v/>
      </c>
      <c r="AC99" s="2" t="str">
        <f ca="1">IFERROR(__xludf.DUMMYFUNCTION("""COMPUTED_VALUE"""),"")</f>
        <v/>
      </c>
      <c r="AD99" s="2" t="str">
        <f ca="1">IFERROR(__xludf.DUMMYFUNCTION("""COMPUTED_VALUE"""),"")</f>
        <v/>
      </c>
      <c r="AE99" s="2" t="str">
        <f ca="1">IFERROR(__xludf.DUMMYFUNCTION("""COMPUTED_VALUE"""),"")</f>
        <v/>
      </c>
      <c r="AF99" s="2" t="str">
        <f ca="1">IFERROR(__xludf.DUMMYFUNCTION("""COMPUTED_VALUE"""),"")</f>
        <v/>
      </c>
      <c r="AG99" s="2" t="str">
        <f ca="1">IFERROR(__xludf.DUMMYFUNCTION("""COMPUTED_VALUE"""),"")</f>
        <v/>
      </c>
      <c r="AH99" s="2" t="str">
        <f ca="1">IFERROR(__xludf.DUMMYFUNCTION("""COMPUTED_VALUE"""),"")</f>
        <v/>
      </c>
      <c r="AI99" s="2" t="str">
        <f ca="1">IFERROR(__xludf.DUMMYFUNCTION("""COMPUTED_VALUE"""),"")</f>
        <v/>
      </c>
      <c r="AJ99" s="2" t="str">
        <f ca="1">IFERROR(__xludf.DUMMYFUNCTION("""COMPUTED_VALUE"""),"")</f>
        <v/>
      </c>
      <c r="AK99" s="2" t="str">
        <f ca="1">IFERROR(__xludf.DUMMYFUNCTION("""COMPUTED_VALUE"""),"")</f>
        <v/>
      </c>
      <c r="AL99" s="2" t="str">
        <f ca="1">IFERROR(__xludf.DUMMYFUNCTION("""COMPUTED_VALUE"""),"")</f>
        <v/>
      </c>
      <c r="AM99" s="2" t="str">
        <f ca="1">IFERROR(__xludf.DUMMYFUNCTION("""COMPUTED_VALUE"""),"")</f>
        <v/>
      </c>
      <c r="AN99" s="2" t="str">
        <f ca="1">IFERROR(__xludf.DUMMYFUNCTION("""COMPUTED_VALUE"""),"")</f>
        <v/>
      </c>
      <c r="AO99" s="2" t="str">
        <f ca="1">IFERROR(__xludf.DUMMYFUNCTION("""COMPUTED_VALUE"""),"")</f>
        <v/>
      </c>
      <c r="AP99" s="2" t="str">
        <f ca="1">IFERROR(__xludf.DUMMYFUNCTION("""COMPUTED_VALUE"""),"")</f>
        <v/>
      </c>
      <c r="AQ99" s="2" t="str">
        <f ca="1">IFERROR(__xludf.DUMMYFUNCTION("""COMPUTED_VALUE"""),"")</f>
        <v/>
      </c>
      <c r="AR99" s="2" t="str">
        <f ca="1">IFERROR(__xludf.DUMMYFUNCTION("""COMPUTED_VALUE"""),"")</f>
        <v/>
      </c>
      <c r="AS99" s="2" t="str">
        <f ca="1">IFERROR(__xludf.DUMMYFUNCTION("""COMPUTED_VALUE"""),"")</f>
        <v/>
      </c>
      <c r="AT99" s="2" t="str">
        <f ca="1">IFERROR(__xludf.DUMMYFUNCTION("""COMPUTED_VALUE"""),"")</f>
        <v/>
      </c>
      <c r="AU99" s="2" t="str">
        <f ca="1">IFERROR(__xludf.DUMMYFUNCTION("""COMPUTED_VALUE"""),"")</f>
        <v/>
      </c>
      <c r="AV99" s="2" t="str">
        <f ca="1">IFERROR(__xludf.DUMMYFUNCTION("""COMPUTED_VALUE"""),"")</f>
        <v/>
      </c>
      <c r="AW99" s="2" t="str">
        <f ca="1">IFERROR(__xludf.DUMMYFUNCTION("""COMPUTED_VALUE"""),"")</f>
        <v/>
      </c>
      <c r="AX99" s="2" t="str">
        <f ca="1">IFERROR(__xludf.DUMMYFUNCTION("""COMPUTED_VALUE"""),"")</f>
        <v/>
      </c>
      <c r="AY99" s="2" t="str">
        <f ca="1">IFERROR(__xludf.DUMMYFUNCTION("""COMPUTED_VALUE"""),"")</f>
        <v/>
      </c>
      <c r="AZ99" s="2" t="str">
        <f ca="1">IFERROR(__xludf.DUMMYFUNCTION("""COMPUTED_VALUE"""),"")</f>
        <v/>
      </c>
      <c r="BA99" s="2" t="str">
        <f ca="1">IFERROR(__xludf.DUMMYFUNCTION("""COMPUTED_VALUE"""),"")</f>
        <v/>
      </c>
      <c r="BB99" s="2" t="str">
        <f ca="1">IFERROR(__xludf.DUMMYFUNCTION("""COMPUTED_VALUE"""),"")</f>
        <v/>
      </c>
      <c r="BC99" s="2" t="str">
        <f ca="1">IFERROR(__xludf.DUMMYFUNCTION("""COMPUTED_VALUE"""),"")</f>
        <v/>
      </c>
      <c r="BD99" s="2" t="str">
        <f ca="1">IFERROR(__xludf.DUMMYFUNCTION("""COMPUTED_VALUE"""),"")</f>
        <v/>
      </c>
      <c r="BE99" s="2" t="str">
        <f ca="1">IFERROR(__xludf.DUMMYFUNCTION("""COMPUTED_VALUE"""),"")</f>
        <v/>
      </c>
      <c r="BF99" t="str">
        <f ca="1">IFERROR(__xludf.DUMMYFUNCTION("""COMPUTED_VALUE"""),"")</f>
        <v/>
      </c>
      <c r="BG99" t="str">
        <f ca="1">IFERROR(__xludf.DUMMYFUNCTION("""COMPUTED_VALUE"""),"")</f>
        <v/>
      </c>
      <c r="BH99" t="str">
        <f ca="1">IFERROR(__xludf.DUMMYFUNCTION("""COMPUTED_VALUE"""),"")</f>
        <v/>
      </c>
      <c r="BI99" t="str">
        <f ca="1">IFERROR(__xludf.DUMMYFUNCTION("""COMPUTED_VALUE"""),"")</f>
        <v/>
      </c>
      <c r="BJ99" s="3" t="str">
        <f ca="1">IFERROR(__xludf.DUMMYFUNCTION("""COMPUTED_VALUE"""),"")</f>
        <v/>
      </c>
    </row>
    <row r="100" spans="1:62" ht="12.5" x14ac:dyDescent="0.25">
      <c r="A100" s="6">
        <f ca="1">IFERROR(__xludf.DUMMYFUNCTION("""COMPUTED_VALUE"""),43435.6340374884)</f>
        <v>43435.634037488402</v>
      </c>
      <c r="B100" s="2" t="str">
        <f ca="1">IFERROR(__xludf.DUMMYFUNCTION("""COMPUTED_VALUE"""),"Bay of Plenty")</f>
        <v>Bay of Plenty</v>
      </c>
      <c r="C100" s="2" t="str">
        <f ca="1">IFERROR(__xludf.DUMMYFUNCTION("""COMPUTED_VALUE"""),"Tx 17 - Teddy")</f>
        <v>Tx 17 - Teddy</v>
      </c>
      <c r="D100" s="10">
        <f ca="1">IFERROR(__xludf.DUMMYFUNCTION("""COMPUTED_VALUE"""),43251)</f>
        <v>43251</v>
      </c>
      <c r="E100" s="4">
        <f ca="1">IFERROR(__xludf.DUMMYFUNCTION("""COMPUTED_VALUE"""),0.5)</f>
        <v>0.5</v>
      </c>
      <c r="F100" s="2" t="str">
        <f ca="1">IFERROR(__xludf.DUMMYFUNCTION("""COMPUTED_VALUE"""),"Farmland")</f>
        <v>Farmland</v>
      </c>
      <c r="G100" s="2" t="str">
        <f ca="1">IFERROR(__xludf.DUMMYFUNCTION("""COMPUTED_VALUE"""),"VHF (close approach): I followed the signal until I got within 50 m of the bird")</f>
        <v>VHF (close approach): I followed the signal until I got within 50 m of the bird</v>
      </c>
      <c r="H100" s="2" t="str">
        <f ca="1">IFERROR(__xludf.DUMMYFUNCTION("""COMPUTED_VALUE"""),"")</f>
        <v/>
      </c>
      <c r="I100" s="2" t="str">
        <f ca="1">IFERROR(__xludf.DUMMYFUNCTION("""COMPUTED_VALUE"""),"")</f>
        <v/>
      </c>
      <c r="J100" s="2" t="str">
        <f ca="1">IFERROR(__xludf.DUMMYFUNCTION("""COMPUTED_VALUE"""),"")</f>
        <v/>
      </c>
      <c r="K100" s="2" t="str">
        <f ca="1">IFERROR(__xludf.DUMMYFUNCTION("""COMPUTED_VALUE"""),"")</f>
        <v/>
      </c>
      <c r="L100" s="2" t="str">
        <f ca="1">IFERROR(__xludf.DUMMYFUNCTION("""COMPUTED_VALUE"""),"No - I got very close to the bird but it was well hidden in the vegetation")</f>
        <v>No - I got very close to the bird but it was well hidden in the vegetation</v>
      </c>
      <c r="M100" s="5">
        <f ca="1">IFERROR(__xludf.DUMMYFUNCTION("""COMPUTED_VALUE"""),1907180)</f>
        <v>1907180</v>
      </c>
      <c r="N100" s="5">
        <f ca="1">IFERROR(__xludf.DUMMYFUNCTION("""COMPUTED_VALUE"""),5812199)</f>
        <v>5812199</v>
      </c>
      <c r="O100" s="2" t="str">
        <f ca="1">IFERROR(__xludf.DUMMYFUNCTION("""COMPUTED_VALUE"""),"")</f>
        <v/>
      </c>
      <c r="P100" s="2" t="str">
        <f ca="1">IFERROR(__xludf.DUMMYFUNCTION("""COMPUTED_VALUE"""),"Yes")</f>
        <v>Yes</v>
      </c>
      <c r="Q100" s="2" t="str">
        <f ca="1">IFERROR(__xludf.DUMMYFUNCTION("""COMPUTED_VALUE"""),"Dry")</f>
        <v>Dry</v>
      </c>
      <c r="R100" s="2" t="str">
        <f ca="1">IFERROR(__xludf.DUMMYFUNCTION("""COMPUTED_VALUE"""),"dont know")</f>
        <v>dont know</v>
      </c>
      <c r="S100" s="2" t="str">
        <f ca="1">IFERROR(__xludf.DUMMYFUNCTION("""COMPUTED_VALUE"""),"?")</f>
        <v>?</v>
      </c>
      <c r="T100" s="2" t="str">
        <f ca="1">IFERROR(__xludf.DUMMYFUNCTION("""COMPUTED_VALUE"""),"Farmland ")</f>
        <v xml:space="preserve">Farmland </v>
      </c>
      <c r="U100" s="2" t="str">
        <f ca="1">IFERROR(__xludf.DUMMYFUNCTION("""COMPUTED_VALUE"""),"WMR water levels - 6 @ PH , 5.5 @ culvert outgoing tide")</f>
        <v>WMR water levels - 6 @ PH , 5.5 @ culvert outgoing tide</v>
      </c>
      <c r="V100" s="2" t="str">
        <f ca="1">IFERROR(__xludf.DUMMYFUNCTION("""COMPUTED_VALUE"""),"")</f>
        <v/>
      </c>
      <c r="W100" s="2" t="str">
        <f ca="1">IFERROR(__xludf.DUMMYFUNCTION("""COMPUTED_VALUE"""),"")</f>
        <v/>
      </c>
      <c r="X100" s="2" t="str">
        <f ca="1">IFERROR(__xludf.DUMMYFUNCTION("""COMPUTED_VALUE"""),"")</f>
        <v/>
      </c>
      <c r="Y100" s="2" t="str">
        <f ca="1">IFERROR(__xludf.DUMMYFUNCTION("""COMPUTED_VALUE"""),"")</f>
        <v/>
      </c>
      <c r="Z100" s="2" t="str">
        <f ca="1">IFERROR(__xludf.DUMMYFUNCTION("""COMPUTED_VALUE"""),"")</f>
        <v/>
      </c>
      <c r="AA100" s="2" t="str">
        <f ca="1">IFERROR(__xludf.DUMMYFUNCTION("""COMPUTED_VALUE"""),"")</f>
        <v/>
      </c>
      <c r="AB100" s="2" t="str">
        <f ca="1">IFERROR(__xludf.DUMMYFUNCTION("""COMPUTED_VALUE"""),"")</f>
        <v/>
      </c>
      <c r="AC100" s="2" t="str">
        <f ca="1">IFERROR(__xludf.DUMMYFUNCTION("""COMPUTED_VALUE"""),"")</f>
        <v/>
      </c>
      <c r="AD100" s="2" t="str">
        <f ca="1">IFERROR(__xludf.DUMMYFUNCTION("""COMPUTED_VALUE"""),"")</f>
        <v/>
      </c>
      <c r="AE100" s="2" t="str">
        <f ca="1">IFERROR(__xludf.DUMMYFUNCTION("""COMPUTED_VALUE"""),"")</f>
        <v/>
      </c>
      <c r="AF100" s="2" t="str">
        <f ca="1">IFERROR(__xludf.DUMMYFUNCTION("""COMPUTED_VALUE"""),"")</f>
        <v/>
      </c>
      <c r="AG100" s="2" t="str">
        <f ca="1">IFERROR(__xludf.DUMMYFUNCTION("""COMPUTED_VALUE"""),"")</f>
        <v/>
      </c>
      <c r="AH100" s="2" t="str">
        <f ca="1">IFERROR(__xludf.DUMMYFUNCTION("""COMPUTED_VALUE"""),"")</f>
        <v/>
      </c>
      <c r="AI100" s="2" t="str">
        <f ca="1">IFERROR(__xludf.DUMMYFUNCTION("""COMPUTED_VALUE"""),"")</f>
        <v/>
      </c>
      <c r="AJ100" s="2" t="str">
        <f ca="1">IFERROR(__xludf.DUMMYFUNCTION("""COMPUTED_VALUE"""),"")</f>
        <v/>
      </c>
      <c r="AK100" s="2" t="str">
        <f ca="1">IFERROR(__xludf.DUMMYFUNCTION("""COMPUTED_VALUE"""),"")</f>
        <v/>
      </c>
      <c r="AL100" s="2" t="str">
        <f ca="1">IFERROR(__xludf.DUMMYFUNCTION("""COMPUTED_VALUE"""),"")</f>
        <v/>
      </c>
      <c r="AM100" s="2" t="str">
        <f ca="1">IFERROR(__xludf.DUMMYFUNCTION("""COMPUTED_VALUE"""),"")</f>
        <v/>
      </c>
      <c r="AN100" s="2" t="str">
        <f ca="1">IFERROR(__xludf.DUMMYFUNCTION("""COMPUTED_VALUE"""),"")</f>
        <v/>
      </c>
      <c r="AO100" s="2" t="str">
        <f ca="1">IFERROR(__xludf.DUMMYFUNCTION("""COMPUTED_VALUE"""),"")</f>
        <v/>
      </c>
      <c r="AP100" s="2" t="str">
        <f ca="1">IFERROR(__xludf.DUMMYFUNCTION("""COMPUTED_VALUE"""),"")</f>
        <v/>
      </c>
      <c r="AQ100" s="2" t="str">
        <f ca="1">IFERROR(__xludf.DUMMYFUNCTION("""COMPUTED_VALUE"""),"")</f>
        <v/>
      </c>
      <c r="AR100" s="2" t="str">
        <f ca="1">IFERROR(__xludf.DUMMYFUNCTION("""COMPUTED_VALUE"""),"")</f>
        <v/>
      </c>
      <c r="AS100" s="2" t="str">
        <f ca="1">IFERROR(__xludf.DUMMYFUNCTION("""COMPUTED_VALUE"""),"")</f>
        <v/>
      </c>
      <c r="AT100" s="2" t="str">
        <f ca="1">IFERROR(__xludf.DUMMYFUNCTION("""COMPUTED_VALUE"""),"")</f>
        <v/>
      </c>
      <c r="AU100" s="2" t="str">
        <f ca="1">IFERROR(__xludf.DUMMYFUNCTION("""COMPUTED_VALUE"""),"")</f>
        <v/>
      </c>
      <c r="AV100" s="2" t="str">
        <f ca="1">IFERROR(__xludf.DUMMYFUNCTION("""COMPUTED_VALUE"""),"")</f>
        <v/>
      </c>
      <c r="AW100" s="2" t="str">
        <f ca="1">IFERROR(__xludf.DUMMYFUNCTION("""COMPUTED_VALUE"""),"")</f>
        <v/>
      </c>
      <c r="AX100" s="2" t="str">
        <f ca="1">IFERROR(__xludf.DUMMYFUNCTION("""COMPUTED_VALUE"""),"")</f>
        <v/>
      </c>
      <c r="AY100" s="2" t="str">
        <f ca="1">IFERROR(__xludf.DUMMYFUNCTION("""COMPUTED_VALUE"""),"")</f>
        <v/>
      </c>
      <c r="AZ100" s="2" t="str">
        <f ca="1">IFERROR(__xludf.DUMMYFUNCTION("""COMPUTED_VALUE"""),"")</f>
        <v/>
      </c>
      <c r="BA100" s="2" t="str">
        <f ca="1">IFERROR(__xludf.DUMMYFUNCTION("""COMPUTED_VALUE"""),"")</f>
        <v/>
      </c>
      <c r="BB100" s="2" t="str">
        <f ca="1">IFERROR(__xludf.DUMMYFUNCTION("""COMPUTED_VALUE"""),"")</f>
        <v/>
      </c>
      <c r="BC100" s="2" t="str">
        <f ca="1">IFERROR(__xludf.DUMMYFUNCTION("""COMPUTED_VALUE"""),"")</f>
        <v/>
      </c>
      <c r="BD100" s="2" t="str">
        <f ca="1">IFERROR(__xludf.DUMMYFUNCTION("""COMPUTED_VALUE"""),"")</f>
        <v/>
      </c>
      <c r="BE100" s="2" t="str">
        <f ca="1">IFERROR(__xludf.DUMMYFUNCTION("""COMPUTED_VALUE"""),"")</f>
        <v/>
      </c>
      <c r="BF100" t="str">
        <f ca="1">IFERROR(__xludf.DUMMYFUNCTION("""COMPUTED_VALUE"""),"")</f>
        <v/>
      </c>
      <c r="BG100" t="str">
        <f ca="1">IFERROR(__xludf.DUMMYFUNCTION("""COMPUTED_VALUE"""),"")</f>
        <v/>
      </c>
      <c r="BH100" t="str">
        <f ca="1">IFERROR(__xludf.DUMMYFUNCTION("""COMPUTED_VALUE"""),"")</f>
        <v/>
      </c>
      <c r="BI100" t="str">
        <f ca="1">IFERROR(__xludf.DUMMYFUNCTION("""COMPUTED_VALUE"""),"")</f>
        <v/>
      </c>
      <c r="BJ100" s="3" t="str">
        <f ca="1">IFERROR(__xludf.DUMMYFUNCTION("""COMPUTED_VALUE"""),"")</f>
        <v/>
      </c>
    </row>
    <row r="101" spans="1:62" ht="12.5" x14ac:dyDescent="0.25">
      <c r="A101" s="6">
        <f ca="1">IFERROR(__xludf.DUMMYFUNCTION("""COMPUTED_VALUE"""),43435.6398564814)</f>
        <v>43435.639856481401</v>
      </c>
      <c r="B101" s="2" t="str">
        <f ca="1">IFERROR(__xludf.DUMMYFUNCTION("""COMPUTED_VALUE"""),"Bay of Plenty")</f>
        <v>Bay of Plenty</v>
      </c>
      <c r="C101" s="2" t="str">
        <f ca="1">IFERROR(__xludf.DUMMYFUNCTION("""COMPUTED_VALUE"""),"Tx 17 - Teddy")</f>
        <v>Tx 17 - Teddy</v>
      </c>
      <c r="D101" s="10">
        <f ca="1">IFERROR(__xludf.DUMMYFUNCTION("""COMPUTED_VALUE"""),43278)</f>
        <v>43278</v>
      </c>
      <c r="E101" s="4">
        <f ca="1">IFERROR(__xludf.DUMMYFUNCTION("""COMPUTED_VALUE"""),0.375)</f>
        <v>0.375</v>
      </c>
      <c r="F101" s="2" t="str">
        <f ca="1">IFERROR(__xludf.DUMMYFUNCTION("""COMPUTED_VALUE"""),"Waihi WMR")</f>
        <v>Waihi WMR</v>
      </c>
      <c r="G101" s="2" t="str">
        <f ca="1">IFERROR(__xludf.DUMMYFUNCTION("""COMPUTED_VALUE"""),"VHF (close approach): I followed the signal until I got within 50 m of the bird")</f>
        <v>VHF (close approach): I followed the signal until I got within 50 m of the bird</v>
      </c>
      <c r="H101" s="2" t="str">
        <f ca="1">IFERROR(__xludf.DUMMYFUNCTION("""COMPUTED_VALUE"""),"")</f>
        <v/>
      </c>
      <c r="I101" s="2" t="str">
        <f ca="1">IFERROR(__xludf.DUMMYFUNCTION("""COMPUTED_VALUE"""),"")</f>
        <v/>
      </c>
      <c r="J101" s="2" t="str">
        <f ca="1">IFERROR(__xludf.DUMMYFUNCTION("""COMPUTED_VALUE"""),"")</f>
        <v/>
      </c>
      <c r="K101" s="2" t="str">
        <f ca="1">IFERROR(__xludf.DUMMYFUNCTION("""COMPUTED_VALUE"""),"")</f>
        <v/>
      </c>
      <c r="L101" s="2" t="str">
        <f ca="1">IFERROR(__xludf.DUMMYFUNCTION("""COMPUTED_VALUE"""),"No - I got very close to the bird but it was well hidden in the vegetation")</f>
        <v>No - I got very close to the bird but it was well hidden in the vegetation</v>
      </c>
      <c r="M101" s="5">
        <f ca="1">IFERROR(__xludf.DUMMYFUNCTION("""COMPUTED_VALUE"""),1907228)</f>
        <v>1907228</v>
      </c>
      <c r="N101" s="5">
        <f ca="1">IFERROR(__xludf.DUMMYFUNCTION("""COMPUTED_VALUE"""),5812165)</f>
        <v>5812165</v>
      </c>
      <c r="O101" s="2" t="str">
        <f ca="1">IFERROR(__xludf.DUMMYFUNCTION("""COMPUTED_VALUE"""),"")</f>
        <v/>
      </c>
      <c r="P101" s="2" t="str">
        <f ca="1">IFERROR(__xludf.DUMMYFUNCTION("""COMPUTED_VALUE"""),"N/A - not grazed")</f>
        <v>N/A - not grazed</v>
      </c>
      <c r="Q101" s="2" t="str">
        <f ca="1">IFERROR(__xludf.DUMMYFUNCTION("""COMPUTED_VALUE"""),"Wet")</f>
        <v>Wet</v>
      </c>
      <c r="R101" s="2" t="str">
        <f ca="1">IFERROR(__xludf.DUMMYFUNCTION("""COMPUTED_VALUE"""),"dont know")</f>
        <v>dont know</v>
      </c>
      <c r="S101" s="2" t="str">
        <f ca="1">IFERROR(__xludf.DUMMYFUNCTION("""COMPUTED_VALUE"""),"see map ? ")</f>
        <v xml:space="preserve">see map ? </v>
      </c>
      <c r="T101" s="2" t="str">
        <f ca="1">IFERROR(__xludf.DUMMYFUNCTION("""COMPUTED_VALUE"""),"Dont know")</f>
        <v>Dont know</v>
      </c>
      <c r="U101" s="2" t="str">
        <f ca="1">IFERROR(__xludf.DUMMYFUNCTION("""COMPUTED_VALUE"""),"chainsawing at reserve - 9am-2pm bird didnt move all day... ")</f>
        <v xml:space="preserve">chainsawing at reserve - 9am-2pm bird didnt move all day... </v>
      </c>
      <c r="V101" s="2" t="str">
        <f ca="1">IFERROR(__xludf.DUMMYFUNCTION("""COMPUTED_VALUE"""),"")</f>
        <v/>
      </c>
      <c r="W101" s="2" t="str">
        <f ca="1">IFERROR(__xludf.DUMMYFUNCTION("""COMPUTED_VALUE"""),"")</f>
        <v/>
      </c>
      <c r="X101" s="2" t="str">
        <f ca="1">IFERROR(__xludf.DUMMYFUNCTION("""COMPUTED_VALUE"""),"")</f>
        <v/>
      </c>
      <c r="Y101" s="2" t="str">
        <f ca="1">IFERROR(__xludf.DUMMYFUNCTION("""COMPUTED_VALUE"""),"")</f>
        <v/>
      </c>
      <c r="Z101" s="2" t="str">
        <f ca="1">IFERROR(__xludf.DUMMYFUNCTION("""COMPUTED_VALUE"""),"")</f>
        <v/>
      </c>
      <c r="AA101" s="2" t="str">
        <f ca="1">IFERROR(__xludf.DUMMYFUNCTION("""COMPUTED_VALUE"""),"")</f>
        <v/>
      </c>
      <c r="AB101" s="2" t="str">
        <f ca="1">IFERROR(__xludf.DUMMYFUNCTION("""COMPUTED_VALUE"""),"")</f>
        <v/>
      </c>
      <c r="AC101" s="2" t="str">
        <f ca="1">IFERROR(__xludf.DUMMYFUNCTION("""COMPUTED_VALUE"""),"")</f>
        <v/>
      </c>
      <c r="AD101" s="2" t="str">
        <f ca="1">IFERROR(__xludf.DUMMYFUNCTION("""COMPUTED_VALUE"""),"")</f>
        <v/>
      </c>
      <c r="AE101" s="2" t="str">
        <f ca="1">IFERROR(__xludf.DUMMYFUNCTION("""COMPUTED_VALUE"""),"")</f>
        <v/>
      </c>
      <c r="AF101" s="2" t="str">
        <f ca="1">IFERROR(__xludf.DUMMYFUNCTION("""COMPUTED_VALUE"""),"")</f>
        <v/>
      </c>
      <c r="AG101" s="2" t="str">
        <f ca="1">IFERROR(__xludf.DUMMYFUNCTION("""COMPUTED_VALUE"""),"")</f>
        <v/>
      </c>
      <c r="AH101" s="2" t="str">
        <f ca="1">IFERROR(__xludf.DUMMYFUNCTION("""COMPUTED_VALUE"""),"")</f>
        <v/>
      </c>
      <c r="AI101" s="2" t="str">
        <f ca="1">IFERROR(__xludf.DUMMYFUNCTION("""COMPUTED_VALUE"""),"")</f>
        <v/>
      </c>
      <c r="AJ101" s="2" t="str">
        <f ca="1">IFERROR(__xludf.DUMMYFUNCTION("""COMPUTED_VALUE"""),"")</f>
        <v/>
      </c>
      <c r="AK101" s="2" t="str">
        <f ca="1">IFERROR(__xludf.DUMMYFUNCTION("""COMPUTED_VALUE"""),"")</f>
        <v/>
      </c>
      <c r="AL101" s="2" t="str">
        <f ca="1">IFERROR(__xludf.DUMMYFUNCTION("""COMPUTED_VALUE"""),"")</f>
        <v/>
      </c>
      <c r="AM101" s="2" t="str">
        <f ca="1">IFERROR(__xludf.DUMMYFUNCTION("""COMPUTED_VALUE"""),"")</f>
        <v/>
      </c>
      <c r="AN101" s="2" t="str">
        <f ca="1">IFERROR(__xludf.DUMMYFUNCTION("""COMPUTED_VALUE"""),"")</f>
        <v/>
      </c>
      <c r="AO101" s="2" t="str">
        <f ca="1">IFERROR(__xludf.DUMMYFUNCTION("""COMPUTED_VALUE"""),"")</f>
        <v/>
      </c>
      <c r="AP101" s="2" t="str">
        <f ca="1">IFERROR(__xludf.DUMMYFUNCTION("""COMPUTED_VALUE"""),"")</f>
        <v/>
      </c>
      <c r="AQ101" s="2" t="str">
        <f ca="1">IFERROR(__xludf.DUMMYFUNCTION("""COMPUTED_VALUE"""),"")</f>
        <v/>
      </c>
      <c r="AR101" s="2" t="str">
        <f ca="1">IFERROR(__xludf.DUMMYFUNCTION("""COMPUTED_VALUE"""),"")</f>
        <v/>
      </c>
      <c r="AS101" s="2" t="str">
        <f ca="1">IFERROR(__xludf.DUMMYFUNCTION("""COMPUTED_VALUE"""),"")</f>
        <v/>
      </c>
      <c r="AT101" s="2" t="str">
        <f ca="1">IFERROR(__xludf.DUMMYFUNCTION("""COMPUTED_VALUE"""),"")</f>
        <v/>
      </c>
      <c r="AU101" s="2" t="str">
        <f ca="1">IFERROR(__xludf.DUMMYFUNCTION("""COMPUTED_VALUE"""),"")</f>
        <v/>
      </c>
      <c r="AV101" s="2" t="str">
        <f ca="1">IFERROR(__xludf.DUMMYFUNCTION("""COMPUTED_VALUE"""),"")</f>
        <v/>
      </c>
      <c r="AW101" s="2" t="str">
        <f ca="1">IFERROR(__xludf.DUMMYFUNCTION("""COMPUTED_VALUE"""),"")</f>
        <v/>
      </c>
      <c r="AX101" s="2" t="str">
        <f ca="1">IFERROR(__xludf.DUMMYFUNCTION("""COMPUTED_VALUE"""),"")</f>
        <v/>
      </c>
      <c r="AY101" s="2" t="str">
        <f ca="1">IFERROR(__xludf.DUMMYFUNCTION("""COMPUTED_VALUE"""),"")</f>
        <v/>
      </c>
      <c r="AZ101" s="2" t="str">
        <f ca="1">IFERROR(__xludf.DUMMYFUNCTION("""COMPUTED_VALUE"""),"")</f>
        <v/>
      </c>
      <c r="BA101" s="2" t="str">
        <f ca="1">IFERROR(__xludf.DUMMYFUNCTION("""COMPUTED_VALUE"""),"")</f>
        <v/>
      </c>
      <c r="BB101" s="2" t="str">
        <f ca="1">IFERROR(__xludf.DUMMYFUNCTION("""COMPUTED_VALUE"""),"")</f>
        <v/>
      </c>
      <c r="BC101" s="2" t="str">
        <f ca="1">IFERROR(__xludf.DUMMYFUNCTION("""COMPUTED_VALUE"""),"")</f>
        <v/>
      </c>
      <c r="BD101" s="2" t="str">
        <f ca="1">IFERROR(__xludf.DUMMYFUNCTION("""COMPUTED_VALUE"""),"")</f>
        <v/>
      </c>
      <c r="BE101" s="2" t="str">
        <f ca="1">IFERROR(__xludf.DUMMYFUNCTION("""COMPUTED_VALUE"""),"")</f>
        <v/>
      </c>
      <c r="BF101" t="str">
        <f ca="1">IFERROR(__xludf.DUMMYFUNCTION("""COMPUTED_VALUE"""),"")</f>
        <v/>
      </c>
      <c r="BG101" t="str">
        <f ca="1">IFERROR(__xludf.DUMMYFUNCTION("""COMPUTED_VALUE"""),"")</f>
        <v/>
      </c>
      <c r="BH101" t="str">
        <f ca="1">IFERROR(__xludf.DUMMYFUNCTION("""COMPUTED_VALUE"""),"")</f>
        <v/>
      </c>
      <c r="BI101" t="str">
        <f ca="1">IFERROR(__xludf.DUMMYFUNCTION("""COMPUTED_VALUE"""),"")</f>
        <v/>
      </c>
      <c r="BJ101" s="3" t="str">
        <f ca="1">IFERROR(__xludf.DUMMYFUNCTION("""COMPUTED_VALUE"""),"")</f>
        <v/>
      </c>
    </row>
    <row r="102" spans="1:62" ht="12.5" x14ac:dyDescent="0.25">
      <c r="A102" s="6">
        <f ca="1">IFERROR(__xludf.DUMMYFUNCTION("""COMPUTED_VALUE"""),43435.6506887963)</f>
        <v>43435.650688796297</v>
      </c>
      <c r="B102" s="2" t="str">
        <f ca="1">IFERROR(__xludf.DUMMYFUNCTION("""COMPUTED_VALUE"""),"Bay of Plenty")</f>
        <v>Bay of Plenty</v>
      </c>
      <c r="C102" s="2" t="str">
        <f ca="1">IFERROR(__xludf.DUMMYFUNCTION("""COMPUTED_VALUE"""),"Tx 17 - Teddy")</f>
        <v>Tx 17 - Teddy</v>
      </c>
      <c r="D102" s="10">
        <f ca="1">IFERROR(__xludf.DUMMYFUNCTION("""COMPUTED_VALUE"""),43308)</f>
        <v>43308</v>
      </c>
      <c r="E102" s="4">
        <f ca="1">IFERROR(__xludf.DUMMYFUNCTION("""COMPUTED_VALUE"""),0.375)</f>
        <v>0.375</v>
      </c>
      <c r="F102" s="2" t="str">
        <f ca="1">IFERROR(__xludf.DUMMYFUNCTION("""COMPUTED_VALUE"""),"Waihi WMR ")</f>
        <v xml:space="preserve">Waihi WMR </v>
      </c>
      <c r="G102" s="2" t="str">
        <f ca="1">IFERROR(__xludf.DUMMYFUNCTION("""COMPUTED_VALUE"""),"VHF (close approach): I followed the signal until I got within 50 m of the bird")</f>
        <v>VHF (close approach): I followed the signal until I got within 50 m of the bird</v>
      </c>
      <c r="H102" s="2" t="str">
        <f ca="1">IFERROR(__xludf.DUMMYFUNCTION("""COMPUTED_VALUE"""),"")</f>
        <v/>
      </c>
      <c r="I102" s="2" t="str">
        <f ca="1">IFERROR(__xludf.DUMMYFUNCTION("""COMPUTED_VALUE"""),"")</f>
        <v/>
      </c>
      <c r="J102" s="2" t="str">
        <f ca="1">IFERROR(__xludf.DUMMYFUNCTION("""COMPUTED_VALUE"""),"")</f>
        <v/>
      </c>
      <c r="K102" s="2" t="str">
        <f ca="1">IFERROR(__xludf.DUMMYFUNCTION("""COMPUTED_VALUE"""),"")</f>
        <v/>
      </c>
      <c r="L102" s="2" t="str">
        <f ca="1">IFERROR(__xludf.DUMMYFUNCTION("""COMPUTED_VALUE"""),"No - I got very close to the bird but it was well hidden in the vegetation")</f>
        <v>No - I got very close to the bird but it was well hidden in the vegetation</v>
      </c>
      <c r="M102" s="5">
        <f ca="1">IFERROR(__xludf.DUMMYFUNCTION("""COMPUTED_VALUE"""),1906865)</f>
        <v>1906865</v>
      </c>
      <c r="N102" s="5">
        <f ca="1">IFERROR(__xludf.DUMMYFUNCTION("""COMPUTED_VALUE"""),5813087)</f>
        <v>5813087</v>
      </c>
      <c r="O102" s="2" t="str">
        <f ca="1">IFERROR(__xludf.DUMMYFUNCTION("""COMPUTED_VALUE"""),"")</f>
        <v/>
      </c>
      <c r="P102" s="2" t="str">
        <f ca="1">IFERROR(__xludf.DUMMYFUNCTION("""COMPUTED_VALUE"""),"N/A - not grazed")</f>
        <v>N/A - not grazed</v>
      </c>
      <c r="Q102" s="2" t="str">
        <f ca="1">IFERROR(__xludf.DUMMYFUNCTION("""COMPUTED_VALUE"""),"Don't know")</f>
        <v>Don't know</v>
      </c>
      <c r="R102" s="2" t="str">
        <f ca="1">IFERROR(__xludf.DUMMYFUNCTION("""COMPUTED_VALUE"""),"dont know")</f>
        <v>dont know</v>
      </c>
      <c r="S102" s="2" t="str">
        <f ca="1">IFERROR(__xludf.DUMMYFUNCTION("""COMPUTED_VALUE"""),"see map")</f>
        <v>see map</v>
      </c>
      <c r="T102" s="2" t="str">
        <f ca="1">IFERROR(__xludf.DUMMYFUNCTION("""COMPUTED_VALUE"""),"dont know")</f>
        <v>dont know</v>
      </c>
      <c r="U102" s="2" t="str">
        <f ca="1">IFERROR(__xludf.DUMMYFUNCTION("""COMPUTED_VALUE"""),"Burnt pile of Wattle slash, chainsaw use vechile use. bird was present at 9, again at 1 when next checked up on (same place) then gone @ 3.30pm. listned out towards estury, in reserve, highpoint by pumphouse, nothing...  cutwater rd paddocks possible??  T"&amp;"X38 listend for but not heard. ")</f>
        <v xml:space="preserve">Burnt pile of Wattle slash, chainsaw use vechile use. bird was present at 9, again at 1 when next checked up on (same place) then gone @ 3.30pm. listned out towards estury, in reserve, highpoint by pumphouse, nothing...  cutwater rd paddocks possible??  TX38 listend for but not heard. </v>
      </c>
      <c r="V102" s="2" t="str">
        <f ca="1">IFERROR(__xludf.DUMMYFUNCTION("""COMPUTED_VALUE"""),"")</f>
        <v/>
      </c>
      <c r="W102" s="2" t="str">
        <f ca="1">IFERROR(__xludf.DUMMYFUNCTION("""COMPUTED_VALUE"""),"")</f>
        <v/>
      </c>
      <c r="X102" s="2" t="str">
        <f ca="1">IFERROR(__xludf.DUMMYFUNCTION("""COMPUTED_VALUE"""),"")</f>
        <v/>
      </c>
      <c r="Y102" s="2" t="str">
        <f ca="1">IFERROR(__xludf.DUMMYFUNCTION("""COMPUTED_VALUE"""),"")</f>
        <v/>
      </c>
      <c r="Z102" s="2" t="str">
        <f ca="1">IFERROR(__xludf.DUMMYFUNCTION("""COMPUTED_VALUE"""),"")</f>
        <v/>
      </c>
      <c r="AA102" s="2" t="str">
        <f ca="1">IFERROR(__xludf.DUMMYFUNCTION("""COMPUTED_VALUE"""),"")</f>
        <v/>
      </c>
      <c r="AB102" s="2" t="str">
        <f ca="1">IFERROR(__xludf.DUMMYFUNCTION("""COMPUTED_VALUE"""),"")</f>
        <v/>
      </c>
      <c r="AC102" s="2" t="str">
        <f ca="1">IFERROR(__xludf.DUMMYFUNCTION("""COMPUTED_VALUE"""),"")</f>
        <v/>
      </c>
      <c r="AD102" s="2" t="str">
        <f ca="1">IFERROR(__xludf.DUMMYFUNCTION("""COMPUTED_VALUE"""),"")</f>
        <v/>
      </c>
      <c r="AE102" s="2" t="str">
        <f ca="1">IFERROR(__xludf.DUMMYFUNCTION("""COMPUTED_VALUE"""),"")</f>
        <v/>
      </c>
      <c r="AF102" s="2" t="str">
        <f ca="1">IFERROR(__xludf.DUMMYFUNCTION("""COMPUTED_VALUE"""),"")</f>
        <v/>
      </c>
      <c r="AG102" s="2" t="str">
        <f ca="1">IFERROR(__xludf.DUMMYFUNCTION("""COMPUTED_VALUE"""),"")</f>
        <v/>
      </c>
      <c r="AH102" s="2" t="str">
        <f ca="1">IFERROR(__xludf.DUMMYFUNCTION("""COMPUTED_VALUE"""),"")</f>
        <v/>
      </c>
      <c r="AI102" s="2" t="str">
        <f ca="1">IFERROR(__xludf.DUMMYFUNCTION("""COMPUTED_VALUE"""),"")</f>
        <v/>
      </c>
      <c r="AJ102" s="2" t="str">
        <f ca="1">IFERROR(__xludf.DUMMYFUNCTION("""COMPUTED_VALUE"""),"")</f>
        <v/>
      </c>
      <c r="AK102" s="2" t="str">
        <f ca="1">IFERROR(__xludf.DUMMYFUNCTION("""COMPUTED_VALUE"""),"")</f>
        <v/>
      </c>
      <c r="AL102" s="2" t="str">
        <f ca="1">IFERROR(__xludf.DUMMYFUNCTION("""COMPUTED_VALUE"""),"")</f>
        <v/>
      </c>
      <c r="AM102" s="2" t="str">
        <f ca="1">IFERROR(__xludf.DUMMYFUNCTION("""COMPUTED_VALUE"""),"")</f>
        <v/>
      </c>
      <c r="AN102" s="2" t="str">
        <f ca="1">IFERROR(__xludf.DUMMYFUNCTION("""COMPUTED_VALUE"""),"")</f>
        <v/>
      </c>
      <c r="AO102" s="2" t="str">
        <f ca="1">IFERROR(__xludf.DUMMYFUNCTION("""COMPUTED_VALUE"""),"")</f>
        <v/>
      </c>
      <c r="AP102" s="2" t="str">
        <f ca="1">IFERROR(__xludf.DUMMYFUNCTION("""COMPUTED_VALUE"""),"")</f>
        <v/>
      </c>
      <c r="AQ102" s="2" t="str">
        <f ca="1">IFERROR(__xludf.DUMMYFUNCTION("""COMPUTED_VALUE"""),"")</f>
        <v/>
      </c>
      <c r="AR102" s="2" t="str">
        <f ca="1">IFERROR(__xludf.DUMMYFUNCTION("""COMPUTED_VALUE"""),"")</f>
        <v/>
      </c>
      <c r="AS102" s="2" t="str">
        <f ca="1">IFERROR(__xludf.DUMMYFUNCTION("""COMPUTED_VALUE"""),"")</f>
        <v/>
      </c>
      <c r="AT102" s="2" t="str">
        <f ca="1">IFERROR(__xludf.DUMMYFUNCTION("""COMPUTED_VALUE"""),"")</f>
        <v/>
      </c>
      <c r="AU102" s="2" t="str">
        <f ca="1">IFERROR(__xludf.DUMMYFUNCTION("""COMPUTED_VALUE"""),"")</f>
        <v/>
      </c>
      <c r="AV102" s="2" t="str">
        <f ca="1">IFERROR(__xludf.DUMMYFUNCTION("""COMPUTED_VALUE"""),"")</f>
        <v/>
      </c>
      <c r="AW102" s="2" t="str">
        <f ca="1">IFERROR(__xludf.DUMMYFUNCTION("""COMPUTED_VALUE"""),"")</f>
        <v/>
      </c>
      <c r="AX102" s="2" t="str">
        <f ca="1">IFERROR(__xludf.DUMMYFUNCTION("""COMPUTED_VALUE"""),"")</f>
        <v/>
      </c>
      <c r="AY102" s="2" t="str">
        <f ca="1">IFERROR(__xludf.DUMMYFUNCTION("""COMPUTED_VALUE"""),"")</f>
        <v/>
      </c>
      <c r="AZ102" s="2" t="str">
        <f ca="1">IFERROR(__xludf.DUMMYFUNCTION("""COMPUTED_VALUE"""),"")</f>
        <v/>
      </c>
      <c r="BA102" s="2" t="str">
        <f ca="1">IFERROR(__xludf.DUMMYFUNCTION("""COMPUTED_VALUE"""),"")</f>
        <v/>
      </c>
      <c r="BB102" s="2" t="str">
        <f ca="1">IFERROR(__xludf.DUMMYFUNCTION("""COMPUTED_VALUE"""),"")</f>
        <v/>
      </c>
      <c r="BC102" s="2" t="str">
        <f ca="1">IFERROR(__xludf.DUMMYFUNCTION("""COMPUTED_VALUE"""),"")</f>
        <v/>
      </c>
      <c r="BD102" s="2" t="str">
        <f ca="1">IFERROR(__xludf.DUMMYFUNCTION("""COMPUTED_VALUE"""),"")</f>
        <v/>
      </c>
      <c r="BE102" s="2" t="str">
        <f ca="1">IFERROR(__xludf.DUMMYFUNCTION("""COMPUTED_VALUE"""),"")</f>
        <v/>
      </c>
      <c r="BF102" t="str">
        <f ca="1">IFERROR(__xludf.DUMMYFUNCTION("""COMPUTED_VALUE"""),"")</f>
        <v/>
      </c>
      <c r="BG102" t="str">
        <f ca="1">IFERROR(__xludf.DUMMYFUNCTION("""COMPUTED_VALUE"""),"")</f>
        <v/>
      </c>
      <c r="BH102" t="str">
        <f ca="1">IFERROR(__xludf.DUMMYFUNCTION("""COMPUTED_VALUE"""),"")</f>
        <v/>
      </c>
      <c r="BI102" t="str">
        <f ca="1">IFERROR(__xludf.DUMMYFUNCTION("""COMPUTED_VALUE"""),"")</f>
        <v/>
      </c>
      <c r="BJ102" s="3" t="str">
        <f ca="1">IFERROR(__xludf.DUMMYFUNCTION("""COMPUTED_VALUE"""),"")</f>
        <v/>
      </c>
    </row>
    <row r="103" spans="1:62" ht="12.5" x14ac:dyDescent="0.25">
      <c r="A103" s="6">
        <f ca="1">IFERROR(__xludf.DUMMYFUNCTION("""COMPUTED_VALUE"""),43435.801118831)</f>
        <v>43435.801118830997</v>
      </c>
      <c r="B103" s="2" t="str">
        <f ca="1">IFERROR(__xludf.DUMMYFUNCTION("""COMPUTED_VALUE"""),"Bay of Plenty")</f>
        <v>Bay of Plenty</v>
      </c>
      <c r="C103" s="2" t="str">
        <f ca="1">IFERROR(__xludf.DUMMYFUNCTION("""COMPUTED_VALUE"""),"Tx 17 - Teddy")</f>
        <v>Tx 17 - Teddy</v>
      </c>
      <c r="D103" s="10">
        <f ca="1">IFERROR(__xludf.DUMMYFUNCTION("""COMPUTED_VALUE"""),43221)</f>
        <v>43221</v>
      </c>
      <c r="E103" s="4">
        <f ca="1">IFERROR(__xludf.DUMMYFUNCTION("""COMPUTED_VALUE"""),0.260416666667879)</f>
        <v>0.26041666666787899</v>
      </c>
      <c r="F103" s="2" t="str">
        <f ca="1">IFERROR(__xludf.DUMMYFUNCTION("""COMPUTED_VALUE"""),"Waihi WMR")</f>
        <v>Waihi WMR</v>
      </c>
      <c r="G103" s="2" t="str">
        <f ca="1">IFERROR(__xludf.DUMMYFUNCTION("""COMPUTED_VALUE"""),"VHF (close approach): I followed the signal until I got within 50 m of the bird")</f>
        <v>VHF (close approach): I followed the signal until I got within 50 m of the bird</v>
      </c>
      <c r="H103" s="2" t="str">
        <f ca="1">IFERROR(__xludf.DUMMYFUNCTION("""COMPUTED_VALUE"""),"")</f>
        <v/>
      </c>
      <c r="I103" s="2" t="str">
        <f ca="1">IFERROR(__xludf.DUMMYFUNCTION("""COMPUTED_VALUE"""),"")</f>
        <v/>
      </c>
      <c r="J103" s="2" t="str">
        <f ca="1">IFERROR(__xludf.DUMMYFUNCTION("""COMPUTED_VALUE"""),"")</f>
        <v/>
      </c>
      <c r="K103" s="2" t="str">
        <f ca="1">IFERROR(__xludf.DUMMYFUNCTION("""COMPUTED_VALUE"""),"")</f>
        <v/>
      </c>
      <c r="L103" s="2" t="str">
        <f ca="1">IFERROR(__xludf.DUMMYFUNCTION("""COMPUTED_VALUE"""),"No - I got very close to the bird but it was well hidden in the vegetation")</f>
        <v>No - I got very close to the bird but it was well hidden in the vegetation</v>
      </c>
      <c r="M103" s="5">
        <f ca="1">IFERROR(__xludf.DUMMYFUNCTION("""COMPUTED_VALUE"""),1906809)</f>
        <v>1906809</v>
      </c>
      <c r="N103" s="5">
        <f ca="1">IFERROR(__xludf.DUMMYFUNCTION("""COMPUTED_VALUE"""),5813106)</f>
        <v>5813106</v>
      </c>
      <c r="O103" s="2" t="str">
        <f ca="1">IFERROR(__xludf.DUMMYFUNCTION("""COMPUTED_VALUE"""),"")</f>
        <v/>
      </c>
      <c r="P103" s="2" t="str">
        <f ca="1">IFERROR(__xludf.DUMMYFUNCTION("""COMPUTED_VALUE"""),"N/A - not grazed")</f>
        <v>N/A - not grazed</v>
      </c>
      <c r="Q103" s="2" t="str">
        <f ca="1">IFERROR(__xludf.DUMMYFUNCTION("""COMPUTED_VALUE"""),"Don't know")</f>
        <v>Don't know</v>
      </c>
      <c r="R103" s="2" t="str">
        <f ca="1">IFERROR(__xludf.DUMMYFUNCTION("""COMPUTED_VALUE"""),"dont know")</f>
        <v>dont know</v>
      </c>
      <c r="S103" s="2" t="str">
        <f ca="1">IFERROR(__xludf.DUMMYFUNCTION("""COMPUTED_VALUE"""),"dont know ")</f>
        <v xml:space="preserve">dont know </v>
      </c>
      <c r="T103" s="2" t="str">
        <f ca="1">IFERROR(__xludf.DUMMYFUNCTION("""COMPUTED_VALUE"""),"dont know")</f>
        <v>dont know</v>
      </c>
      <c r="U103" s="2" t="str">
        <f ca="1">IFERROR(__xludf.DUMMYFUNCTION("""COMPUTED_VALUE"""),"Heard out in little waihi WMR 6.15pm- Traveled to pump house 10 from corner by 6.26 male had moved into saltmarsh. monitor finished at 6.40pm both birds in oioi rushland. mark +- 100m")</f>
        <v>Heard out in little waihi WMR 6.15pm- Traveled to pump house 10 from corner by 6.26 male had moved into saltmarsh. monitor finished at 6.40pm both birds in oioi rushland. mark +- 100m</v>
      </c>
      <c r="V103" s="2" t="str">
        <f ca="1">IFERROR(__xludf.DUMMYFUNCTION("""COMPUTED_VALUE"""),"")</f>
        <v/>
      </c>
      <c r="W103" s="2" t="str">
        <f ca="1">IFERROR(__xludf.DUMMYFUNCTION("""COMPUTED_VALUE"""),"")</f>
        <v/>
      </c>
      <c r="X103" s="2" t="str">
        <f ca="1">IFERROR(__xludf.DUMMYFUNCTION("""COMPUTED_VALUE"""),"")</f>
        <v/>
      </c>
      <c r="Y103" s="2" t="str">
        <f ca="1">IFERROR(__xludf.DUMMYFUNCTION("""COMPUTED_VALUE"""),"")</f>
        <v/>
      </c>
      <c r="Z103" s="2" t="str">
        <f ca="1">IFERROR(__xludf.DUMMYFUNCTION("""COMPUTED_VALUE"""),"")</f>
        <v/>
      </c>
      <c r="AA103" s="2" t="str">
        <f ca="1">IFERROR(__xludf.DUMMYFUNCTION("""COMPUTED_VALUE"""),"")</f>
        <v/>
      </c>
      <c r="AB103" s="2" t="str">
        <f ca="1">IFERROR(__xludf.DUMMYFUNCTION("""COMPUTED_VALUE"""),"")</f>
        <v/>
      </c>
      <c r="AC103" s="2" t="str">
        <f ca="1">IFERROR(__xludf.DUMMYFUNCTION("""COMPUTED_VALUE"""),"")</f>
        <v/>
      </c>
      <c r="AD103" s="2" t="str">
        <f ca="1">IFERROR(__xludf.DUMMYFUNCTION("""COMPUTED_VALUE"""),"")</f>
        <v/>
      </c>
      <c r="AE103" s="2" t="str">
        <f ca="1">IFERROR(__xludf.DUMMYFUNCTION("""COMPUTED_VALUE"""),"")</f>
        <v/>
      </c>
      <c r="AF103" s="2" t="str">
        <f ca="1">IFERROR(__xludf.DUMMYFUNCTION("""COMPUTED_VALUE"""),"")</f>
        <v/>
      </c>
      <c r="AG103" s="2" t="str">
        <f ca="1">IFERROR(__xludf.DUMMYFUNCTION("""COMPUTED_VALUE"""),"")</f>
        <v/>
      </c>
      <c r="AH103" s="2" t="str">
        <f ca="1">IFERROR(__xludf.DUMMYFUNCTION("""COMPUTED_VALUE"""),"")</f>
        <v/>
      </c>
      <c r="AI103" s="2" t="str">
        <f ca="1">IFERROR(__xludf.DUMMYFUNCTION("""COMPUTED_VALUE"""),"")</f>
        <v/>
      </c>
      <c r="AJ103" s="2" t="str">
        <f ca="1">IFERROR(__xludf.DUMMYFUNCTION("""COMPUTED_VALUE"""),"")</f>
        <v/>
      </c>
      <c r="AK103" s="2" t="str">
        <f ca="1">IFERROR(__xludf.DUMMYFUNCTION("""COMPUTED_VALUE"""),"")</f>
        <v/>
      </c>
      <c r="AL103" s="2" t="str">
        <f ca="1">IFERROR(__xludf.DUMMYFUNCTION("""COMPUTED_VALUE"""),"")</f>
        <v/>
      </c>
      <c r="AM103" s="2" t="str">
        <f ca="1">IFERROR(__xludf.DUMMYFUNCTION("""COMPUTED_VALUE"""),"")</f>
        <v/>
      </c>
      <c r="AN103" s="2" t="str">
        <f ca="1">IFERROR(__xludf.DUMMYFUNCTION("""COMPUTED_VALUE"""),"")</f>
        <v/>
      </c>
      <c r="AO103" s="2" t="str">
        <f ca="1">IFERROR(__xludf.DUMMYFUNCTION("""COMPUTED_VALUE"""),"")</f>
        <v/>
      </c>
      <c r="AP103" s="2" t="str">
        <f ca="1">IFERROR(__xludf.DUMMYFUNCTION("""COMPUTED_VALUE"""),"")</f>
        <v/>
      </c>
      <c r="AQ103" s="2" t="str">
        <f ca="1">IFERROR(__xludf.DUMMYFUNCTION("""COMPUTED_VALUE"""),"")</f>
        <v/>
      </c>
      <c r="AR103" s="2" t="str">
        <f ca="1">IFERROR(__xludf.DUMMYFUNCTION("""COMPUTED_VALUE"""),"")</f>
        <v/>
      </c>
      <c r="AS103" s="2" t="str">
        <f ca="1">IFERROR(__xludf.DUMMYFUNCTION("""COMPUTED_VALUE"""),"")</f>
        <v/>
      </c>
      <c r="AT103" s="2" t="str">
        <f ca="1">IFERROR(__xludf.DUMMYFUNCTION("""COMPUTED_VALUE"""),"")</f>
        <v/>
      </c>
      <c r="AU103" s="2" t="str">
        <f ca="1">IFERROR(__xludf.DUMMYFUNCTION("""COMPUTED_VALUE"""),"")</f>
        <v/>
      </c>
      <c r="AV103" s="2" t="str">
        <f ca="1">IFERROR(__xludf.DUMMYFUNCTION("""COMPUTED_VALUE"""),"")</f>
        <v/>
      </c>
      <c r="AW103" s="2" t="str">
        <f ca="1">IFERROR(__xludf.DUMMYFUNCTION("""COMPUTED_VALUE"""),"")</f>
        <v/>
      </c>
      <c r="AX103" s="2" t="str">
        <f ca="1">IFERROR(__xludf.DUMMYFUNCTION("""COMPUTED_VALUE"""),"")</f>
        <v/>
      </c>
      <c r="AY103" s="2" t="str">
        <f ca="1">IFERROR(__xludf.DUMMYFUNCTION("""COMPUTED_VALUE"""),"")</f>
        <v/>
      </c>
      <c r="AZ103" s="2" t="str">
        <f ca="1">IFERROR(__xludf.DUMMYFUNCTION("""COMPUTED_VALUE"""),"")</f>
        <v/>
      </c>
      <c r="BA103" s="2" t="str">
        <f ca="1">IFERROR(__xludf.DUMMYFUNCTION("""COMPUTED_VALUE"""),"")</f>
        <v/>
      </c>
      <c r="BB103" s="2" t="str">
        <f ca="1">IFERROR(__xludf.DUMMYFUNCTION("""COMPUTED_VALUE"""),"")</f>
        <v/>
      </c>
      <c r="BC103" s="2" t="str">
        <f ca="1">IFERROR(__xludf.DUMMYFUNCTION("""COMPUTED_VALUE"""),"")</f>
        <v/>
      </c>
      <c r="BD103" s="2" t="str">
        <f ca="1">IFERROR(__xludf.DUMMYFUNCTION("""COMPUTED_VALUE"""),"")</f>
        <v/>
      </c>
      <c r="BE103" s="2" t="str">
        <f ca="1">IFERROR(__xludf.DUMMYFUNCTION("""COMPUTED_VALUE"""),"")</f>
        <v/>
      </c>
      <c r="BF103" t="str">
        <f ca="1">IFERROR(__xludf.DUMMYFUNCTION("""COMPUTED_VALUE"""),"")</f>
        <v/>
      </c>
      <c r="BG103" t="str">
        <f ca="1">IFERROR(__xludf.DUMMYFUNCTION("""COMPUTED_VALUE"""),"")</f>
        <v/>
      </c>
      <c r="BH103" t="str">
        <f ca="1">IFERROR(__xludf.DUMMYFUNCTION("""COMPUTED_VALUE"""),"")</f>
        <v/>
      </c>
      <c r="BI103" t="str">
        <f ca="1">IFERROR(__xludf.DUMMYFUNCTION("""COMPUTED_VALUE"""),"")</f>
        <v/>
      </c>
      <c r="BJ103" s="3" t="str">
        <f ca="1">IFERROR(__xludf.DUMMYFUNCTION("""COMPUTED_VALUE"""),"")</f>
        <v/>
      </c>
    </row>
    <row r="104" spans="1:62" ht="12.5" x14ac:dyDescent="0.25">
      <c r="A104" s="6">
        <f ca="1">IFERROR(__xludf.DUMMYFUNCTION("""COMPUTED_VALUE"""),43435.8061154398)</f>
        <v>43435.806115439802</v>
      </c>
      <c r="B104" s="2" t="str">
        <f ca="1">IFERROR(__xludf.DUMMYFUNCTION("""COMPUTED_VALUE"""),"Bay of Plenty")</f>
        <v>Bay of Plenty</v>
      </c>
      <c r="C104" s="2" t="str">
        <f ca="1">IFERROR(__xludf.DUMMYFUNCTION("""COMPUTED_VALUE"""),"Tx 17 - Teddy")</f>
        <v>Tx 17 - Teddy</v>
      </c>
      <c r="D104" s="10">
        <f ca="1">IFERROR(__xludf.DUMMYFUNCTION("""COMPUTED_VALUE"""),43221)</f>
        <v>43221</v>
      </c>
      <c r="E104" s="4">
        <f ca="1">IFERROR(__xludf.DUMMYFUNCTION("""COMPUTED_VALUE"""),0.768055555556202)</f>
        <v>0.76805555555620197</v>
      </c>
      <c r="F104" s="2" t="str">
        <f ca="1">IFERROR(__xludf.DUMMYFUNCTION("""COMPUTED_VALUE"""),"WMR East - Salt marsh opposite cutwater rd")</f>
        <v>WMR East - Salt marsh opposite cutwater rd</v>
      </c>
      <c r="G104" s="2" t="str">
        <f ca="1">IFERROR(__xludf.DUMMYFUNCTION("""COMPUTED_VALUE"""),"VHF (close approach): I followed the signal until I got within 50 m of the bird")</f>
        <v>VHF (close approach): I followed the signal until I got within 50 m of the bird</v>
      </c>
      <c r="H104" s="2" t="str">
        <f ca="1">IFERROR(__xludf.DUMMYFUNCTION("""COMPUTED_VALUE"""),"")</f>
        <v/>
      </c>
      <c r="I104" s="2" t="str">
        <f ca="1">IFERROR(__xludf.DUMMYFUNCTION("""COMPUTED_VALUE"""),"")</f>
        <v/>
      </c>
      <c r="J104" s="2" t="str">
        <f ca="1">IFERROR(__xludf.DUMMYFUNCTION("""COMPUTED_VALUE"""),"")</f>
        <v/>
      </c>
      <c r="K104" s="2" t="str">
        <f ca="1">IFERROR(__xludf.DUMMYFUNCTION("""COMPUTED_VALUE"""),"")</f>
        <v/>
      </c>
      <c r="L104" s="2" t="str">
        <f ca="1">IFERROR(__xludf.DUMMYFUNCTION("""COMPUTED_VALUE"""),"No - I got very close to the bird but it was well hidden in the vegetation")</f>
        <v>No - I got very close to the bird but it was well hidden in the vegetation</v>
      </c>
      <c r="M104" s="5">
        <f ca="1">IFERROR(__xludf.DUMMYFUNCTION("""COMPUTED_VALUE"""),1907438)</f>
        <v>1907438</v>
      </c>
      <c r="N104" s="5">
        <f ca="1">IFERROR(__xludf.DUMMYFUNCTION("""COMPUTED_VALUE"""),5812966)</f>
        <v>5812966</v>
      </c>
      <c r="O104" s="2" t="str">
        <f ca="1">IFERROR(__xludf.DUMMYFUNCTION("""COMPUTED_VALUE"""),"")</f>
        <v/>
      </c>
      <c r="P104" s="2" t="str">
        <f ca="1">IFERROR(__xludf.DUMMYFUNCTION("""COMPUTED_VALUE"""),"N/A - not grazed")</f>
        <v>N/A - not grazed</v>
      </c>
      <c r="Q104" s="2" t="str">
        <f ca="1">IFERROR(__xludf.DUMMYFUNCTION("""COMPUTED_VALUE"""),"Don't know")</f>
        <v>Don't know</v>
      </c>
      <c r="R104" s="2" t="str">
        <f ca="1">IFERROR(__xludf.DUMMYFUNCTION("""COMPUTED_VALUE"""),"dont know")</f>
        <v>dont know</v>
      </c>
      <c r="S104" s="2" t="str">
        <f ca="1">IFERROR(__xludf.DUMMYFUNCTION("""COMPUTED_VALUE"""),"dont know")</f>
        <v>dont know</v>
      </c>
      <c r="T104" s="2" t="str">
        <f ca="1">IFERROR(__xludf.DUMMYFUNCTION("""COMPUTED_VALUE"""),"salt marsh")</f>
        <v>salt marsh</v>
      </c>
      <c r="U104" s="2" t="str">
        <f ca="1">IFERROR(__xludf.DUMMYFUNCTION("""COMPUTED_VALUE"""),"bird flew from WMR to saltmarsh. see previous time should read PM ")</f>
        <v xml:space="preserve">bird flew from WMR to saltmarsh. see previous time should read PM </v>
      </c>
      <c r="V104" s="2" t="str">
        <f ca="1">IFERROR(__xludf.DUMMYFUNCTION("""COMPUTED_VALUE"""),"")</f>
        <v/>
      </c>
      <c r="W104" s="2" t="str">
        <f ca="1">IFERROR(__xludf.DUMMYFUNCTION("""COMPUTED_VALUE"""),"")</f>
        <v/>
      </c>
      <c r="X104" s="2" t="str">
        <f ca="1">IFERROR(__xludf.DUMMYFUNCTION("""COMPUTED_VALUE"""),"")</f>
        <v/>
      </c>
      <c r="Y104" s="2" t="str">
        <f ca="1">IFERROR(__xludf.DUMMYFUNCTION("""COMPUTED_VALUE"""),"")</f>
        <v/>
      </c>
      <c r="Z104" s="2" t="str">
        <f ca="1">IFERROR(__xludf.DUMMYFUNCTION("""COMPUTED_VALUE"""),"")</f>
        <v/>
      </c>
      <c r="AA104" s="2" t="str">
        <f ca="1">IFERROR(__xludf.DUMMYFUNCTION("""COMPUTED_VALUE"""),"")</f>
        <v/>
      </c>
      <c r="AB104" s="2" t="str">
        <f ca="1">IFERROR(__xludf.DUMMYFUNCTION("""COMPUTED_VALUE"""),"")</f>
        <v/>
      </c>
      <c r="AC104" s="2" t="str">
        <f ca="1">IFERROR(__xludf.DUMMYFUNCTION("""COMPUTED_VALUE"""),"")</f>
        <v/>
      </c>
      <c r="AD104" s="2" t="str">
        <f ca="1">IFERROR(__xludf.DUMMYFUNCTION("""COMPUTED_VALUE"""),"")</f>
        <v/>
      </c>
      <c r="AE104" s="2" t="str">
        <f ca="1">IFERROR(__xludf.DUMMYFUNCTION("""COMPUTED_VALUE"""),"")</f>
        <v/>
      </c>
      <c r="AF104" s="2" t="str">
        <f ca="1">IFERROR(__xludf.DUMMYFUNCTION("""COMPUTED_VALUE"""),"")</f>
        <v/>
      </c>
      <c r="AG104" s="2" t="str">
        <f ca="1">IFERROR(__xludf.DUMMYFUNCTION("""COMPUTED_VALUE"""),"")</f>
        <v/>
      </c>
      <c r="AH104" s="2" t="str">
        <f ca="1">IFERROR(__xludf.DUMMYFUNCTION("""COMPUTED_VALUE"""),"")</f>
        <v/>
      </c>
      <c r="AI104" s="2" t="str">
        <f ca="1">IFERROR(__xludf.DUMMYFUNCTION("""COMPUTED_VALUE"""),"")</f>
        <v/>
      </c>
      <c r="AJ104" s="2" t="str">
        <f ca="1">IFERROR(__xludf.DUMMYFUNCTION("""COMPUTED_VALUE"""),"")</f>
        <v/>
      </c>
      <c r="AK104" s="2" t="str">
        <f ca="1">IFERROR(__xludf.DUMMYFUNCTION("""COMPUTED_VALUE"""),"")</f>
        <v/>
      </c>
      <c r="AL104" s="2" t="str">
        <f ca="1">IFERROR(__xludf.DUMMYFUNCTION("""COMPUTED_VALUE"""),"")</f>
        <v/>
      </c>
      <c r="AM104" s="2" t="str">
        <f ca="1">IFERROR(__xludf.DUMMYFUNCTION("""COMPUTED_VALUE"""),"")</f>
        <v/>
      </c>
      <c r="AN104" s="2" t="str">
        <f ca="1">IFERROR(__xludf.DUMMYFUNCTION("""COMPUTED_VALUE"""),"")</f>
        <v/>
      </c>
      <c r="AO104" s="2" t="str">
        <f ca="1">IFERROR(__xludf.DUMMYFUNCTION("""COMPUTED_VALUE"""),"")</f>
        <v/>
      </c>
      <c r="AP104" s="2" t="str">
        <f ca="1">IFERROR(__xludf.DUMMYFUNCTION("""COMPUTED_VALUE"""),"")</f>
        <v/>
      </c>
      <c r="AQ104" s="2" t="str">
        <f ca="1">IFERROR(__xludf.DUMMYFUNCTION("""COMPUTED_VALUE"""),"")</f>
        <v/>
      </c>
      <c r="AR104" s="2" t="str">
        <f ca="1">IFERROR(__xludf.DUMMYFUNCTION("""COMPUTED_VALUE"""),"")</f>
        <v/>
      </c>
      <c r="AS104" s="2" t="str">
        <f ca="1">IFERROR(__xludf.DUMMYFUNCTION("""COMPUTED_VALUE"""),"")</f>
        <v/>
      </c>
      <c r="AT104" s="2" t="str">
        <f ca="1">IFERROR(__xludf.DUMMYFUNCTION("""COMPUTED_VALUE"""),"")</f>
        <v/>
      </c>
      <c r="AU104" s="2" t="str">
        <f ca="1">IFERROR(__xludf.DUMMYFUNCTION("""COMPUTED_VALUE"""),"")</f>
        <v/>
      </c>
      <c r="AV104" s="2" t="str">
        <f ca="1">IFERROR(__xludf.DUMMYFUNCTION("""COMPUTED_VALUE"""),"")</f>
        <v/>
      </c>
      <c r="AW104" s="2" t="str">
        <f ca="1">IFERROR(__xludf.DUMMYFUNCTION("""COMPUTED_VALUE"""),"")</f>
        <v/>
      </c>
      <c r="AX104" s="2" t="str">
        <f ca="1">IFERROR(__xludf.DUMMYFUNCTION("""COMPUTED_VALUE"""),"")</f>
        <v/>
      </c>
      <c r="AY104" s="2" t="str">
        <f ca="1">IFERROR(__xludf.DUMMYFUNCTION("""COMPUTED_VALUE"""),"")</f>
        <v/>
      </c>
      <c r="AZ104" s="2" t="str">
        <f ca="1">IFERROR(__xludf.DUMMYFUNCTION("""COMPUTED_VALUE"""),"")</f>
        <v/>
      </c>
      <c r="BA104" s="2" t="str">
        <f ca="1">IFERROR(__xludf.DUMMYFUNCTION("""COMPUTED_VALUE"""),"")</f>
        <v/>
      </c>
      <c r="BB104" s="2" t="str">
        <f ca="1">IFERROR(__xludf.DUMMYFUNCTION("""COMPUTED_VALUE"""),"")</f>
        <v/>
      </c>
      <c r="BC104" s="2" t="str">
        <f ca="1">IFERROR(__xludf.DUMMYFUNCTION("""COMPUTED_VALUE"""),"")</f>
        <v/>
      </c>
      <c r="BD104" s="2" t="str">
        <f ca="1">IFERROR(__xludf.DUMMYFUNCTION("""COMPUTED_VALUE"""),"")</f>
        <v/>
      </c>
      <c r="BE104" s="2" t="str">
        <f ca="1">IFERROR(__xludf.DUMMYFUNCTION("""COMPUTED_VALUE"""),"")</f>
        <v/>
      </c>
      <c r="BF104" t="str">
        <f ca="1">IFERROR(__xludf.DUMMYFUNCTION("""COMPUTED_VALUE"""),"")</f>
        <v/>
      </c>
      <c r="BG104" t="str">
        <f ca="1">IFERROR(__xludf.DUMMYFUNCTION("""COMPUTED_VALUE"""),"")</f>
        <v/>
      </c>
      <c r="BH104" t="str">
        <f ca="1">IFERROR(__xludf.DUMMYFUNCTION("""COMPUTED_VALUE"""),"")</f>
        <v/>
      </c>
      <c r="BI104" t="str">
        <f ca="1">IFERROR(__xludf.DUMMYFUNCTION("""COMPUTED_VALUE"""),"")</f>
        <v/>
      </c>
      <c r="BJ104" s="3" t="str">
        <f ca="1">IFERROR(__xludf.DUMMYFUNCTION("""COMPUTED_VALUE"""),"")</f>
        <v/>
      </c>
    </row>
    <row r="105" spans="1:62" ht="12.5" x14ac:dyDescent="0.25">
      <c r="A105" s="6">
        <f ca="1">IFERROR(__xludf.DUMMYFUNCTION("""COMPUTED_VALUE"""),43435.8116153588)</f>
        <v>43435.811615358798</v>
      </c>
      <c r="B105" s="2" t="str">
        <f ca="1">IFERROR(__xludf.DUMMYFUNCTION("""COMPUTED_VALUE"""),"Bay of Plenty")</f>
        <v>Bay of Plenty</v>
      </c>
      <c r="C105" s="2" t="str">
        <f ca="1">IFERROR(__xludf.DUMMYFUNCTION("""COMPUTED_VALUE"""),"Tx 17 - Teddy")</f>
        <v>Tx 17 - Teddy</v>
      </c>
      <c r="D105" s="10">
        <f ca="1">IFERROR(__xludf.DUMMYFUNCTION("""COMPUTED_VALUE"""),43105)</f>
        <v>43105</v>
      </c>
      <c r="E105" s="4">
        <f ca="1">IFERROR(__xludf.DUMMYFUNCTION("""COMPUTED_VALUE"""),0.83333333333212)</f>
        <v>0.83333333333212001</v>
      </c>
      <c r="F105" s="2" t="str">
        <f ca="1">IFERROR(__xludf.DUMMYFUNCTION("""COMPUTED_VALUE"""),"Waihi WMR East - salt marsh")</f>
        <v>Waihi WMR East - salt marsh</v>
      </c>
      <c r="G105" s="2" t="str">
        <f ca="1">IFERROR(__xludf.DUMMYFUNCTION("""COMPUTED_VALUE"""),"VHF (close approach): I followed the signal until I got within 50 m of the bird")</f>
        <v>VHF (close approach): I followed the signal until I got within 50 m of the bird</v>
      </c>
      <c r="H105" s="2" t="str">
        <f ca="1">IFERROR(__xludf.DUMMYFUNCTION("""COMPUTED_VALUE"""),"")</f>
        <v/>
      </c>
      <c r="I105" s="2" t="str">
        <f ca="1">IFERROR(__xludf.DUMMYFUNCTION("""COMPUTED_VALUE"""),"")</f>
        <v/>
      </c>
      <c r="J105" s="2" t="str">
        <f ca="1">IFERROR(__xludf.DUMMYFUNCTION("""COMPUTED_VALUE"""),"")</f>
        <v/>
      </c>
      <c r="K105" s="2" t="str">
        <f ca="1">IFERROR(__xludf.DUMMYFUNCTION("""COMPUTED_VALUE"""),"")</f>
        <v/>
      </c>
      <c r="L105" s="2" t="str">
        <f ca="1">IFERROR(__xludf.DUMMYFUNCTION("""COMPUTED_VALUE"""),"No - I got very close to the bird but it was well hidden in the vegetation")</f>
        <v>No - I got very close to the bird but it was well hidden in the vegetation</v>
      </c>
      <c r="M105" s="5">
        <f ca="1">IFERROR(__xludf.DUMMYFUNCTION("""COMPUTED_VALUE"""),1907512)</f>
        <v>1907512</v>
      </c>
      <c r="N105" s="5">
        <f ca="1">IFERROR(__xludf.DUMMYFUNCTION("""COMPUTED_VALUE"""),5813181)</f>
        <v>5813181</v>
      </c>
      <c r="O105" s="2" t="str">
        <f ca="1">IFERROR(__xludf.DUMMYFUNCTION("""COMPUTED_VALUE"""),"")</f>
        <v/>
      </c>
      <c r="P105" s="2" t="str">
        <f ca="1">IFERROR(__xludf.DUMMYFUNCTION("""COMPUTED_VALUE"""),"N/A - not grazed")</f>
        <v>N/A - not grazed</v>
      </c>
      <c r="Q105" s="2" t="str">
        <f ca="1">IFERROR(__xludf.DUMMYFUNCTION("""COMPUTED_VALUE"""),"Don't know")</f>
        <v>Don't know</v>
      </c>
      <c r="R105" s="2" t="str">
        <f ca="1">IFERROR(__xludf.DUMMYFUNCTION("""COMPUTED_VALUE"""),"dont know")</f>
        <v>dont know</v>
      </c>
      <c r="S105" s="2" t="str">
        <f ca="1">IFERROR(__xludf.DUMMYFUNCTION("""COMPUTED_VALUE"""),"dont know")</f>
        <v>dont know</v>
      </c>
      <c r="T105" s="2" t="str">
        <f ca="1">IFERROR(__xludf.DUMMYFUNCTION("""COMPUTED_VALUE"""),"salt marsh")</f>
        <v>salt marsh</v>
      </c>
      <c r="U105" s="2" t="str">
        <f ca="1">IFERROR(__xludf.DUMMYFUNCTION("""COMPUTED_VALUE"""),"Entered by Karl - listen from Bevs house mark est")</f>
        <v>Entered by Karl - listen from Bevs house mark est</v>
      </c>
      <c r="V105" s="2" t="str">
        <f ca="1">IFERROR(__xludf.DUMMYFUNCTION("""COMPUTED_VALUE"""),"")</f>
        <v/>
      </c>
      <c r="W105" s="2" t="str">
        <f ca="1">IFERROR(__xludf.DUMMYFUNCTION("""COMPUTED_VALUE"""),"")</f>
        <v/>
      </c>
      <c r="X105" s="2" t="str">
        <f ca="1">IFERROR(__xludf.DUMMYFUNCTION("""COMPUTED_VALUE"""),"")</f>
        <v/>
      </c>
      <c r="Y105" s="2" t="str">
        <f ca="1">IFERROR(__xludf.DUMMYFUNCTION("""COMPUTED_VALUE"""),"")</f>
        <v/>
      </c>
      <c r="Z105" s="2" t="str">
        <f ca="1">IFERROR(__xludf.DUMMYFUNCTION("""COMPUTED_VALUE"""),"")</f>
        <v/>
      </c>
      <c r="AA105" s="2" t="str">
        <f ca="1">IFERROR(__xludf.DUMMYFUNCTION("""COMPUTED_VALUE"""),"")</f>
        <v/>
      </c>
      <c r="AB105" s="2" t="str">
        <f ca="1">IFERROR(__xludf.DUMMYFUNCTION("""COMPUTED_VALUE"""),"")</f>
        <v/>
      </c>
      <c r="AC105" s="2" t="str">
        <f ca="1">IFERROR(__xludf.DUMMYFUNCTION("""COMPUTED_VALUE"""),"")</f>
        <v/>
      </c>
      <c r="AD105" s="2" t="str">
        <f ca="1">IFERROR(__xludf.DUMMYFUNCTION("""COMPUTED_VALUE"""),"")</f>
        <v/>
      </c>
      <c r="AE105" s="2" t="str">
        <f ca="1">IFERROR(__xludf.DUMMYFUNCTION("""COMPUTED_VALUE"""),"")</f>
        <v/>
      </c>
      <c r="AF105" s="2" t="str">
        <f ca="1">IFERROR(__xludf.DUMMYFUNCTION("""COMPUTED_VALUE"""),"")</f>
        <v/>
      </c>
      <c r="AG105" s="2" t="str">
        <f ca="1">IFERROR(__xludf.DUMMYFUNCTION("""COMPUTED_VALUE"""),"")</f>
        <v/>
      </c>
      <c r="AH105" s="2" t="str">
        <f ca="1">IFERROR(__xludf.DUMMYFUNCTION("""COMPUTED_VALUE"""),"")</f>
        <v/>
      </c>
      <c r="AI105" s="2" t="str">
        <f ca="1">IFERROR(__xludf.DUMMYFUNCTION("""COMPUTED_VALUE"""),"")</f>
        <v/>
      </c>
      <c r="AJ105" s="2" t="str">
        <f ca="1">IFERROR(__xludf.DUMMYFUNCTION("""COMPUTED_VALUE"""),"")</f>
        <v/>
      </c>
      <c r="AK105" s="2" t="str">
        <f ca="1">IFERROR(__xludf.DUMMYFUNCTION("""COMPUTED_VALUE"""),"")</f>
        <v/>
      </c>
      <c r="AL105" s="2" t="str">
        <f ca="1">IFERROR(__xludf.DUMMYFUNCTION("""COMPUTED_VALUE"""),"")</f>
        <v/>
      </c>
      <c r="AM105" s="2" t="str">
        <f ca="1">IFERROR(__xludf.DUMMYFUNCTION("""COMPUTED_VALUE"""),"")</f>
        <v/>
      </c>
      <c r="AN105" s="2" t="str">
        <f ca="1">IFERROR(__xludf.DUMMYFUNCTION("""COMPUTED_VALUE"""),"")</f>
        <v/>
      </c>
      <c r="AO105" s="2" t="str">
        <f ca="1">IFERROR(__xludf.DUMMYFUNCTION("""COMPUTED_VALUE"""),"")</f>
        <v/>
      </c>
      <c r="AP105" s="2" t="str">
        <f ca="1">IFERROR(__xludf.DUMMYFUNCTION("""COMPUTED_VALUE"""),"")</f>
        <v/>
      </c>
      <c r="AQ105" s="2" t="str">
        <f ca="1">IFERROR(__xludf.DUMMYFUNCTION("""COMPUTED_VALUE"""),"")</f>
        <v/>
      </c>
      <c r="AR105" s="2" t="str">
        <f ca="1">IFERROR(__xludf.DUMMYFUNCTION("""COMPUTED_VALUE"""),"")</f>
        <v/>
      </c>
      <c r="AS105" s="2" t="str">
        <f ca="1">IFERROR(__xludf.DUMMYFUNCTION("""COMPUTED_VALUE"""),"")</f>
        <v/>
      </c>
      <c r="AT105" s="2" t="str">
        <f ca="1">IFERROR(__xludf.DUMMYFUNCTION("""COMPUTED_VALUE"""),"")</f>
        <v/>
      </c>
      <c r="AU105" s="2" t="str">
        <f ca="1">IFERROR(__xludf.DUMMYFUNCTION("""COMPUTED_VALUE"""),"")</f>
        <v/>
      </c>
      <c r="AV105" s="2" t="str">
        <f ca="1">IFERROR(__xludf.DUMMYFUNCTION("""COMPUTED_VALUE"""),"")</f>
        <v/>
      </c>
      <c r="AW105" s="2" t="str">
        <f ca="1">IFERROR(__xludf.DUMMYFUNCTION("""COMPUTED_VALUE"""),"")</f>
        <v/>
      </c>
      <c r="AX105" s="2" t="str">
        <f ca="1">IFERROR(__xludf.DUMMYFUNCTION("""COMPUTED_VALUE"""),"")</f>
        <v/>
      </c>
      <c r="AY105" s="2" t="str">
        <f ca="1">IFERROR(__xludf.DUMMYFUNCTION("""COMPUTED_VALUE"""),"")</f>
        <v/>
      </c>
      <c r="AZ105" s="2" t="str">
        <f ca="1">IFERROR(__xludf.DUMMYFUNCTION("""COMPUTED_VALUE"""),"")</f>
        <v/>
      </c>
      <c r="BA105" s="2" t="str">
        <f ca="1">IFERROR(__xludf.DUMMYFUNCTION("""COMPUTED_VALUE"""),"")</f>
        <v/>
      </c>
      <c r="BB105" s="2" t="str">
        <f ca="1">IFERROR(__xludf.DUMMYFUNCTION("""COMPUTED_VALUE"""),"")</f>
        <v/>
      </c>
      <c r="BC105" s="2" t="str">
        <f ca="1">IFERROR(__xludf.DUMMYFUNCTION("""COMPUTED_VALUE"""),"")</f>
        <v/>
      </c>
      <c r="BD105" s="2" t="str">
        <f ca="1">IFERROR(__xludf.DUMMYFUNCTION("""COMPUTED_VALUE"""),"")</f>
        <v/>
      </c>
      <c r="BE105" s="2" t="str">
        <f ca="1">IFERROR(__xludf.DUMMYFUNCTION("""COMPUTED_VALUE"""),"")</f>
        <v/>
      </c>
      <c r="BF105" t="str">
        <f ca="1">IFERROR(__xludf.DUMMYFUNCTION("""COMPUTED_VALUE"""),"")</f>
        <v/>
      </c>
      <c r="BG105" t="str">
        <f ca="1">IFERROR(__xludf.DUMMYFUNCTION("""COMPUTED_VALUE"""),"")</f>
        <v/>
      </c>
      <c r="BH105" t="str">
        <f ca="1">IFERROR(__xludf.DUMMYFUNCTION("""COMPUTED_VALUE"""),"")</f>
        <v/>
      </c>
      <c r="BI105" t="str">
        <f ca="1">IFERROR(__xludf.DUMMYFUNCTION("""COMPUTED_VALUE"""),"")</f>
        <v/>
      </c>
      <c r="BJ105" s="3" t="str">
        <f ca="1">IFERROR(__xludf.DUMMYFUNCTION("""COMPUTED_VALUE"""),"")</f>
        <v/>
      </c>
    </row>
    <row r="106" spans="1:62" ht="12.5" x14ac:dyDescent="0.25">
      <c r="A106" s="6">
        <f ca="1">IFERROR(__xludf.DUMMYFUNCTION("""COMPUTED_VALUE"""),43435.8163768171)</f>
        <v>43435.8163768171</v>
      </c>
      <c r="B106" s="2" t="str">
        <f ca="1">IFERROR(__xludf.DUMMYFUNCTION("""COMPUTED_VALUE"""),"Bay of Plenty")</f>
        <v>Bay of Plenty</v>
      </c>
      <c r="C106" s="2" t="str">
        <f ca="1">IFERROR(__xludf.DUMMYFUNCTION("""COMPUTED_VALUE"""),"Tx 17 - Teddy")</f>
        <v>Tx 17 - Teddy</v>
      </c>
      <c r="D106" s="10">
        <f ca="1">IFERROR(__xludf.DUMMYFUNCTION("""COMPUTED_VALUE"""),43107)</f>
        <v>43107</v>
      </c>
      <c r="E106" s="4">
        <f ca="1">IFERROR(__xludf.DUMMYFUNCTION("""COMPUTED_VALUE"""),0.847222222222626)</f>
        <v>0.847222222222626</v>
      </c>
      <c r="F106" s="2" t="str">
        <f ca="1">IFERROR(__xludf.DUMMYFUNCTION("""COMPUTED_VALUE"""),"Waihi WMR - Salt marsh")</f>
        <v>Waihi WMR - Salt marsh</v>
      </c>
      <c r="G106" s="2" t="str">
        <f ca="1">IFERROR(__xludf.DUMMYFUNCTION("""COMPUTED_VALUE"""),"VHF (close approach): I followed the signal until I got within 50 m of the bird")</f>
        <v>VHF (close approach): I followed the signal until I got within 50 m of the bird</v>
      </c>
      <c r="H106" s="2" t="str">
        <f ca="1">IFERROR(__xludf.DUMMYFUNCTION("""COMPUTED_VALUE"""),"")</f>
        <v/>
      </c>
      <c r="I106" s="2" t="str">
        <f ca="1">IFERROR(__xludf.DUMMYFUNCTION("""COMPUTED_VALUE"""),"")</f>
        <v/>
      </c>
      <c r="J106" s="2" t="str">
        <f ca="1">IFERROR(__xludf.DUMMYFUNCTION("""COMPUTED_VALUE"""),"")</f>
        <v/>
      </c>
      <c r="K106" s="2" t="str">
        <f ca="1">IFERROR(__xludf.DUMMYFUNCTION("""COMPUTED_VALUE"""),"")</f>
        <v/>
      </c>
      <c r="L106" s="2" t="str">
        <f ca="1">IFERROR(__xludf.DUMMYFUNCTION("""COMPUTED_VALUE"""),"No - I got very close to the bird but it was well hidden in the vegetation")</f>
        <v>No - I got very close to the bird but it was well hidden in the vegetation</v>
      </c>
      <c r="M106" s="5">
        <f ca="1">IFERROR(__xludf.DUMMYFUNCTION("""COMPUTED_VALUE"""),1907436)</f>
        <v>1907436</v>
      </c>
      <c r="N106" s="5">
        <f ca="1">IFERROR(__xludf.DUMMYFUNCTION("""COMPUTED_VALUE"""),5813167)</f>
        <v>5813167</v>
      </c>
      <c r="O106" s="2" t="str">
        <f ca="1">IFERROR(__xludf.DUMMYFUNCTION("""COMPUTED_VALUE"""),"")</f>
        <v/>
      </c>
      <c r="P106" s="2" t="str">
        <f ca="1">IFERROR(__xludf.DUMMYFUNCTION("""COMPUTED_VALUE"""),"N/A - not grazed")</f>
        <v>N/A - not grazed</v>
      </c>
      <c r="Q106" s="2" t="str">
        <f ca="1">IFERROR(__xludf.DUMMYFUNCTION("""COMPUTED_VALUE"""),"Don't know")</f>
        <v>Don't know</v>
      </c>
      <c r="R106" s="2" t="str">
        <f ca="1">IFERROR(__xludf.DUMMYFUNCTION("""COMPUTED_VALUE"""),"dont know")</f>
        <v>dont know</v>
      </c>
      <c r="S106" s="2" t="str">
        <f ca="1">IFERROR(__xludf.DUMMYFUNCTION("""COMPUTED_VALUE"""),"dint know")</f>
        <v>dint know</v>
      </c>
      <c r="T106" s="2" t="str">
        <f ca="1">IFERROR(__xludf.DUMMYFUNCTION("""COMPUTED_VALUE"""),"salt marsh")</f>
        <v>salt marsh</v>
      </c>
      <c r="U106" s="2" t="str">
        <f ca="1">IFERROR(__xludf.DUMMYFUNCTION("""COMPUTED_VALUE"""),"mark est. taken from bevs house. entered by karl")</f>
        <v>mark est. taken from bevs house. entered by karl</v>
      </c>
      <c r="V106" s="2" t="str">
        <f ca="1">IFERROR(__xludf.DUMMYFUNCTION("""COMPUTED_VALUE"""),"")</f>
        <v/>
      </c>
      <c r="W106" s="2" t="str">
        <f ca="1">IFERROR(__xludf.DUMMYFUNCTION("""COMPUTED_VALUE"""),"")</f>
        <v/>
      </c>
      <c r="X106" s="2" t="str">
        <f ca="1">IFERROR(__xludf.DUMMYFUNCTION("""COMPUTED_VALUE"""),"")</f>
        <v/>
      </c>
      <c r="Y106" s="2" t="str">
        <f ca="1">IFERROR(__xludf.DUMMYFUNCTION("""COMPUTED_VALUE"""),"")</f>
        <v/>
      </c>
      <c r="Z106" s="2" t="str">
        <f ca="1">IFERROR(__xludf.DUMMYFUNCTION("""COMPUTED_VALUE"""),"")</f>
        <v/>
      </c>
      <c r="AA106" s="2" t="str">
        <f ca="1">IFERROR(__xludf.DUMMYFUNCTION("""COMPUTED_VALUE"""),"")</f>
        <v/>
      </c>
      <c r="AB106" s="2" t="str">
        <f ca="1">IFERROR(__xludf.DUMMYFUNCTION("""COMPUTED_VALUE"""),"")</f>
        <v/>
      </c>
      <c r="AC106" s="2" t="str">
        <f ca="1">IFERROR(__xludf.DUMMYFUNCTION("""COMPUTED_VALUE"""),"")</f>
        <v/>
      </c>
      <c r="AD106" s="2" t="str">
        <f ca="1">IFERROR(__xludf.DUMMYFUNCTION("""COMPUTED_VALUE"""),"")</f>
        <v/>
      </c>
      <c r="AE106" s="2" t="str">
        <f ca="1">IFERROR(__xludf.DUMMYFUNCTION("""COMPUTED_VALUE"""),"")</f>
        <v/>
      </c>
      <c r="AF106" s="2" t="str">
        <f ca="1">IFERROR(__xludf.DUMMYFUNCTION("""COMPUTED_VALUE"""),"")</f>
        <v/>
      </c>
      <c r="AG106" s="2" t="str">
        <f ca="1">IFERROR(__xludf.DUMMYFUNCTION("""COMPUTED_VALUE"""),"")</f>
        <v/>
      </c>
      <c r="AH106" s="2" t="str">
        <f ca="1">IFERROR(__xludf.DUMMYFUNCTION("""COMPUTED_VALUE"""),"")</f>
        <v/>
      </c>
      <c r="AI106" s="2" t="str">
        <f ca="1">IFERROR(__xludf.DUMMYFUNCTION("""COMPUTED_VALUE"""),"")</f>
        <v/>
      </c>
      <c r="AJ106" s="2" t="str">
        <f ca="1">IFERROR(__xludf.DUMMYFUNCTION("""COMPUTED_VALUE"""),"")</f>
        <v/>
      </c>
      <c r="AK106" s="2" t="str">
        <f ca="1">IFERROR(__xludf.DUMMYFUNCTION("""COMPUTED_VALUE"""),"")</f>
        <v/>
      </c>
      <c r="AL106" s="2" t="str">
        <f ca="1">IFERROR(__xludf.DUMMYFUNCTION("""COMPUTED_VALUE"""),"")</f>
        <v/>
      </c>
      <c r="AM106" s="2" t="str">
        <f ca="1">IFERROR(__xludf.DUMMYFUNCTION("""COMPUTED_VALUE"""),"")</f>
        <v/>
      </c>
      <c r="AN106" s="2" t="str">
        <f ca="1">IFERROR(__xludf.DUMMYFUNCTION("""COMPUTED_VALUE"""),"")</f>
        <v/>
      </c>
      <c r="AO106" s="2" t="str">
        <f ca="1">IFERROR(__xludf.DUMMYFUNCTION("""COMPUTED_VALUE"""),"")</f>
        <v/>
      </c>
      <c r="AP106" s="2" t="str">
        <f ca="1">IFERROR(__xludf.DUMMYFUNCTION("""COMPUTED_VALUE"""),"")</f>
        <v/>
      </c>
      <c r="AQ106" s="2" t="str">
        <f ca="1">IFERROR(__xludf.DUMMYFUNCTION("""COMPUTED_VALUE"""),"")</f>
        <v/>
      </c>
      <c r="AR106" s="2" t="str">
        <f ca="1">IFERROR(__xludf.DUMMYFUNCTION("""COMPUTED_VALUE"""),"")</f>
        <v/>
      </c>
      <c r="AS106" s="2" t="str">
        <f ca="1">IFERROR(__xludf.DUMMYFUNCTION("""COMPUTED_VALUE"""),"")</f>
        <v/>
      </c>
      <c r="AT106" s="2" t="str">
        <f ca="1">IFERROR(__xludf.DUMMYFUNCTION("""COMPUTED_VALUE"""),"")</f>
        <v/>
      </c>
      <c r="AU106" s="2" t="str">
        <f ca="1">IFERROR(__xludf.DUMMYFUNCTION("""COMPUTED_VALUE"""),"")</f>
        <v/>
      </c>
      <c r="AV106" s="2" t="str">
        <f ca="1">IFERROR(__xludf.DUMMYFUNCTION("""COMPUTED_VALUE"""),"")</f>
        <v/>
      </c>
      <c r="AW106" s="2" t="str">
        <f ca="1">IFERROR(__xludf.DUMMYFUNCTION("""COMPUTED_VALUE"""),"")</f>
        <v/>
      </c>
      <c r="AX106" s="2" t="str">
        <f ca="1">IFERROR(__xludf.DUMMYFUNCTION("""COMPUTED_VALUE"""),"")</f>
        <v/>
      </c>
      <c r="AY106" s="2" t="str">
        <f ca="1">IFERROR(__xludf.DUMMYFUNCTION("""COMPUTED_VALUE"""),"")</f>
        <v/>
      </c>
      <c r="AZ106" s="2" t="str">
        <f ca="1">IFERROR(__xludf.DUMMYFUNCTION("""COMPUTED_VALUE"""),"")</f>
        <v/>
      </c>
      <c r="BA106" s="2" t="str">
        <f ca="1">IFERROR(__xludf.DUMMYFUNCTION("""COMPUTED_VALUE"""),"")</f>
        <v/>
      </c>
      <c r="BB106" s="2" t="str">
        <f ca="1">IFERROR(__xludf.DUMMYFUNCTION("""COMPUTED_VALUE"""),"")</f>
        <v/>
      </c>
      <c r="BC106" s="2" t="str">
        <f ca="1">IFERROR(__xludf.DUMMYFUNCTION("""COMPUTED_VALUE"""),"")</f>
        <v/>
      </c>
      <c r="BD106" s="2" t="str">
        <f ca="1">IFERROR(__xludf.DUMMYFUNCTION("""COMPUTED_VALUE"""),"")</f>
        <v/>
      </c>
      <c r="BE106" s="2" t="str">
        <f ca="1">IFERROR(__xludf.DUMMYFUNCTION("""COMPUTED_VALUE"""),"")</f>
        <v/>
      </c>
      <c r="BF106" t="str">
        <f ca="1">IFERROR(__xludf.DUMMYFUNCTION("""COMPUTED_VALUE"""),"")</f>
        <v/>
      </c>
      <c r="BG106" t="str">
        <f ca="1">IFERROR(__xludf.DUMMYFUNCTION("""COMPUTED_VALUE"""),"")</f>
        <v/>
      </c>
      <c r="BH106" t="str">
        <f ca="1">IFERROR(__xludf.DUMMYFUNCTION("""COMPUTED_VALUE"""),"")</f>
        <v/>
      </c>
      <c r="BI106" t="str">
        <f ca="1">IFERROR(__xludf.DUMMYFUNCTION("""COMPUTED_VALUE"""),"")</f>
        <v/>
      </c>
      <c r="BJ106" s="3" t="str">
        <f ca="1">IFERROR(__xludf.DUMMYFUNCTION("""COMPUTED_VALUE"""),"")</f>
        <v/>
      </c>
    </row>
    <row r="107" spans="1:62" ht="12.5" x14ac:dyDescent="0.25">
      <c r="A107" s="6">
        <f ca="1">IFERROR(__xludf.DUMMYFUNCTION("""COMPUTED_VALUE"""),43435.8255323032)</f>
        <v>43435.825532303199</v>
      </c>
      <c r="B107" s="2" t="str">
        <f ca="1">IFERROR(__xludf.DUMMYFUNCTION("""COMPUTED_VALUE"""),"Bay of Plenty")</f>
        <v>Bay of Plenty</v>
      </c>
      <c r="C107" s="2" t="str">
        <f ca="1">IFERROR(__xludf.DUMMYFUNCTION("""COMPUTED_VALUE"""),"Tx 17 - Teddy")</f>
        <v>Tx 17 - Teddy</v>
      </c>
      <c r="D107" s="10">
        <f ca="1">IFERROR(__xludf.DUMMYFUNCTION("""COMPUTED_VALUE"""),43111)</f>
        <v>43111</v>
      </c>
      <c r="E107" s="4">
        <f ca="1">IFERROR(__xludf.DUMMYFUNCTION("""COMPUTED_VALUE"""),0.854166666667879)</f>
        <v>0.85416666666787899</v>
      </c>
      <c r="F107" s="2" t="str">
        <f ca="1">IFERROR(__xludf.DUMMYFUNCTION("""COMPUTED_VALUE"""),"Waihi WMR - Saltmarsh ")</f>
        <v xml:space="preserve">Waihi WMR - Saltmarsh </v>
      </c>
      <c r="G107" s="2" t="str">
        <f ca="1">IFERROR(__xludf.DUMMYFUNCTION("""COMPUTED_VALUE"""),"VHF (close approach): I followed the signal until I got within 50 m of the bird")</f>
        <v>VHF (close approach): I followed the signal until I got within 50 m of the bird</v>
      </c>
      <c r="H107" s="2" t="str">
        <f ca="1">IFERROR(__xludf.DUMMYFUNCTION("""COMPUTED_VALUE"""),"")</f>
        <v/>
      </c>
      <c r="I107" s="2" t="str">
        <f ca="1">IFERROR(__xludf.DUMMYFUNCTION("""COMPUTED_VALUE"""),"")</f>
        <v/>
      </c>
      <c r="J107" s="2" t="str">
        <f ca="1">IFERROR(__xludf.DUMMYFUNCTION("""COMPUTED_VALUE"""),"")</f>
        <v/>
      </c>
      <c r="K107" s="2" t="str">
        <f ca="1">IFERROR(__xludf.DUMMYFUNCTION("""COMPUTED_VALUE"""),"")</f>
        <v/>
      </c>
      <c r="L107" s="2" t="str">
        <f ca="1">IFERROR(__xludf.DUMMYFUNCTION("""COMPUTED_VALUE"""),"No - I got very close to the bird but it was well hidden in the vegetation")</f>
        <v>No - I got very close to the bird but it was well hidden in the vegetation</v>
      </c>
      <c r="M107" s="5">
        <f ca="1">IFERROR(__xludf.DUMMYFUNCTION("""COMPUTED_VALUE"""),1906915)</f>
        <v>1906915</v>
      </c>
      <c r="N107" s="5">
        <f ca="1">IFERROR(__xludf.DUMMYFUNCTION("""COMPUTED_VALUE"""),5813558)</f>
        <v>5813558</v>
      </c>
      <c r="O107" s="2" t="str">
        <f ca="1">IFERROR(__xludf.DUMMYFUNCTION("""COMPUTED_VALUE"""),"")</f>
        <v/>
      </c>
      <c r="P107" s="2" t="str">
        <f ca="1">IFERROR(__xludf.DUMMYFUNCTION("""COMPUTED_VALUE"""),"N/A - not grazed")</f>
        <v>N/A - not grazed</v>
      </c>
      <c r="Q107" s="2" t="str">
        <f ca="1">IFERROR(__xludf.DUMMYFUNCTION("""COMPUTED_VALUE"""),"Don't know")</f>
        <v>Don't know</v>
      </c>
      <c r="R107" s="2" t="str">
        <f ca="1">IFERROR(__xludf.DUMMYFUNCTION("""COMPUTED_VALUE"""),"Dont know")</f>
        <v>Dont know</v>
      </c>
      <c r="S107" s="2" t="str">
        <f ca="1">IFERROR(__xludf.DUMMYFUNCTION("""COMPUTED_VALUE"""),"Dont know")</f>
        <v>Dont know</v>
      </c>
      <c r="T107" s="2" t="str">
        <f ca="1">IFERROR(__xludf.DUMMYFUNCTION("""COMPUTED_VALUE"""),"Salt Marsh")</f>
        <v>Salt Marsh</v>
      </c>
      <c r="U107" s="2" t="str">
        <f ca="1">IFERROR(__xludf.DUMMYFUNCTION("""COMPUTED_VALUE"""),"Est from Bevs house - entered by Karl")</f>
        <v>Est from Bevs house - entered by Karl</v>
      </c>
      <c r="V107" s="2" t="str">
        <f ca="1">IFERROR(__xludf.DUMMYFUNCTION("""COMPUTED_VALUE"""),"")</f>
        <v/>
      </c>
      <c r="W107" s="2" t="str">
        <f ca="1">IFERROR(__xludf.DUMMYFUNCTION("""COMPUTED_VALUE"""),"")</f>
        <v/>
      </c>
      <c r="X107" s="2" t="str">
        <f ca="1">IFERROR(__xludf.DUMMYFUNCTION("""COMPUTED_VALUE"""),"")</f>
        <v/>
      </c>
      <c r="Y107" s="2" t="str">
        <f ca="1">IFERROR(__xludf.DUMMYFUNCTION("""COMPUTED_VALUE"""),"")</f>
        <v/>
      </c>
      <c r="Z107" s="2" t="str">
        <f ca="1">IFERROR(__xludf.DUMMYFUNCTION("""COMPUTED_VALUE"""),"")</f>
        <v/>
      </c>
      <c r="AA107" s="2" t="str">
        <f ca="1">IFERROR(__xludf.DUMMYFUNCTION("""COMPUTED_VALUE"""),"")</f>
        <v/>
      </c>
      <c r="AB107" s="2" t="str">
        <f ca="1">IFERROR(__xludf.DUMMYFUNCTION("""COMPUTED_VALUE"""),"")</f>
        <v/>
      </c>
      <c r="AC107" s="2" t="str">
        <f ca="1">IFERROR(__xludf.DUMMYFUNCTION("""COMPUTED_VALUE"""),"")</f>
        <v/>
      </c>
      <c r="AD107" s="2" t="str">
        <f ca="1">IFERROR(__xludf.DUMMYFUNCTION("""COMPUTED_VALUE"""),"")</f>
        <v/>
      </c>
      <c r="AE107" s="2" t="str">
        <f ca="1">IFERROR(__xludf.DUMMYFUNCTION("""COMPUTED_VALUE"""),"")</f>
        <v/>
      </c>
      <c r="AF107" s="2" t="str">
        <f ca="1">IFERROR(__xludf.DUMMYFUNCTION("""COMPUTED_VALUE"""),"")</f>
        <v/>
      </c>
      <c r="AG107" s="2" t="str">
        <f ca="1">IFERROR(__xludf.DUMMYFUNCTION("""COMPUTED_VALUE"""),"")</f>
        <v/>
      </c>
      <c r="AH107" s="2" t="str">
        <f ca="1">IFERROR(__xludf.DUMMYFUNCTION("""COMPUTED_VALUE"""),"")</f>
        <v/>
      </c>
      <c r="AI107" s="2" t="str">
        <f ca="1">IFERROR(__xludf.DUMMYFUNCTION("""COMPUTED_VALUE"""),"")</f>
        <v/>
      </c>
      <c r="AJ107" s="2" t="str">
        <f ca="1">IFERROR(__xludf.DUMMYFUNCTION("""COMPUTED_VALUE"""),"")</f>
        <v/>
      </c>
      <c r="AK107" s="2" t="str">
        <f ca="1">IFERROR(__xludf.DUMMYFUNCTION("""COMPUTED_VALUE"""),"")</f>
        <v/>
      </c>
      <c r="AL107" s="2" t="str">
        <f ca="1">IFERROR(__xludf.DUMMYFUNCTION("""COMPUTED_VALUE"""),"")</f>
        <v/>
      </c>
      <c r="AM107" s="2" t="str">
        <f ca="1">IFERROR(__xludf.DUMMYFUNCTION("""COMPUTED_VALUE"""),"")</f>
        <v/>
      </c>
      <c r="AN107" s="2" t="str">
        <f ca="1">IFERROR(__xludf.DUMMYFUNCTION("""COMPUTED_VALUE"""),"")</f>
        <v/>
      </c>
      <c r="AO107" s="2" t="str">
        <f ca="1">IFERROR(__xludf.DUMMYFUNCTION("""COMPUTED_VALUE"""),"")</f>
        <v/>
      </c>
      <c r="AP107" s="2" t="str">
        <f ca="1">IFERROR(__xludf.DUMMYFUNCTION("""COMPUTED_VALUE"""),"")</f>
        <v/>
      </c>
      <c r="AQ107" s="2" t="str">
        <f ca="1">IFERROR(__xludf.DUMMYFUNCTION("""COMPUTED_VALUE"""),"")</f>
        <v/>
      </c>
      <c r="AR107" s="2" t="str">
        <f ca="1">IFERROR(__xludf.DUMMYFUNCTION("""COMPUTED_VALUE"""),"")</f>
        <v/>
      </c>
      <c r="AS107" s="2" t="str">
        <f ca="1">IFERROR(__xludf.DUMMYFUNCTION("""COMPUTED_VALUE"""),"")</f>
        <v/>
      </c>
      <c r="AT107" s="2" t="str">
        <f ca="1">IFERROR(__xludf.DUMMYFUNCTION("""COMPUTED_VALUE"""),"")</f>
        <v/>
      </c>
      <c r="AU107" s="2" t="str">
        <f ca="1">IFERROR(__xludf.DUMMYFUNCTION("""COMPUTED_VALUE"""),"")</f>
        <v/>
      </c>
      <c r="AV107" s="2" t="str">
        <f ca="1">IFERROR(__xludf.DUMMYFUNCTION("""COMPUTED_VALUE"""),"")</f>
        <v/>
      </c>
      <c r="AW107" s="2" t="str">
        <f ca="1">IFERROR(__xludf.DUMMYFUNCTION("""COMPUTED_VALUE"""),"")</f>
        <v/>
      </c>
      <c r="AX107" s="2" t="str">
        <f ca="1">IFERROR(__xludf.DUMMYFUNCTION("""COMPUTED_VALUE"""),"")</f>
        <v/>
      </c>
      <c r="AY107" s="2" t="str">
        <f ca="1">IFERROR(__xludf.DUMMYFUNCTION("""COMPUTED_VALUE"""),"")</f>
        <v/>
      </c>
      <c r="AZ107" s="2" t="str">
        <f ca="1">IFERROR(__xludf.DUMMYFUNCTION("""COMPUTED_VALUE"""),"")</f>
        <v/>
      </c>
      <c r="BA107" s="2" t="str">
        <f ca="1">IFERROR(__xludf.DUMMYFUNCTION("""COMPUTED_VALUE"""),"")</f>
        <v/>
      </c>
      <c r="BB107" s="2" t="str">
        <f ca="1">IFERROR(__xludf.DUMMYFUNCTION("""COMPUTED_VALUE"""),"")</f>
        <v/>
      </c>
      <c r="BC107" s="2" t="str">
        <f ca="1">IFERROR(__xludf.DUMMYFUNCTION("""COMPUTED_VALUE"""),"")</f>
        <v/>
      </c>
      <c r="BD107" s="2" t="str">
        <f ca="1">IFERROR(__xludf.DUMMYFUNCTION("""COMPUTED_VALUE"""),"")</f>
        <v/>
      </c>
      <c r="BE107" s="2" t="str">
        <f ca="1">IFERROR(__xludf.DUMMYFUNCTION("""COMPUTED_VALUE"""),"")</f>
        <v/>
      </c>
      <c r="BF107" t="str">
        <f ca="1">IFERROR(__xludf.DUMMYFUNCTION("""COMPUTED_VALUE"""),"")</f>
        <v/>
      </c>
      <c r="BG107" t="str">
        <f ca="1">IFERROR(__xludf.DUMMYFUNCTION("""COMPUTED_VALUE"""),"")</f>
        <v/>
      </c>
      <c r="BH107" t="str">
        <f ca="1">IFERROR(__xludf.DUMMYFUNCTION("""COMPUTED_VALUE"""),"")</f>
        <v/>
      </c>
      <c r="BI107" t="str">
        <f ca="1">IFERROR(__xludf.DUMMYFUNCTION("""COMPUTED_VALUE"""),"")</f>
        <v/>
      </c>
      <c r="BJ107" s="3" t="str">
        <f ca="1">IFERROR(__xludf.DUMMYFUNCTION("""COMPUTED_VALUE"""),"")</f>
        <v/>
      </c>
    </row>
    <row r="108" spans="1:62" ht="12.5" x14ac:dyDescent="0.25">
      <c r="A108" s="6">
        <f ca="1">IFERROR(__xludf.DUMMYFUNCTION("""COMPUTED_VALUE"""),43435.8377923032)</f>
        <v>43435.837792303202</v>
      </c>
      <c r="B108" s="2" t="str">
        <f ca="1">IFERROR(__xludf.DUMMYFUNCTION("""COMPUTED_VALUE"""),"Bay of Plenty")</f>
        <v>Bay of Plenty</v>
      </c>
      <c r="C108" s="2" t="str">
        <f ca="1">IFERROR(__xludf.DUMMYFUNCTION("""COMPUTED_VALUE"""),"Tx 17 - Teddy")</f>
        <v>Tx 17 - Teddy</v>
      </c>
      <c r="D108" s="10">
        <f ca="1">IFERROR(__xludf.DUMMYFUNCTION("""COMPUTED_VALUE"""),43121)</f>
        <v>43121</v>
      </c>
      <c r="E108" s="4">
        <f ca="1">IFERROR(__xludf.DUMMYFUNCTION("""COMPUTED_VALUE"""),0.89583333333212)</f>
        <v>0.89583333333212001</v>
      </c>
      <c r="F108" s="2" t="str">
        <f ca="1">IFERROR(__xludf.DUMMYFUNCTION("""COMPUTED_VALUE"""),"Waihi WMR - East - saltmarsh ")</f>
        <v xml:space="preserve">Waihi WMR - East - saltmarsh </v>
      </c>
      <c r="G108" s="2" t="str">
        <f ca="1">IFERROR(__xludf.DUMMYFUNCTION("""COMPUTED_VALUE"""),"VHF (close approach): I followed the signal until I got within 50 m of the bird")</f>
        <v>VHF (close approach): I followed the signal until I got within 50 m of the bird</v>
      </c>
      <c r="H108" s="2" t="str">
        <f ca="1">IFERROR(__xludf.DUMMYFUNCTION("""COMPUTED_VALUE"""),"")</f>
        <v/>
      </c>
      <c r="I108" s="2" t="str">
        <f ca="1">IFERROR(__xludf.DUMMYFUNCTION("""COMPUTED_VALUE"""),"")</f>
        <v/>
      </c>
      <c r="J108" s="2" t="str">
        <f ca="1">IFERROR(__xludf.DUMMYFUNCTION("""COMPUTED_VALUE"""),"")</f>
        <v/>
      </c>
      <c r="K108" s="2" t="str">
        <f ca="1">IFERROR(__xludf.DUMMYFUNCTION("""COMPUTED_VALUE"""),"")</f>
        <v/>
      </c>
      <c r="L108" s="2" t="str">
        <f ca="1">IFERROR(__xludf.DUMMYFUNCTION("""COMPUTED_VALUE"""),"No - I got very close to the bird but it was well hidden in the vegetation")</f>
        <v>No - I got very close to the bird but it was well hidden in the vegetation</v>
      </c>
      <c r="M108" s="5">
        <f ca="1">IFERROR(__xludf.DUMMYFUNCTION("""COMPUTED_VALUE"""),1907512)</f>
        <v>1907512</v>
      </c>
      <c r="N108" s="5">
        <f ca="1">IFERROR(__xludf.DUMMYFUNCTION("""COMPUTED_VALUE"""),5813181)</f>
        <v>5813181</v>
      </c>
      <c r="O108" s="2" t="str">
        <f ca="1">IFERROR(__xludf.DUMMYFUNCTION("""COMPUTED_VALUE"""),"")</f>
        <v/>
      </c>
      <c r="P108" s="2" t="str">
        <f ca="1">IFERROR(__xludf.DUMMYFUNCTION("""COMPUTED_VALUE"""),"N/A - not grazed")</f>
        <v>N/A - not grazed</v>
      </c>
      <c r="Q108" s="2" t="str">
        <f ca="1">IFERROR(__xludf.DUMMYFUNCTION("""COMPUTED_VALUE"""),"Don't know")</f>
        <v>Don't know</v>
      </c>
      <c r="R108" s="2" t="str">
        <f ca="1">IFERROR(__xludf.DUMMYFUNCTION("""COMPUTED_VALUE"""),"Dont know")</f>
        <v>Dont know</v>
      </c>
      <c r="S108" s="2" t="str">
        <f ca="1">IFERROR(__xludf.DUMMYFUNCTION("""COMPUTED_VALUE"""),"see map")</f>
        <v>see map</v>
      </c>
      <c r="T108" s="2" t="str">
        <f ca="1">IFERROR(__xludf.DUMMYFUNCTION("""COMPUTED_VALUE"""),"Saltmarsh")</f>
        <v>Saltmarsh</v>
      </c>
      <c r="U108" s="2" t="str">
        <f ca="1">IFERROR(__xludf.DUMMYFUNCTION("""COMPUTED_VALUE"""),"enterd by karl 4 bev - From 580 Pk parade &amp; subdivision. Dark")</f>
        <v>enterd by karl 4 bev - From 580 Pk parade &amp; subdivision. Dark</v>
      </c>
      <c r="V108" s="2" t="str">
        <f ca="1">IFERROR(__xludf.DUMMYFUNCTION("""COMPUTED_VALUE"""),"")</f>
        <v/>
      </c>
      <c r="W108" s="2" t="str">
        <f ca="1">IFERROR(__xludf.DUMMYFUNCTION("""COMPUTED_VALUE"""),"")</f>
        <v/>
      </c>
      <c r="X108" s="2" t="str">
        <f ca="1">IFERROR(__xludf.DUMMYFUNCTION("""COMPUTED_VALUE"""),"")</f>
        <v/>
      </c>
      <c r="Y108" s="2" t="str">
        <f ca="1">IFERROR(__xludf.DUMMYFUNCTION("""COMPUTED_VALUE"""),"")</f>
        <v/>
      </c>
      <c r="Z108" s="2" t="str">
        <f ca="1">IFERROR(__xludf.DUMMYFUNCTION("""COMPUTED_VALUE"""),"")</f>
        <v/>
      </c>
      <c r="AA108" s="2" t="str">
        <f ca="1">IFERROR(__xludf.DUMMYFUNCTION("""COMPUTED_VALUE"""),"")</f>
        <v/>
      </c>
      <c r="AB108" s="2" t="str">
        <f ca="1">IFERROR(__xludf.DUMMYFUNCTION("""COMPUTED_VALUE"""),"")</f>
        <v/>
      </c>
      <c r="AC108" s="2" t="str">
        <f ca="1">IFERROR(__xludf.DUMMYFUNCTION("""COMPUTED_VALUE"""),"")</f>
        <v/>
      </c>
      <c r="AD108" s="2" t="str">
        <f ca="1">IFERROR(__xludf.DUMMYFUNCTION("""COMPUTED_VALUE"""),"")</f>
        <v/>
      </c>
      <c r="AE108" s="2" t="str">
        <f ca="1">IFERROR(__xludf.DUMMYFUNCTION("""COMPUTED_VALUE"""),"")</f>
        <v/>
      </c>
      <c r="AF108" s="2" t="str">
        <f ca="1">IFERROR(__xludf.DUMMYFUNCTION("""COMPUTED_VALUE"""),"")</f>
        <v/>
      </c>
      <c r="AG108" s="2" t="str">
        <f ca="1">IFERROR(__xludf.DUMMYFUNCTION("""COMPUTED_VALUE"""),"")</f>
        <v/>
      </c>
      <c r="AH108" s="2" t="str">
        <f ca="1">IFERROR(__xludf.DUMMYFUNCTION("""COMPUTED_VALUE"""),"")</f>
        <v/>
      </c>
      <c r="AI108" s="2" t="str">
        <f ca="1">IFERROR(__xludf.DUMMYFUNCTION("""COMPUTED_VALUE"""),"")</f>
        <v/>
      </c>
      <c r="AJ108" s="2" t="str">
        <f ca="1">IFERROR(__xludf.DUMMYFUNCTION("""COMPUTED_VALUE"""),"")</f>
        <v/>
      </c>
      <c r="AK108" s="2" t="str">
        <f ca="1">IFERROR(__xludf.DUMMYFUNCTION("""COMPUTED_VALUE"""),"")</f>
        <v/>
      </c>
      <c r="AL108" s="2" t="str">
        <f ca="1">IFERROR(__xludf.DUMMYFUNCTION("""COMPUTED_VALUE"""),"")</f>
        <v/>
      </c>
      <c r="AM108" s="2" t="str">
        <f ca="1">IFERROR(__xludf.DUMMYFUNCTION("""COMPUTED_VALUE"""),"")</f>
        <v/>
      </c>
      <c r="AN108" s="2" t="str">
        <f ca="1">IFERROR(__xludf.DUMMYFUNCTION("""COMPUTED_VALUE"""),"")</f>
        <v/>
      </c>
      <c r="AO108" s="2" t="str">
        <f ca="1">IFERROR(__xludf.DUMMYFUNCTION("""COMPUTED_VALUE"""),"")</f>
        <v/>
      </c>
      <c r="AP108" s="2" t="str">
        <f ca="1">IFERROR(__xludf.DUMMYFUNCTION("""COMPUTED_VALUE"""),"")</f>
        <v/>
      </c>
      <c r="AQ108" s="2" t="str">
        <f ca="1">IFERROR(__xludf.DUMMYFUNCTION("""COMPUTED_VALUE"""),"")</f>
        <v/>
      </c>
      <c r="AR108" s="2" t="str">
        <f ca="1">IFERROR(__xludf.DUMMYFUNCTION("""COMPUTED_VALUE"""),"")</f>
        <v/>
      </c>
      <c r="AS108" s="2" t="str">
        <f ca="1">IFERROR(__xludf.DUMMYFUNCTION("""COMPUTED_VALUE"""),"")</f>
        <v/>
      </c>
      <c r="AT108" s="2" t="str">
        <f ca="1">IFERROR(__xludf.DUMMYFUNCTION("""COMPUTED_VALUE"""),"")</f>
        <v/>
      </c>
      <c r="AU108" s="2" t="str">
        <f ca="1">IFERROR(__xludf.DUMMYFUNCTION("""COMPUTED_VALUE"""),"")</f>
        <v/>
      </c>
      <c r="AV108" s="2" t="str">
        <f ca="1">IFERROR(__xludf.DUMMYFUNCTION("""COMPUTED_VALUE"""),"")</f>
        <v/>
      </c>
      <c r="AW108" s="2" t="str">
        <f ca="1">IFERROR(__xludf.DUMMYFUNCTION("""COMPUTED_VALUE"""),"")</f>
        <v/>
      </c>
      <c r="AX108" s="2" t="str">
        <f ca="1">IFERROR(__xludf.DUMMYFUNCTION("""COMPUTED_VALUE"""),"")</f>
        <v/>
      </c>
      <c r="AY108" s="2" t="str">
        <f ca="1">IFERROR(__xludf.DUMMYFUNCTION("""COMPUTED_VALUE"""),"")</f>
        <v/>
      </c>
      <c r="AZ108" s="2" t="str">
        <f ca="1">IFERROR(__xludf.DUMMYFUNCTION("""COMPUTED_VALUE"""),"")</f>
        <v/>
      </c>
      <c r="BA108" s="2" t="str">
        <f ca="1">IFERROR(__xludf.DUMMYFUNCTION("""COMPUTED_VALUE"""),"")</f>
        <v/>
      </c>
      <c r="BB108" s="2" t="str">
        <f ca="1">IFERROR(__xludf.DUMMYFUNCTION("""COMPUTED_VALUE"""),"")</f>
        <v/>
      </c>
      <c r="BC108" s="2" t="str">
        <f ca="1">IFERROR(__xludf.DUMMYFUNCTION("""COMPUTED_VALUE"""),"")</f>
        <v/>
      </c>
      <c r="BD108" s="2" t="str">
        <f ca="1">IFERROR(__xludf.DUMMYFUNCTION("""COMPUTED_VALUE"""),"")</f>
        <v/>
      </c>
      <c r="BE108" s="2" t="str">
        <f ca="1">IFERROR(__xludf.DUMMYFUNCTION("""COMPUTED_VALUE"""),"")</f>
        <v/>
      </c>
      <c r="BF108" t="str">
        <f ca="1">IFERROR(__xludf.DUMMYFUNCTION("""COMPUTED_VALUE"""),"")</f>
        <v/>
      </c>
      <c r="BG108" t="str">
        <f ca="1">IFERROR(__xludf.DUMMYFUNCTION("""COMPUTED_VALUE"""),"")</f>
        <v/>
      </c>
      <c r="BH108" t="str">
        <f ca="1">IFERROR(__xludf.DUMMYFUNCTION("""COMPUTED_VALUE"""),"")</f>
        <v/>
      </c>
      <c r="BI108" t="str">
        <f ca="1">IFERROR(__xludf.DUMMYFUNCTION("""COMPUTED_VALUE"""),"")</f>
        <v/>
      </c>
      <c r="BJ108" s="3" t="str">
        <f ca="1">IFERROR(__xludf.DUMMYFUNCTION("""COMPUTED_VALUE"""),"")</f>
        <v/>
      </c>
    </row>
    <row r="109" spans="1:62" ht="12.5" x14ac:dyDescent="0.25">
      <c r="A109" s="6">
        <f ca="1">IFERROR(__xludf.DUMMYFUNCTION("""COMPUTED_VALUE"""),43436.5512153472)</f>
        <v>43436.551215347201</v>
      </c>
      <c r="B109" s="2" t="str">
        <f ca="1">IFERROR(__xludf.DUMMYFUNCTION("""COMPUTED_VALUE"""),"Bay of Plenty")</f>
        <v>Bay of Plenty</v>
      </c>
      <c r="C109" s="2" t="str">
        <f ca="1">IFERROR(__xludf.DUMMYFUNCTION("""COMPUTED_VALUE"""),"Unmarked bird")</f>
        <v>Unmarked bird</v>
      </c>
      <c r="D109" s="10">
        <f ca="1">IFERROR(__xludf.DUMMYFUNCTION("""COMPUTED_VALUE"""),43251)</f>
        <v>43251</v>
      </c>
      <c r="E109" s="4">
        <f ca="1">IFERROR(__xludf.DUMMYFUNCTION("""COMPUTED_VALUE"""),0.5)</f>
        <v>0.5</v>
      </c>
      <c r="F109" s="2" t="str">
        <f ca="1">IFERROR(__xludf.DUMMYFUNCTION("""COMPUTED_VALUE"""),"Waihi WMR ")</f>
        <v xml:space="preserve">Waihi WMR </v>
      </c>
      <c r="G109" s="2" t="str">
        <f ca="1">IFERROR(__xludf.DUMMYFUNCTION("""COMPUTED_VALUE"""),"VHF (close approach): I followed the signal until I got within 50 m of the bird")</f>
        <v>VHF (close approach): I followed the signal until I got within 50 m of the bird</v>
      </c>
      <c r="H109" s="2" t="str">
        <f ca="1">IFERROR(__xludf.DUMMYFUNCTION("""COMPUTED_VALUE"""),"")</f>
        <v/>
      </c>
      <c r="I109" s="2" t="str">
        <f ca="1">IFERROR(__xludf.DUMMYFUNCTION("""COMPUTED_VALUE"""),"")</f>
        <v/>
      </c>
      <c r="J109" s="2" t="str">
        <f ca="1">IFERROR(__xludf.DUMMYFUNCTION("""COMPUTED_VALUE"""),"")</f>
        <v/>
      </c>
      <c r="K109" s="2" t="str">
        <f ca="1">IFERROR(__xludf.DUMMYFUNCTION("""COMPUTED_VALUE"""),"")</f>
        <v/>
      </c>
      <c r="L109" s="2" t="str">
        <f ca="1">IFERROR(__xludf.DUMMYFUNCTION("""COMPUTED_VALUE"""),"Yes - it flushed")</f>
        <v>Yes - it flushed</v>
      </c>
      <c r="M109" s="5">
        <f ca="1">IFERROR(__xludf.DUMMYFUNCTION("""COMPUTED_VALUE"""),1907052)</f>
        <v>1907052</v>
      </c>
      <c r="N109" s="5">
        <f ca="1">IFERROR(__xludf.DUMMYFUNCTION("""COMPUTED_VALUE"""),5812751)</f>
        <v>5812751</v>
      </c>
      <c r="O109" s="2" t="str">
        <f ca="1">IFERROR(__xludf.DUMMYFUNCTION("""COMPUTED_VALUE"""),"")</f>
        <v/>
      </c>
      <c r="P109" s="2" t="str">
        <f ca="1">IFERROR(__xludf.DUMMYFUNCTION("""COMPUTED_VALUE"""),"Yes")</f>
        <v>Yes</v>
      </c>
      <c r="Q109" s="2" t="str">
        <f ca="1">IFERROR(__xludf.DUMMYFUNCTION("""COMPUTED_VALUE"""),"Don't know")</f>
        <v>Don't know</v>
      </c>
      <c r="R109" s="2" t="str">
        <f ca="1">IFERROR(__xludf.DUMMYFUNCTION("""COMPUTED_VALUE"""),"dont know")</f>
        <v>dont know</v>
      </c>
      <c r="S109" s="2" t="str">
        <f ca="1">IFERROR(__xludf.DUMMYFUNCTION("""COMPUTED_VALUE"""),"see map")</f>
        <v>see map</v>
      </c>
      <c r="T109" s="2" t="str">
        <f ca="1">IFERROR(__xludf.DUMMYFUNCTION("""COMPUTED_VALUE"""),"farmland")</f>
        <v>farmland</v>
      </c>
      <c r="U109" s="2" t="str">
        <f ca="1">IFERROR(__xludf.DUMMYFUNCTION("""COMPUTED_VALUE"""),"Emma, is this how we should do it for sightings?? ")</f>
        <v xml:space="preserve">Emma, is this how we should do it for sightings?? </v>
      </c>
      <c r="V109" s="2" t="str">
        <f ca="1">IFERROR(__xludf.DUMMYFUNCTION("""COMPUTED_VALUE"""),"")</f>
        <v/>
      </c>
      <c r="W109" s="2" t="str">
        <f ca="1">IFERROR(__xludf.DUMMYFUNCTION("""COMPUTED_VALUE"""),"")</f>
        <v/>
      </c>
      <c r="X109" s="2" t="str">
        <f ca="1">IFERROR(__xludf.DUMMYFUNCTION("""COMPUTED_VALUE"""),"")</f>
        <v/>
      </c>
      <c r="Y109" s="2" t="str">
        <f ca="1">IFERROR(__xludf.DUMMYFUNCTION("""COMPUTED_VALUE"""),"")</f>
        <v/>
      </c>
      <c r="Z109" s="2" t="str">
        <f ca="1">IFERROR(__xludf.DUMMYFUNCTION("""COMPUTED_VALUE"""),"")</f>
        <v/>
      </c>
      <c r="AA109" s="2" t="str">
        <f ca="1">IFERROR(__xludf.DUMMYFUNCTION("""COMPUTED_VALUE"""),"")</f>
        <v/>
      </c>
      <c r="AB109" s="2" t="str">
        <f ca="1">IFERROR(__xludf.DUMMYFUNCTION("""COMPUTED_VALUE"""),"")</f>
        <v/>
      </c>
      <c r="AC109" s="2" t="str">
        <f ca="1">IFERROR(__xludf.DUMMYFUNCTION("""COMPUTED_VALUE"""),"")</f>
        <v/>
      </c>
      <c r="AD109" s="2" t="str">
        <f ca="1">IFERROR(__xludf.DUMMYFUNCTION("""COMPUTED_VALUE"""),"")</f>
        <v/>
      </c>
      <c r="AE109" s="2" t="str">
        <f ca="1">IFERROR(__xludf.DUMMYFUNCTION("""COMPUTED_VALUE"""),"")</f>
        <v/>
      </c>
      <c r="AF109" s="2" t="str">
        <f ca="1">IFERROR(__xludf.DUMMYFUNCTION("""COMPUTED_VALUE"""),"")</f>
        <v/>
      </c>
      <c r="AG109" s="2" t="str">
        <f ca="1">IFERROR(__xludf.DUMMYFUNCTION("""COMPUTED_VALUE"""),"")</f>
        <v/>
      </c>
      <c r="AH109" s="2" t="str">
        <f ca="1">IFERROR(__xludf.DUMMYFUNCTION("""COMPUTED_VALUE"""),"")</f>
        <v/>
      </c>
      <c r="AI109" s="2" t="str">
        <f ca="1">IFERROR(__xludf.DUMMYFUNCTION("""COMPUTED_VALUE"""),"")</f>
        <v/>
      </c>
      <c r="AJ109" s="2" t="str">
        <f ca="1">IFERROR(__xludf.DUMMYFUNCTION("""COMPUTED_VALUE"""),"")</f>
        <v/>
      </c>
      <c r="AK109" s="2" t="str">
        <f ca="1">IFERROR(__xludf.DUMMYFUNCTION("""COMPUTED_VALUE"""),"")</f>
        <v/>
      </c>
      <c r="AL109" s="2" t="str">
        <f ca="1">IFERROR(__xludf.DUMMYFUNCTION("""COMPUTED_VALUE"""),"")</f>
        <v/>
      </c>
      <c r="AM109" s="2" t="str">
        <f ca="1">IFERROR(__xludf.DUMMYFUNCTION("""COMPUTED_VALUE"""),"")</f>
        <v/>
      </c>
      <c r="AN109" s="2" t="str">
        <f ca="1">IFERROR(__xludf.DUMMYFUNCTION("""COMPUTED_VALUE"""),"")</f>
        <v/>
      </c>
      <c r="AO109" s="2" t="str">
        <f ca="1">IFERROR(__xludf.DUMMYFUNCTION("""COMPUTED_VALUE"""),"")</f>
        <v/>
      </c>
      <c r="AP109" s="2" t="str">
        <f ca="1">IFERROR(__xludf.DUMMYFUNCTION("""COMPUTED_VALUE"""),"")</f>
        <v/>
      </c>
      <c r="AQ109" s="2" t="str">
        <f ca="1">IFERROR(__xludf.DUMMYFUNCTION("""COMPUTED_VALUE"""),"")</f>
        <v/>
      </c>
      <c r="AR109" s="2" t="str">
        <f ca="1">IFERROR(__xludf.DUMMYFUNCTION("""COMPUTED_VALUE"""),"")</f>
        <v/>
      </c>
      <c r="AS109" s="2" t="str">
        <f ca="1">IFERROR(__xludf.DUMMYFUNCTION("""COMPUTED_VALUE"""),"")</f>
        <v/>
      </c>
      <c r="AT109" s="2" t="str">
        <f ca="1">IFERROR(__xludf.DUMMYFUNCTION("""COMPUTED_VALUE"""),"")</f>
        <v/>
      </c>
      <c r="AU109" s="2" t="str">
        <f ca="1">IFERROR(__xludf.DUMMYFUNCTION("""COMPUTED_VALUE"""),"")</f>
        <v/>
      </c>
      <c r="AV109" s="2" t="str">
        <f ca="1">IFERROR(__xludf.DUMMYFUNCTION("""COMPUTED_VALUE"""),"")</f>
        <v/>
      </c>
      <c r="AW109" s="2" t="str">
        <f ca="1">IFERROR(__xludf.DUMMYFUNCTION("""COMPUTED_VALUE"""),"")</f>
        <v/>
      </c>
      <c r="AX109" s="2" t="str">
        <f ca="1">IFERROR(__xludf.DUMMYFUNCTION("""COMPUTED_VALUE"""),"")</f>
        <v/>
      </c>
      <c r="AY109" s="2" t="str">
        <f ca="1">IFERROR(__xludf.DUMMYFUNCTION("""COMPUTED_VALUE"""),"")</f>
        <v/>
      </c>
      <c r="AZ109" s="2" t="str">
        <f ca="1">IFERROR(__xludf.DUMMYFUNCTION("""COMPUTED_VALUE"""),"")</f>
        <v/>
      </c>
      <c r="BA109" s="2" t="str">
        <f ca="1">IFERROR(__xludf.DUMMYFUNCTION("""COMPUTED_VALUE"""),"")</f>
        <v/>
      </c>
      <c r="BB109" s="2" t="str">
        <f ca="1">IFERROR(__xludf.DUMMYFUNCTION("""COMPUTED_VALUE"""),"")</f>
        <v/>
      </c>
      <c r="BC109" s="2" t="str">
        <f ca="1">IFERROR(__xludf.DUMMYFUNCTION("""COMPUTED_VALUE"""),"")</f>
        <v/>
      </c>
      <c r="BD109" s="2" t="str">
        <f ca="1">IFERROR(__xludf.DUMMYFUNCTION("""COMPUTED_VALUE"""),"")</f>
        <v/>
      </c>
      <c r="BE109" s="2" t="str">
        <f ca="1">IFERROR(__xludf.DUMMYFUNCTION("""COMPUTED_VALUE"""),"")</f>
        <v/>
      </c>
      <c r="BF109" t="str">
        <f ca="1">IFERROR(__xludf.DUMMYFUNCTION("""COMPUTED_VALUE"""),"")</f>
        <v/>
      </c>
      <c r="BG109" t="str">
        <f ca="1">IFERROR(__xludf.DUMMYFUNCTION("""COMPUTED_VALUE"""),"")</f>
        <v/>
      </c>
      <c r="BH109" t="str">
        <f ca="1">IFERROR(__xludf.DUMMYFUNCTION("""COMPUTED_VALUE"""),"")</f>
        <v/>
      </c>
      <c r="BI109" t="str">
        <f ca="1">IFERROR(__xludf.DUMMYFUNCTION("""COMPUTED_VALUE"""),"")</f>
        <v/>
      </c>
      <c r="BJ109" s="3" t="str">
        <f ca="1">IFERROR(__xludf.DUMMYFUNCTION("""COMPUTED_VALUE"""),"")</f>
        <v/>
      </c>
    </row>
    <row r="110" spans="1:62" ht="12.5" x14ac:dyDescent="0.25">
      <c r="A110" s="6">
        <f ca="1">IFERROR(__xludf.DUMMYFUNCTION("""COMPUTED_VALUE"""),43436.5834115162)</f>
        <v>43436.5834115162</v>
      </c>
      <c r="B110" s="2" t="str">
        <f ca="1">IFERROR(__xludf.DUMMYFUNCTION("""COMPUTED_VALUE"""),"Bay of Plenty")</f>
        <v>Bay of Plenty</v>
      </c>
      <c r="C110" s="2" t="str">
        <f ca="1">IFERROR(__xludf.DUMMYFUNCTION("""COMPUTED_VALUE"""),"Tx 38 - Pearl")</f>
        <v>Tx 38 - Pearl</v>
      </c>
      <c r="D110" s="10">
        <f ca="1">IFERROR(__xludf.DUMMYFUNCTION("""COMPUTED_VALUE"""),42706)</f>
        <v>42706</v>
      </c>
      <c r="E110" s="4">
        <f ca="1">IFERROR(__xludf.DUMMYFUNCTION("""COMPUTED_VALUE"""),0.45833333333212)</f>
        <v>0.45833333333212001</v>
      </c>
      <c r="F110" s="2" t="str">
        <f ca="1">IFERROR(__xludf.DUMMYFUNCTION("""COMPUTED_VALUE"""),"Pongakawa Canal banks - Scott Paments place ")</f>
        <v xml:space="preserve">Pongakawa Canal banks - Scott Paments place </v>
      </c>
      <c r="G110" s="2" t="str">
        <f ca="1">IFERROR(__xludf.DUMMYFUNCTION("""COMPUTED_VALUE"""),"VHF (close approach): I followed the signal until I got within 50 m of the bird")</f>
        <v>VHF (close approach): I followed the signal until I got within 50 m of the bird</v>
      </c>
      <c r="H110" s="2" t="str">
        <f ca="1">IFERROR(__xludf.DUMMYFUNCTION("""COMPUTED_VALUE"""),"")</f>
        <v/>
      </c>
      <c r="I110" s="2" t="str">
        <f ca="1">IFERROR(__xludf.DUMMYFUNCTION("""COMPUTED_VALUE"""),"")</f>
        <v/>
      </c>
      <c r="J110" s="2" t="str">
        <f ca="1">IFERROR(__xludf.DUMMYFUNCTION("""COMPUTED_VALUE"""),"")</f>
        <v/>
      </c>
      <c r="K110" s="2" t="str">
        <f ca="1">IFERROR(__xludf.DUMMYFUNCTION("""COMPUTED_VALUE"""),"")</f>
        <v/>
      </c>
      <c r="L110" s="2" t="str">
        <f ca="1">IFERROR(__xludf.DUMMYFUNCTION("""COMPUTED_VALUE"""),"No - I got very close to the bird but it was well hidden in the vegetation")</f>
        <v>No - I got very close to the bird but it was well hidden in the vegetation</v>
      </c>
      <c r="M110" s="5">
        <f ca="1">IFERROR(__xludf.DUMMYFUNCTION("""COMPUTED_VALUE"""),1907287)</f>
        <v>1907287</v>
      </c>
      <c r="N110" s="5">
        <f ca="1">IFERROR(__xludf.DUMMYFUNCTION("""COMPUTED_VALUE"""),5811954)</f>
        <v>5811954</v>
      </c>
      <c r="O110" s="2" t="str">
        <f ca="1">IFERROR(__xludf.DUMMYFUNCTION("""COMPUTED_VALUE"""),"")</f>
        <v/>
      </c>
      <c r="P110" s="2" t="str">
        <f ca="1">IFERROR(__xludf.DUMMYFUNCTION("""COMPUTED_VALUE"""),"")</f>
        <v/>
      </c>
      <c r="Q110" s="2" t="str">
        <f ca="1">IFERROR(__xludf.DUMMYFUNCTION("""COMPUTED_VALUE"""),"Don't know")</f>
        <v>Don't know</v>
      </c>
      <c r="R110" s="2" t="str">
        <f ca="1">IFERROR(__xludf.DUMMYFUNCTION("""COMPUTED_VALUE"""),"dont know")</f>
        <v>dont know</v>
      </c>
      <c r="S110" s="2" t="str">
        <f ca="1">IFERROR(__xludf.DUMMYFUNCTION("""COMPUTED_VALUE"""),"dont know")</f>
        <v>dont know</v>
      </c>
      <c r="T110" s="2" t="str">
        <f ca="1">IFERROR(__xludf.DUMMYFUNCTION("""COMPUTED_VALUE"""),"dont know")</f>
        <v>dont know</v>
      </c>
      <c r="U110" s="2" t="str">
        <f ca="1">IFERROR(__xludf.DUMMYFUNCTION("""COMPUTED_VALUE"""),"Dry. No longer any surface flooding in paddocks, no puddels down cutwater rd   , Most likely on west side of pongakawa canal in willow type habitat. ")</f>
        <v xml:space="preserve">Dry. No longer any surface flooding in paddocks, no puddels down cutwater rd   , Most likely on west side of pongakawa canal in willow type habitat. </v>
      </c>
      <c r="V110" s="2" t="str">
        <f ca="1">IFERROR(__xludf.DUMMYFUNCTION("""COMPUTED_VALUE"""),"")</f>
        <v/>
      </c>
      <c r="W110" s="2" t="str">
        <f ca="1">IFERROR(__xludf.DUMMYFUNCTION("""COMPUTED_VALUE"""),"")</f>
        <v/>
      </c>
      <c r="X110" s="2" t="str">
        <f ca="1">IFERROR(__xludf.DUMMYFUNCTION("""COMPUTED_VALUE"""),"")</f>
        <v/>
      </c>
      <c r="Y110" s="2" t="str">
        <f ca="1">IFERROR(__xludf.DUMMYFUNCTION("""COMPUTED_VALUE"""),"")</f>
        <v/>
      </c>
      <c r="Z110" s="2" t="str">
        <f ca="1">IFERROR(__xludf.DUMMYFUNCTION("""COMPUTED_VALUE"""),"")</f>
        <v/>
      </c>
      <c r="AA110" s="2" t="str">
        <f ca="1">IFERROR(__xludf.DUMMYFUNCTION("""COMPUTED_VALUE"""),"")</f>
        <v/>
      </c>
      <c r="AB110" s="2" t="str">
        <f ca="1">IFERROR(__xludf.DUMMYFUNCTION("""COMPUTED_VALUE"""),"")</f>
        <v/>
      </c>
      <c r="AC110" s="2" t="str">
        <f ca="1">IFERROR(__xludf.DUMMYFUNCTION("""COMPUTED_VALUE"""),"")</f>
        <v/>
      </c>
      <c r="AD110" s="2" t="str">
        <f ca="1">IFERROR(__xludf.DUMMYFUNCTION("""COMPUTED_VALUE"""),"")</f>
        <v/>
      </c>
      <c r="AE110" s="2" t="str">
        <f ca="1">IFERROR(__xludf.DUMMYFUNCTION("""COMPUTED_VALUE"""),"")</f>
        <v/>
      </c>
      <c r="AF110" s="2" t="str">
        <f ca="1">IFERROR(__xludf.DUMMYFUNCTION("""COMPUTED_VALUE"""),"")</f>
        <v/>
      </c>
      <c r="AG110" s="2" t="str">
        <f ca="1">IFERROR(__xludf.DUMMYFUNCTION("""COMPUTED_VALUE"""),"")</f>
        <v/>
      </c>
      <c r="AH110" s="2" t="str">
        <f ca="1">IFERROR(__xludf.DUMMYFUNCTION("""COMPUTED_VALUE"""),"")</f>
        <v/>
      </c>
      <c r="AI110" s="2" t="str">
        <f ca="1">IFERROR(__xludf.DUMMYFUNCTION("""COMPUTED_VALUE"""),"")</f>
        <v/>
      </c>
      <c r="AJ110" s="2" t="str">
        <f ca="1">IFERROR(__xludf.DUMMYFUNCTION("""COMPUTED_VALUE"""),"")</f>
        <v/>
      </c>
      <c r="AK110" s="2" t="str">
        <f ca="1">IFERROR(__xludf.DUMMYFUNCTION("""COMPUTED_VALUE"""),"")</f>
        <v/>
      </c>
      <c r="AL110" s="2" t="str">
        <f ca="1">IFERROR(__xludf.DUMMYFUNCTION("""COMPUTED_VALUE"""),"")</f>
        <v/>
      </c>
      <c r="AM110" s="2" t="str">
        <f ca="1">IFERROR(__xludf.DUMMYFUNCTION("""COMPUTED_VALUE"""),"")</f>
        <v/>
      </c>
      <c r="AN110" s="2" t="str">
        <f ca="1">IFERROR(__xludf.DUMMYFUNCTION("""COMPUTED_VALUE"""),"")</f>
        <v/>
      </c>
      <c r="AO110" s="2" t="str">
        <f ca="1">IFERROR(__xludf.DUMMYFUNCTION("""COMPUTED_VALUE"""),"")</f>
        <v/>
      </c>
      <c r="AP110" s="2" t="str">
        <f ca="1">IFERROR(__xludf.DUMMYFUNCTION("""COMPUTED_VALUE"""),"")</f>
        <v/>
      </c>
      <c r="AQ110" s="2" t="str">
        <f ca="1">IFERROR(__xludf.DUMMYFUNCTION("""COMPUTED_VALUE"""),"")</f>
        <v/>
      </c>
      <c r="AR110" s="2" t="str">
        <f ca="1">IFERROR(__xludf.DUMMYFUNCTION("""COMPUTED_VALUE"""),"")</f>
        <v/>
      </c>
      <c r="AS110" s="2" t="str">
        <f ca="1">IFERROR(__xludf.DUMMYFUNCTION("""COMPUTED_VALUE"""),"")</f>
        <v/>
      </c>
      <c r="AT110" s="2" t="str">
        <f ca="1">IFERROR(__xludf.DUMMYFUNCTION("""COMPUTED_VALUE"""),"")</f>
        <v/>
      </c>
      <c r="AU110" s="2" t="str">
        <f ca="1">IFERROR(__xludf.DUMMYFUNCTION("""COMPUTED_VALUE"""),"")</f>
        <v/>
      </c>
      <c r="AV110" s="2" t="str">
        <f ca="1">IFERROR(__xludf.DUMMYFUNCTION("""COMPUTED_VALUE"""),"")</f>
        <v/>
      </c>
      <c r="AW110" s="2" t="str">
        <f ca="1">IFERROR(__xludf.DUMMYFUNCTION("""COMPUTED_VALUE"""),"")</f>
        <v/>
      </c>
      <c r="AX110" s="2" t="str">
        <f ca="1">IFERROR(__xludf.DUMMYFUNCTION("""COMPUTED_VALUE"""),"")</f>
        <v/>
      </c>
      <c r="AY110" s="2" t="str">
        <f ca="1">IFERROR(__xludf.DUMMYFUNCTION("""COMPUTED_VALUE"""),"")</f>
        <v/>
      </c>
      <c r="AZ110" s="2" t="str">
        <f ca="1">IFERROR(__xludf.DUMMYFUNCTION("""COMPUTED_VALUE"""),"")</f>
        <v/>
      </c>
      <c r="BA110" s="2" t="str">
        <f ca="1">IFERROR(__xludf.DUMMYFUNCTION("""COMPUTED_VALUE"""),"")</f>
        <v/>
      </c>
      <c r="BB110" s="2" t="str">
        <f ca="1">IFERROR(__xludf.DUMMYFUNCTION("""COMPUTED_VALUE"""),"")</f>
        <v/>
      </c>
      <c r="BC110" s="2" t="str">
        <f ca="1">IFERROR(__xludf.DUMMYFUNCTION("""COMPUTED_VALUE"""),"")</f>
        <v/>
      </c>
      <c r="BD110" s="2" t="str">
        <f ca="1">IFERROR(__xludf.DUMMYFUNCTION("""COMPUTED_VALUE"""),"")</f>
        <v/>
      </c>
      <c r="BE110" s="2" t="str">
        <f ca="1">IFERROR(__xludf.DUMMYFUNCTION("""COMPUTED_VALUE"""),"")</f>
        <v/>
      </c>
      <c r="BF110" t="str">
        <f ca="1">IFERROR(__xludf.DUMMYFUNCTION("""COMPUTED_VALUE"""),"")</f>
        <v/>
      </c>
      <c r="BG110" t="str">
        <f ca="1">IFERROR(__xludf.DUMMYFUNCTION("""COMPUTED_VALUE"""),"")</f>
        <v/>
      </c>
      <c r="BH110" t="str">
        <f ca="1">IFERROR(__xludf.DUMMYFUNCTION("""COMPUTED_VALUE"""),"")</f>
        <v/>
      </c>
      <c r="BI110" t="str">
        <f ca="1">IFERROR(__xludf.DUMMYFUNCTION("""COMPUTED_VALUE"""),"")</f>
        <v/>
      </c>
      <c r="BJ110" s="3" t="str">
        <f ca="1">IFERROR(__xludf.DUMMYFUNCTION("""COMPUTED_VALUE"""),"")</f>
        <v/>
      </c>
    </row>
    <row r="111" spans="1:62" ht="12.5" x14ac:dyDescent="0.25">
      <c r="A111" s="6">
        <f ca="1">IFERROR(__xludf.DUMMYFUNCTION("""COMPUTED_VALUE"""),43436.5908522685)</f>
        <v>43436.590852268499</v>
      </c>
      <c r="B111" s="2" t="str">
        <f ca="1">IFERROR(__xludf.DUMMYFUNCTION("""COMPUTED_VALUE"""),"Bay of Plenty")</f>
        <v>Bay of Plenty</v>
      </c>
      <c r="C111" s="2" t="str">
        <f ca="1">IFERROR(__xludf.DUMMYFUNCTION("""COMPUTED_VALUE"""),"Tx 38 - Pearl")</f>
        <v>Tx 38 - Pearl</v>
      </c>
      <c r="D111" s="10">
        <f ca="1">IFERROR(__xludf.DUMMYFUNCTION("""COMPUTED_VALUE"""),42710)</f>
        <v>42710</v>
      </c>
      <c r="E111" s="4">
        <f ca="1">IFERROR(__xludf.DUMMYFUNCTION("""COMPUTED_VALUE"""),0.45833333333212)</f>
        <v>0.45833333333212001</v>
      </c>
      <c r="F111" s="2" t="str">
        <f ca="1">IFERROR(__xludf.DUMMYFUNCTION("""COMPUTED_VALUE"""),"cutwater rd")</f>
        <v>cutwater rd</v>
      </c>
      <c r="G111" s="2" t="str">
        <f ca="1">IFERROR(__xludf.DUMMYFUNCTION("""COMPUTED_VALUE"""),"VHF (close approach): I followed the signal until I got within 50 m of the bird")</f>
        <v>VHF (close approach): I followed the signal until I got within 50 m of the bird</v>
      </c>
      <c r="H111" s="2" t="str">
        <f ca="1">IFERROR(__xludf.DUMMYFUNCTION("""COMPUTED_VALUE"""),"")</f>
        <v/>
      </c>
      <c r="I111" s="2" t="str">
        <f ca="1">IFERROR(__xludf.DUMMYFUNCTION("""COMPUTED_VALUE"""),"")</f>
        <v/>
      </c>
      <c r="J111" s="2" t="str">
        <f ca="1">IFERROR(__xludf.DUMMYFUNCTION("""COMPUTED_VALUE"""),"")</f>
        <v/>
      </c>
      <c r="K111" s="2" t="str">
        <f ca="1">IFERROR(__xludf.DUMMYFUNCTION("""COMPUTED_VALUE"""),"")</f>
        <v/>
      </c>
      <c r="L111" s="2" t="str">
        <f ca="1">IFERROR(__xludf.DUMMYFUNCTION("""COMPUTED_VALUE"""),"Yes - it flushed")</f>
        <v>Yes - it flushed</v>
      </c>
      <c r="M111" s="5">
        <f ca="1">IFERROR(__xludf.DUMMYFUNCTION("""COMPUTED_VALUE"""),1907526)</f>
        <v>1907526</v>
      </c>
      <c r="N111" s="5">
        <f ca="1">IFERROR(__xludf.DUMMYFUNCTION("""COMPUTED_VALUE"""),5812779)</f>
        <v>5812779</v>
      </c>
      <c r="O111" s="2" t="str">
        <f ca="1">IFERROR(__xludf.DUMMYFUNCTION("""COMPUTED_VALUE"""),"")</f>
        <v/>
      </c>
      <c r="P111" s="2" t="str">
        <f ca="1">IFERROR(__xludf.DUMMYFUNCTION("""COMPUTED_VALUE"""),"No")</f>
        <v>No</v>
      </c>
      <c r="Q111" s="2" t="str">
        <f ca="1">IFERROR(__xludf.DUMMYFUNCTION("""COMPUTED_VALUE"""),"Dry")</f>
        <v>Dry</v>
      </c>
      <c r="R111" s="2" t="str">
        <f ca="1">IFERROR(__xludf.DUMMYFUNCTION("""COMPUTED_VALUE"""),"0")</f>
        <v>0</v>
      </c>
      <c r="S111" s="2" t="str">
        <f ca="1">IFERROR(__xludf.DUMMYFUNCTION("""COMPUTED_VALUE"""),"see map")</f>
        <v>see map</v>
      </c>
      <c r="T111" s="2" t="str">
        <f ca="1">IFERROR(__xludf.DUMMYFUNCTION("""COMPUTED_VALUE"""),"Farmland - long grass 1.2m ")</f>
        <v xml:space="preserve">Farmland - long grass 1.2m </v>
      </c>
      <c r="U111" s="2" t="str">
        <f ca="1">IFERROR(__xludf.DUMMYFUNCTION("""COMPUTED_VALUE"""),"flushed with conservation dog - ")</f>
        <v xml:space="preserve">flushed with conservation dog - </v>
      </c>
      <c r="V111" s="2" t="str">
        <f ca="1">IFERROR(__xludf.DUMMYFUNCTION("""COMPUTED_VALUE"""),"")</f>
        <v/>
      </c>
      <c r="W111" s="2" t="str">
        <f ca="1">IFERROR(__xludf.DUMMYFUNCTION("""COMPUTED_VALUE"""),"")</f>
        <v/>
      </c>
      <c r="X111" s="2" t="str">
        <f ca="1">IFERROR(__xludf.DUMMYFUNCTION("""COMPUTED_VALUE"""),"")</f>
        <v/>
      </c>
      <c r="Y111" s="2" t="str">
        <f ca="1">IFERROR(__xludf.DUMMYFUNCTION("""COMPUTED_VALUE"""),"")</f>
        <v/>
      </c>
      <c r="Z111" s="2" t="str">
        <f ca="1">IFERROR(__xludf.DUMMYFUNCTION("""COMPUTED_VALUE"""),"")</f>
        <v/>
      </c>
      <c r="AA111" s="2" t="str">
        <f ca="1">IFERROR(__xludf.DUMMYFUNCTION("""COMPUTED_VALUE"""),"")</f>
        <v/>
      </c>
      <c r="AB111" s="2" t="str">
        <f ca="1">IFERROR(__xludf.DUMMYFUNCTION("""COMPUTED_VALUE"""),"")</f>
        <v/>
      </c>
      <c r="AC111" s="2" t="str">
        <f ca="1">IFERROR(__xludf.DUMMYFUNCTION("""COMPUTED_VALUE"""),"")</f>
        <v/>
      </c>
      <c r="AD111" s="2" t="str">
        <f ca="1">IFERROR(__xludf.DUMMYFUNCTION("""COMPUTED_VALUE"""),"")</f>
        <v/>
      </c>
      <c r="AE111" s="2" t="str">
        <f ca="1">IFERROR(__xludf.DUMMYFUNCTION("""COMPUTED_VALUE"""),"")</f>
        <v/>
      </c>
      <c r="AF111" s="2" t="str">
        <f ca="1">IFERROR(__xludf.DUMMYFUNCTION("""COMPUTED_VALUE"""),"")</f>
        <v/>
      </c>
      <c r="AG111" s="2" t="str">
        <f ca="1">IFERROR(__xludf.DUMMYFUNCTION("""COMPUTED_VALUE"""),"")</f>
        <v/>
      </c>
      <c r="AH111" s="2" t="str">
        <f ca="1">IFERROR(__xludf.DUMMYFUNCTION("""COMPUTED_VALUE"""),"")</f>
        <v/>
      </c>
      <c r="AI111" s="2" t="str">
        <f ca="1">IFERROR(__xludf.DUMMYFUNCTION("""COMPUTED_VALUE"""),"")</f>
        <v/>
      </c>
      <c r="AJ111" s="2" t="str">
        <f ca="1">IFERROR(__xludf.DUMMYFUNCTION("""COMPUTED_VALUE"""),"")</f>
        <v/>
      </c>
      <c r="AK111" s="2" t="str">
        <f ca="1">IFERROR(__xludf.DUMMYFUNCTION("""COMPUTED_VALUE"""),"")</f>
        <v/>
      </c>
      <c r="AL111" s="2" t="str">
        <f ca="1">IFERROR(__xludf.DUMMYFUNCTION("""COMPUTED_VALUE"""),"")</f>
        <v/>
      </c>
      <c r="AM111" s="2" t="str">
        <f ca="1">IFERROR(__xludf.DUMMYFUNCTION("""COMPUTED_VALUE"""),"")</f>
        <v/>
      </c>
      <c r="AN111" s="2" t="str">
        <f ca="1">IFERROR(__xludf.DUMMYFUNCTION("""COMPUTED_VALUE"""),"")</f>
        <v/>
      </c>
      <c r="AO111" s="2" t="str">
        <f ca="1">IFERROR(__xludf.DUMMYFUNCTION("""COMPUTED_VALUE"""),"")</f>
        <v/>
      </c>
      <c r="AP111" s="2" t="str">
        <f ca="1">IFERROR(__xludf.DUMMYFUNCTION("""COMPUTED_VALUE"""),"")</f>
        <v/>
      </c>
      <c r="AQ111" s="2" t="str">
        <f ca="1">IFERROR(__xludf.DUMMYFUNCTION("""COMPUTED_VALUE"""),"")</f>
        <v/>
      </c>
      <c r="AR111" s="2" t="str">
        <f ca="1">IFERROR(__xludf.DUMMYFUNCTION("""COMPUTED_VALUE"""),"")</f>
        <v/>
      </c>
      <c r="AS111" s="2" t="str">
        <f ca="1">IFERROR(__xludf.DUMMYFUNCTION("""COMPUTED_VALUE"""),"")</f>
        <v/>
      </c>
      <c r="AT111" s="2" t="str">
        <f ca="1">IFERROR(__xludf.DUMMYFUNCTION("""COMPUTED_VALUE"""),"")</f>
        <v/>
      </c>
      <c r="AU111" s="2" t="str">
        <f ca="1">IFERROR(__xludf.DUMMYFUNCTION("""COMPUTED_VALUE"""),"")</f>
        <v/>
      </c>
      <c r="AV111" s="2" t="str">
        <f ca="1">IFERROR(__xludf.DUMMYFUNCTION("""COMPUTED_VALUE"""),"")</f>
        <v/>
      </c>
      <c r="AW111" s="2" t="str">
        <f ca="1">IFERROR(__xludf.DUMMYFUNCTION("""COMPUTED_VALUE"""),"")</f>
        <v/>
      </c>
      <c r="AX111" s="2" t="str">
        <f ca="1">IFERROR(__xludf.DUMMYFUNCTION("""COMPUTED_VALUE"""),"")</f>
        <v/>
      </c>
      <c r="AY111" s="2" t="str">
        <f ca="1">IFERROR(__xludf.DUMMYFUNCTION("""COMPUTED_VALUE"""),"")</f>
        <v/>
      </c>
      <c r="AZ111" s="2" t="str">
        <f ca="1">IFERROR(__xludf.DUMMYFUNCTION("""COMPUTED_VALUE"""),"")</f>
        <v/>
      </c>
      <c r="BA111" s="2" t="str">
        <f ca="1">IFERROR(__xludf.DUMMYFUNCTION("""COMPUTED_VALUE"""),"")</f>
        <v/>
      </c>
      <c r="BB111" s="2" t="str">
        <f ca="1">IFERROR(__xludf.DUMMYFUNCTION("""COMPUTED_VALUE"""),"")</f>
        <v/>
      </c>
      <c r="BC111" s="2" t="str">
        <f ca="1">IFERROR(__xludf.DUMMYFUNCTION("""COMPUTED_VALUE"""),"")</f>
        <v/>
      </c>
      <c r="BD111" s="2" t="str">
        <f ca="1">IFERROR(__xludf.DUMMYFUNCTION("""COMPUTED_VALUE"""),"")</f>
        <v/>
      </c>
      <c r="BE111" s="2" t="str">
        <f ca="1">IFERROR(__xludf.DUMMYFUNCTION("""COMPUTED_VALUE"""),"")</f>
        <v/>
      </c>
      <c r="BF111" t="str">
        <f ca="1">IFERROR(__xludf.DUMMYFUNCTION("""COMPUTED_VALUE"""),"")</f>
        <v/>
      </c>
      <c r="BG111" t="str">
        <f ca="1">IFERROR(__xludf.DUMMYFUNCTION("""COMPUTED_VALUE"""),"")</f>
        <v/>
      </c>
      <c r="BH111" t="str">
        <f ca="1">IFERROR(__xludf.DUMMYFUNCTION("""COMPUTED_VALUE"""),"")</f>
        <v/>
      </c>
      <c r="BI111" t="str">
        <f ca="1">IFERROR(__xludf.DUMMYFUNCTION("""COMPUTED_VALUE"""),"")</f>
        <v/>
      </c>
      <c r="BJ111" s="3" t="str">
        <f ca="1">IFERROR(__xludf.DUMMYFUNCTION("""COMPUTED_VALUE"""),"")</f>
        <v/>
      </c>
    </row>
    <row r="112" spans="1:62" ht="12.5" x14ac:dyDescent="0.25">
      <c r="A112" s="6">
        <f ca="1">IFERROR(__xludf.DUMMYFUNCTION("""COMPUTED_VALUE"""),43436.5947573957)</f>
        <v>43436.594757395702</v>
      </c>
      <c r="B112" s="2" t="str">
        <f ca="1">IFERROR(__xludf.DUMMYFUNCTION("""COMPUTED_VALUE"""),"Bay of Plenty")</f>
        <v>Bay of Plenty</v>
      </c>
      <c r="C112" s="2" t="str">
        <f ca="1">IFERROR(__xludf.DUMMYFUNCTION("""COMPUTED_VALUE"""),"Tx 38 - Pearl")</f>
        <v>Tx 38 - Pearl</v>
      </c>
      <c r="D112" s="10">
        <f ca="1">IFERROR(__xludf.DUMMYFUNCTION("""COMPUTED_VALUE"""),42750)</f>
        <v>42750</v>
      </c>
      <c r="E112" s="4">
        <f ca="1">IFERROR(__xludf.DUMMYFUNCTION("""COMPUTED_VALUE"""),0.70833333333212)</f>
        <v>0.70833333333212001</v>
      </c>
      <c r="F112" s="2" t="str">
        <f ca="1">IFERROR(__xludf.DUMMYFUNCTION("""COMPUTED_VALUE"""),"Cutwater rd - paddocks ")</f>
        <v xml:space="preserve">Cutwater rd - paddocks </v>
      </c>
      <c r="G112" s="2" t="str">
        <f ca="1">IFERROR(__xludf.DUMMYFUNCTION("""COMPUTED_VALUE"""),"VHF (close approach): I followed the signal until I got within 50 m of the bird")</f>
        <v>VHF (close approach): I followed the signal until I got within 50 m of the bird</v>
      </c>
      <c r="H112" s="2" t="str">
        <f ca="1">IFERROR(__xludf.DUMMYFUNCTION("""COMPUTED_VALUE"""),"")</f>
        <v/>
      </c>
      <c r="I112" s="2" t="str">
        <f ca="1">IFERROR(__xludf.DUMMYFUNCTION("""COMPUTED_VALUE"""),"")</f>
        <v/>
      </c>
      <c r="J112" s="2" t="str">
        <f ca="1">IFERROR(__xludf.DUMMYFUNCTION("""COMPUTED_VALUE"""),"")</f>
        <v/>
      </c>
      <c r="K112" s="2" t="str">
        <f ca="1">IFERROR(__xludf.DUMMYFUNCTION("""COMPUTED_VALUE"""),"")</f>
        <v/>
      </c>
      <c r="L112" s="2" t="str">
        <f ca="1">IFERROR(__xludf.DUMMYFUNCTION("""COMPUTED_VALUE"""),"Yes - it flushed")</f>
        <v>Yes - it flushed</v>
      </c>
      <c r="M112" s="5">
        <f ca="1">IFERROR(__xludf.DUMMYFUNCTION("""COMPUTED_VALUE"""),1907406)</f>
        <v>1907406</v>
      </c>
      <c r="N112" s="5">
        <f ca="1">IFERROR(__xludf.DUMMYFUNCTION("""COMPUTED_VALUE"""),5812686)</f>
        <v>5812686</v>
      </c>
      <c r="O112" s="2" t="str">
        <f ca="1">IFERROR(__xludf.DUMMYFUNCTION("""COMPUTED_VALUE"""),"")</f>
        <v/>
      </c>
      <c r="P112" s="2" t="str">
        <f ca="1">IFERROR(__xludf.DUMMYFUNCTION("""COMPUTED_VALUE"""),"Yes")</f>
        <v>Yes</v>
      </c>
      <c r="Q112" s="2" t="str">
        <f ca="1">IFERROR(__xludf.DUMMYFUNCTION("""COMPUTED_VALUE"""),"Dry")</f>
        <v>Dry</v>
      </c>
      <c r="R112" s="2" t="str">
        <f ca="1">IFERROR(__xludf.DUMMYFUNCTION("""COMPUTED_VALUE"""),"0")</f>
        <v>0</v>
      </c>
      <c r="S112" s="2" t="str">
        <f ca="1">IFERROR(__xludf.DUMMYFUNCTION("""COMPUTED_VALUE"""),"see map")</f>
        <v>see map</v>
      </c>
      <c r="T112" s="2" t="str">
        <f ca="1">IFERROR(__xludf.DUMMYFUNCTION("""COMPUTED_VALUE"""),"Farmland- recently grazed a lot of grass grazed right down other patches clumps of grass upto 450mm high")</f>
        <v>Farmland- recently grazed a lot of grass grazed right down other patches clumps of grass upto 450mm high</v>
      </c>
      <c r="U112" s="2" t="str">
        <f ca="1">IFERROR(__xludf.DUMMYFUNCTION("""COMPUTED_VALUE"""),"Flew off once we got close. flew to otherside of road. not very far. Looked very motly, didnt fly very high. shat on taking to flight.     -  Very dry. Grass browned off. Ground very hard. Some water in nearby drains. Tauranga BUI 60, Rotoehu 55 ")</f>
        <v xml:space="preserve">Flew off once we got close. flew to otherside of road. not very far. Looked very motly, didnt fly very high. shat on taking to flight.     -  Very dry. Grass browned off. Ground very hard. Some water in nearby drains. Tauranga BUI 60, Rotoehu 55 </v>
      </c>
      <c r="V112" s="2" t="str">
        <f ca="1">IFERROR(__xludf.DUMMYFUNCTION("""COMPUTED_VALUE"""),"")</f>
        <v/>
      </c>
      <c r="W112" s="2" t="str">
        <f ca="1">IFERROR(__xludf.DUMMYFUNCTION("""COMPUTED_VALUE"""),"")</f>
        <v/>
      </c>
      <c r="X112" s="2" t="str">
        <f ca="1">IFERROR(__xludf.DUMMYFUNCTION("""COMPUTED_VALUE"""),"")</f>
        <v/>
      </c>
      <c r="Y112" s="2" t="str">
        <f ca="1">IFERROR(__xludf.DUMMYFUNCTION("""COMPUTED_VALUE"""),"")</f>
        <v/>
      </c>
      <c r="Z112" s="2" t="str">
        <f ca="1">IFERROR(__xludf.DUMMYFUNCTION("""COMPUTED_VALUE"""),"")</f>
        <v/>
      </c>
      <c r="AA112" s="2" t="str">
        <f ca="1">IFERROR(__xludf.DUMMYFUNCTION("""COMPUTED_VALUE"""),"")</f>
        <v/>
      </c>
      <c r="AB112" s="2" t="str">
        <f ca="1">IFERROR(__xludf.DUMMYFUNCTION("""COMPUTED_VALUE"""),"")</f>
        <v/>
      </c>
      <c r="AC112" s="2" t="str">
        <f ca="1">IFERROR(__xludf.DUMMYFUNCTION("""COMPUTED_VALUE"""),"")</f>
        <v/>
      </c>
      <c r="AD112" s="2" t="str">
        <f ca="1">IFERROR(__xludf.DUMMYFUNCTION("""COMPUTED_VALUE"""),"")</f>
        <v/>
      </c>
      <c r="AE112" s="2" t="str">
        <f ca="1">IFERROR(__xludf.DUMMYFUNCTION("""COMPUTED_VALUE"""),"")</f>
        <v/>
      </c>
      <c r="AF112" s="2" t="str">
        <f ca="1">IFERROR(__xludf.DUMMYFUNCTION("""COMPUTED_VALUE"""),"")</f>
        <v/>
      </c>
      <c r="AG112" s="2" t="str">
        <f ca="1">IFERROR(__xludf.DUMMYFUNCTION("""COMPUTED_VALUE"""),"")</f>
        <v/>
      </c>
      <c r="AH112" s="2" t="str">
        <f ca="1">IFERROR(__xludf.DUMMYFUNCTION("""COMPUTED_VALUE"""),"")</f>
        <v/>
      </c>
      <c r="AI112" s="2" t="str">
        <f ca="1">IFERROR(__xludf.DUMMYFUNCTION("""COMPUTED_VALUE"""),"")</f>
        <v/>
      </c>
      <c r="AJ112" s="2" t="str">
        <f ca="1">IFERROR(__xludf.DUMMYFUNCTION("""COMPUTED_VALUE"""),"")</f>
        <v/>
      </c>
      <c r="AK112" s="2" t="str">
        <f ca="1">IFERROR(__xludf.DUMMYFUNCTION("""COMPUTED_VALUE"""),"")</f>
        <v/>
      </c>
      <c r="AL112" s="2" t="str">
        <f ca="1">IFERROR(__xludf.DUMMYFUNCTION("""COMPUTED_VALUE"""),"")</f>
        <v/>
      </c>
      <c r="AM112" s="2" t="str">
        <f ca="1">IFERROR(__xludf.DUMMYFUNCTION("""COMPUTED_VALUE"""),"")</f>
        <v/>
      </c>
      <c r="AN112" s="2" t="str">
        <f ca="1">IFERROR(__xludf.DUMMYFUNCTION("""COMPUTED_VALUE"""),"")</f>
        <v/>
      </c>
      <c r="AO112" s="2" t="str">
        <f ca="1">IFERROR(__xludf.DUMMYFUNCTION("""COMPUTED_VALUE"""),"")</f>
        <v/>
      </c>
      <c r="AP112" s="2" t="str">
        <f ca="1">IFERROR(__xludf.DUMMYFUNCTION("""COMPUTED_VALUE"""),"")</f>
        <v/>
      </c>
      <c r="AQ112" s="2" t="str">
        <f ca="1">IFERROR(__xludf.DUMMYFUNCTION("""COMPUTED_VALUE"""),"")</f>
        <v/>
      </c>
      <c r="AR112" s="2" t="str">
        <f ca="1">IFERROR(__xludf.DUMMYFUNCTION("""COMPUTED_VALUE"""),"")</f>
        <v/>
      </c>
      <c r="AS112" s="2" t="str">
        <f ca="1">IFERROR(__xludf.DUMMYFUNCTION("""COMPUTED_VALUE"""),"")</f>
        <v/>
      </c>
      <c r="AT112" s="2" t="str">
        <f ca="1">IFERROR(__xludf.DUMMYFUNCTION("""COMPUTED_VALUE"""),"")</f>
        <v/>
      </c>
      <c r="AU112" s="2" t="str">
        <f ca="1">IFERROR(__xludf.DUMMYFUNCTION("""COMPUTED_VALUE"""),"")</f>
        <v/>
      </c>
      <c r="AV112" s="2" t="str">
        <f ca="1">IFERROR(__xludf.DUMMYFUNCTION("""COMPUTED_VALUE"""),"")</f>
        <v/>
      </c>
      <c r="AW112" s="2" t="str">
        <f ca="1">IFERROR(__xludf.DUMMYFUNCTION("""COMPUTED_VALUE"""),"")</f>
        <v/>
      </c>
      <c r="AX112" s="2" t="str">
        <f ca="1">IFERROR(__xludf.DUMMYFUNCTION("""COMPUTED_VALUE"""),"")</f>
        <v/>
      </c>
      <c r="AY112" s="2" t="str">
        <f ca="1">IFERROR(__xludf.DUMMYFUNCTION("""COMPUTED_VALUE"""),"")</f>
        <v/>
      </c>
      <c r="AZ112" s="2" t="str">
        <f ca="1">IFERROR(__xludf.DUMMYFUNCTION("""COMPUTED_VALUE"""),"")</f>
        <v/>
      </c>
      <c r="BA112" s="2" t="str">
        <f ca="1">IFERROR(__xludf.DUMMYFUNCTION("""COMPUTED_VALUE"""),"")</f>
        <v/>
      </c>
      <c r="BB112" s="2" t="str">
        <f ca="1">IFERROR(__xludf.DUMMYFUNCTION("""COMPUTED_VALUE"""),"")</f>
        <v/>
      </c>
      <c r="BC112" s="2" t="str">
        <f ca="1">IFERROR(__xludf.DUMMYFUNCTION("""COMPUTED_VALUE"""),"")</f>
        <v/>
      </c>
      <c r="BD112" s="2" t="str">
        <f ca="1">IFERROR(__xludf.DUMMYFUNCTION("""COMPUTED_VALUE"""),"")</f>
        <v/>
      </c>
      <c r="BE112" s="2" t="str">
        <f ca="1">IFERROR(__xludf.DUMMYFUNCTION("""COMPUTED_VALUE"""),"")</f>
        <v/>
      </c>
      <c r="BF112" t="str">
        <f ca="1">IFERROR(__xludf.DUMMYFUNCTION("""COMPUTED_VALUE"""),"")</f>
        <v/>
      </c>
      <c r="BG112" t="str">
        <f ca="1">IFERROR(__xludf.DUMMYFUNCTION("""COMPUTED_VALUE"""),"")</f>
        <v/>
      </c>
      <c r="BH112" t="str">
        <f ca="1">IFERROR(__xludf.DUMMYFUNCTION("""COMPUTED_VALUE"""),"")</f>
        <v/>
      </c>
      <c r="BI112" t="str">
        <f ca="1">IFERROR(__xludf.DUMMYFUNCTION("""COMPUTED_VALUE"""),"")</f>
        <v/>
      </c>
      <c r="BJ112" s="3" t="str">
        <f ca="1">IFERROR(__xludf.DUMMYFUNCTION("""COMPUTED_VALUE"""),"")</f>
        <v/>
      </c>
    </row>
    <row r="113" spans="1:62" ht="12.5" x14ac:dyDescent="0.25">
      <c r="A113" s="6">
        <f ca="1">IFERROR(__xludf.DUMMYFUNCTION("""COMPUTED_VALUE"""),43436.6060209375)</f>
        <v>43436.606020937499</v>
      </c>
      <c r="B113" s="2" t="str">
        <f ca="1">IFERROR(__xludf.DUMMYFUNCTION("""COMPUTED_VALUE"""),"Bay of Plenty")</f>
        <v>Bay of Plenty</v>
      </c>
      <c r="C113" s="2" t="str">
        <f ca="1">IFERROR(__xludf.DUMMYFUNCTION("""COMPUTED_VALUE"""),"Tx 54")</f>
        <v>Tx 54</v>
      </c>
      <c r="D113" s="10">
        <f ca="1">IFERROR(__xludf.DUMMYFUNCTION("""COMPUTED_VALUE"""),43428)</f>
        <v>43428</v>
      </c>
      <c r="E113" s="4">
        <f ca="1">IFERROR(__xludf.DUMMYFUNCTION("""COMPUTED_VALUE"""),0.625)</f>
        <v>0.625</v>
      </c>
      <c r="F113" s="2" t="str">
        <f ca="1">IFERROR(__xludf.DUMMYFUNCTION("""COMPUTED_VALUE"""),"Pamments - Farmland")</f>
        <v>Pamments - Farmland</v>
      </c>
      <c r="G113" s="2" t="str">
        <f ca="1">IFERROR(__xludf.DUMMYFUNCTION("""COMPUTED_VALUE"""),"VHF (close approach): I followed the signal until I got within 50 m of the bird")</f>
        <v>VHF (close approach): I followed the signal until I got within 50 m of the bird</v>
      </c>
      <c r="H113" s="2" t="str">
        <f ca="1">IFERROR(__xludf.DUMMYFUNCTION("""COMPUTED_VALUE"""),"")</f>
        <v/>
      </c>
      <c r="I113" s="2" t="str">
        <f ca="1">IFERROR(__xludf.DUMMYFUNCTION("""COMPUTED_VALUE"""),"")</f>
        <v/>
      </c>
      <c r="J113" s="2" t="str">
        <f ca="1">IFERROR(__xludf.DUMMYFUNCTION("""COMPUTED_VALUE"""),"")</f>
        <v/>
      </c>
      <c r="K113" s="2" t="str">
        <f ca="1">IFERROR(__xludf.DUMMYFUNCTION("""COMPUTED_VALUE"""),"")</f>
        <v/>
      </c>
      <c r="L113" s="2" t="str">
        <f ca="1">IFERROR(__xludf.DUMMYFUNCTION("""COMPUTED_VALUE"""),"No - I got very close to the bird but it was well hidden in the vegetation")</f>
        <v>No - I got very close to the bird but it was well hidden in the vegetation</v>
      </c>
      <c r="M113" s="5">
        <f ca="1">IFERROR(__xludf.DUMMYFUNCTION("""COMPUTED_VALUE"""),1906955)</f>
        <v>1906955</v>
      </c>
      <c r="N113" s="5">
        <f ca="1">IFERROR(__xludf.DUMMYFUNCTION("""COMPUTED_VALUE"""),5812442)</f>
        <v>5812442</v>
      </c>
      <c r="O113" s="2" t="str">
        <f ca="1">IFERROR(__xludf.DUMMYFUNCTION("""COMPUTED_VALUE"""),"")</f>
        <v/>
      </c>
      <c r="P113" s="2" t="str">
        <f ca="1">IFERROR(__xludf.DUMMYFUNCTION("""COMPUTED_VALUE"""),"No")</f>
        <v>No</v>
      </c>
      <c r="Q113" s="2" t="str">
        <f ca="1">IFERROR(__xludf.DUMMYFUNCTION("""COMPUTED_VALUE"""),"Don't know")</f>
        <v>Don't know</v>
      </c>
      <c r="R113" s="2" t="str">
        <f ca="1">IFERROR(__xludf.DUMMYFUNCTION("""COMPUTED_VALUE"""),"dont know ")</f>
        <v xml:space="preserve">dont know </v>
      </c>
      <c r="S113" s="2" t="str">
        <f ca="1">IFERROR(__xludf.DUMMYFUNCTION("""COMPUTED_VALUE"""),"dont know")</f>
        <v>dont know</v>
      </c>
      <c r="T113" s="2" t="str">
        <f ca="1">IFERROR(__xludf.DUMMYFUNCTION("""COMPUTED_VALUE"""),"farmland")</f>
        <v>farmland</v>
      </c>
      <c r="U113" s="2" t="str">
        <f ca="1">IFERROR(__xludf.DUMMYFUNCTION("""COMPUTED_VALUE"""),"Farmland - Padock of tall grasses possibly farm drain. Scott Paments Property   - gps est +- 100m -  Bird was originaly in the salt marsh in front of cutwater rd however i never got a more accurate fix before it moved into farmland.")</f>
        <v>Farmland - Padock of tall grasses possibly farm drain. Scott Paments Property   - gps est +- 100m -  Bird was originaly in the salt marsh in front of cutwater rd however i never got a more accurate fix before it moved into farmland.</v>
      </c>
      <c r="V113" s="2" t="str">
        <f ca="1">IFERROR(__xludf.DUMMYFUNCTION("""COMPUTED_VALUE"""),"")</f>
        <v/>
      </c>
      <c r="W113" s="2" t="str">
        <f ca="1">IFERROR(__xludf.DUMMYFUNCTION("""COMPUTED_VALUE"""),"")</f>
        <v/>
      </c>
      <c r="X113" s="2" t="str">
        <f ca="1">IFERROR(__xludf.DUMMYFUNCTION("""COMPUTED_VALUE"""),"")</f>
        <v/>
      </c>
      <c r="Y113" s="2" t="str">
        <f ca="1">IFERROR(__xludf.DUMMYFUNCTION("""COMPUTED_VALUE"""),"")</f>
        <v/>
      </c>
      <c r="Z113" s="2" t="str">
        <f ca="1">IFERROR(__xludf.DUMMYFUNCTION("""COMPUTED_VALUE"""),"")</f>
        <v/>
      </c>
      <c r="AA113" s="2" t="str">
        <f ca="1">IFERROR(__xludf.DUMMYFUNCTION("""COMPUTED_VALUE"""),"")</f>
        <v/>
      </c>
      <c r="AB113" s="2" t="str">
        <f ca="1">IFERROR(__xludf.DUMMYFUNCTION("""COMPUTED_VALUE"""),"")</f>
        <v/>
      </c>
      <c r="AC113" s="2" t="str">
        <f ca="1">IFERROR(__xludf.DUMMYFUNCTION("""COMPUTED_VALUE"""),"")</f>
        <v/>
      </c>
      <c r="AD113" s="2" t="str">
        <f ca="1">IFERROR(__xludf.DUMMYFUNCTION("""COMPUTED_VALUE"""),"")</f>
        <v/>
      </c>
      <c r="AE113" s="2" t="str">
        <f ca="1">IFERROR(__xludf.DUMMYFUNCTION("""COMPUTED_VALUE"""),"")</f>
        <v/>
      </c>
      <c r="AF113" s="2" t="str">
        <f ca="1">IFERROR(__xludf.DUMMYFUNCTION("""COMPUTED_VALUE"""),"")</f>
        <v/>
      </c>
      <c r="AG113" s="2" t="str">
        <f ca="1">IFERROR(__xludf.DUMMYFUNCTION("""COMPUTED_VALUE"""),"")</f>
        <v/>
      </c>
      <c r="AH113" s="2" t="str">
        <f ca="1">IFERROR(__xludf.DUMMYFUNCTION("""COMPUTED_VALUE"""),"")</f>
        <v/>
      </c>
      <c r="AI113" s="2" t="str">
        <f ca="1">IFERROR(__xludf.DUMMYFUNCTION("""COMPUTED_VALUE"""),"")</f>
        <v/>
      </c>
      <c r="AJ113" s="2" t="str">
        <f ca="1">IFERROR(__xludf.DUMMYFUNCTION("""COMPUTED_VALUE"""),"")</f>
        <v/>
      </c>
      <c r="AK113" s="2" t="str">
        <f ca="1">IFERROR(__xludf.DUMMYFUNCTION("""COMPUTED_VALUE"""),"")</f>
        <v/>
      </c>
      <c r="AL113" s="2" t="str">
        <f ca="1">IFERROR(__xludf.DUMMYFUNCTION("""COMPUTED_VALUE"""),"")</f>
        <v/>
      </c>
      <c r="AM113" s="2" t="str">
        <f ca="1">IFERROR(__xludf.DUMMYFUNCTION("""COMPUTED_VALUE"""),"")</f>
        <v/>
      </c>
      <c r="AN113" s="2" t="str">
        <f ca="1">IFERROR(__xludf.DUMMYFUNCTION("""COMPUTED_VALUE"""),"")</f>
        <v/>
      </c>
      <c r="AO113" s="2" t="str">
        <f ca="1">IFERROR(__xludf.DUMMYFUNCTION("""COMPUTED_VALUE"""),"")</f>
        <v/>
      </c>
      <c r="AP113" s="2" t="str">
        <f ca="1">IFERROR(__xludf.DUMMYFUNCTION("""COMPUTED_VALUE"""),"")</f>
        <v/>
      </c>
      <c r="AQ113" s="2" t="str">
        <f ca="1">IFERROR(__xludf.DUMMYFUNCTION("""COMPUTED_VALUE"""),"")</f>
        <v/>
      </c>
      <c r="AR113" s="2" t="str">
        <f ca="1">IFERROR(__xludf.DUMMYFUNCTION("""COMPUTED_VALUE"""),"")</f>
        <v/>
      </c>
      <c r="AS113" s="2" t="str">
        <f ca="1">IFERROR(__xludf.DUMMYFUNCTION("""COMPUTED_VALUE"""),"")</f>
        <v/>
      </c>
      <c r="AT113" s="2" t="str">
        <f ca="1">IFERROR(__xludf.DUMMYFUNCTION("""COMPUTED_VALUE"""),"")</f>
        <v/>
      </c>
      <c r="AU113" s="2" t="str">
        <f ca="1">IFERROR(__xludf.DUMMYFUNCTION("""COMPUTED_VALUE"""),"")</f>
        <v/>
      </c>
      <c r="AV113" s="2" t="str">
        <f ca="1">IFERROR(__xludf.DUMMYFUNCTION("""COMPUTED_VALUE"""),"")</f>
        <v/>
      </c>
      <c r="AW113" s="2" t="str">
        <f ca="1">IFERROR(__xludf.DUMMYFUNCTION("""COMPUTED_VALUE"""),"")</f>
        <v/>
      </c>
      <c r="AX113" s="2" t="str">
        <f ca="1">IFERROR(__xludf.DUMMYFUNCTION("""COMPUTED_VALUE"""),"")</f>
        <v/>
      </c>
      <c r="AY113" s="2" t="str">
        <f ca="1">IFERROR(__xludf.DUMMYFUNCTION("""COMPUTED_VALUE"""),"")</f>
        <v/>
      </c>
      <c r="AZ113" s="2" t="str">
        <f ca="1">IFERROR(__xludf.DUMMYFUNCTION("""COMPUTED_VALUE"""),"")</f>
        <v/>
      </c>
      <c r="BA113" s="2" t="str">
        <f ca="1">IFERROR(__xludf.DUMMYFUNCTION("""COMPUTED_VALUE"""),"")</f>
        <v/>
      </c>
      <c r="BB113" s="2" t="str">
        <f ca="1">IFERROR(__xludf.DUMMYFUNCTION("""COMPUTED_VALUE"""),"")</f>
        <v/>
      </c>
      <c r="BC113" s="2" t="str">
        <f ca="1">IFERROR(__xludf.DUMMYFUNCTION("""COMPUTED_VALUE"""),"")</f>
        <v/>
      </c>
      <c r="BD113" s="2" t="str">
        <f ca="1">IFERROR(__xludf.DUMMYFUNCTION("""COMPUTED_VALUE"""),"")</f>
        <v/>
      </c>
      <c r="BE113" s="2" t="str">
        <f ca="1">IFERROR(__xludf.DUMMYFUNCTION("""COMPUTED_VALUE"""),"")</f>
        <v/>
      </c>
      <c r="BF113" t="str">
        <f ca="1">IFERROR(__xludf.DUMMYFUNCTION("""COMPUTED_VALUE"""),"")</f>
        <v/>
      </c>
      <c r="BG113" t="str">
        <f ca="1">IFERROR(__xludf.DUMMYFUNCTION("""COMPUTED_VALUE"""),"")</f>
        <v/>
      </c>
      <c r="BH113" t="str">
        <f ca="1">IFERROR(__xludf.DUMMYFUNCTION("""COMPUTED_VALUE"""),"")</f>
        <v/>
      </c>
      <c r="BI113" t="str">
        <f ca="1">IFERROR(__xludf.DUMMYFUNCTION("""COMPUTED_VALUE"""),"")</f>
        <v/>
      </c>
      <c r="BJ113" s="3" t="str">
        <f ca="1">IFERROR(__xludf.DUMMYFUNCTION("""COMPUTED_VALUE"""),"")</f>
        <v/>
      </c>
    </row>
    <row r="114" spans="1:62" ht="12.5" x14ac:dyDescent="0.25">
      <c r="A114" s="6">
        <f ca="1">IFERROR(__xludf.DUMMYFUNCTION("""COMPUTED_VALUE"""),43436.6449311805)</f>
        <v>43436.644931180497</v>
      </c>
      <c r="B114" s="2" t="str">
        <f ca="1">IFERROR(__xludf.DUMMYFUNCTION("""COMPUTED_VALUE"""),"Bay of Plenty")</f>
        <v>Bay of Plenty</v>
      </c>
      <c r="C114" s="2" t="str">
        <f ca="1">IFERROR(__xludf.DUMMYFUNCTION("""COMPUTED_VALUE"""),"Tx 54")</f>
        <v>Tx 54</v>
      </c>
      <c r="D114" s="10">
        <f ca="1">IFERROR(__xludf.DUMMYFUNCTION("""COMPUTED_VALUE"""),43433)</f>
        <v>43433</v>
      </c>
      <c r="E114" s="4">
        <f ca="1">IFERROR(__xludf.DUMMYFUNCTION("""COMPUTED_VALUE"""),0.83333333333212)</f>
        <v>0.83333333333212001</v>
      </c>
      <c r="F114" s="2" t="str">
        <f ca="1">IFERROR(__xludf.DUMMYFUNCTION("""COMPUTED_VALUE"""),"Waihi WMR East - salt marsh opposite cutwater rd")</f>
        <v>Waihi WMR East - salt marsh opposite cutwater rd</v>
      </c>
      <c r="G114" s="2" t="str">
        <f ca="1">IFERROR(__xludf.DUMMYFUNCTION("""COMPUTED_VALUE"""),"VHF (close approach): I followed the signal until I got within 50 m of the bird")</f>
        <v>VHF (close approach): I followed the signal until I got within 50 m of the bird</v>
      </c>
      <c r="H114" s="2" t="str">
        <f ca="1">IFERROR(__xludf.DUMMYFUNCTION("""COMPUTED_VALUE"""),"")</f>
        <v/>
      </c>
      <c r="I114" s="2" t="str">
        <f ca="1">IFERROR(__xludf.DUMMYFUNCTION("""COMPUTED_VALUE"""),"")</f>
        <v/>
      </c>
      <c r="J114" s="2" t="str">
        <f ca="1">IFERROR(__xludf.DUMMYFUNCTION("""COMPUTED_VALUE"""),"")</f>
        <v/>
      </c>
      <c r="K114" s="2" t="str">
        <f ca="1">IFERROR(__xludf.DUMMYFUNCTION("""COMPUTED_VALUE"""),"")</f>
        <v/>
      </c>
      <c r="L114" s="2" t="str">
        <f ca="1">IFERROR(__xludf.DUMMYFUNCTION("""COMPUTED_VALUE"""),"No - I got very close to the bird but it was well hidden in the vegetation")</f>
        <v>No - I got very close to the bird but it was well hidden in the vegetation</v>
      </c>
      <c r="M114" s="5">
        <f ca="1">IFERROR(__xludf.DUMMYFUNCTION("""COMPUTED_VALUE"""),1906992)</f>
        <v>1906992</v>
      </c>
      <c r="N114" s="5">
        <f ca="1">IFERROR(__xludf.DUMMYFUNCTION("""COMPUTED_VALUE"""),5813314)</f>
        <v>5813314</v>
      </c>
      <c r="O114" s="2" t="str">
        <f ca="1">IFERROR(__xludf.DUMMYFUNCTION("""COMPUTED_VALUE"""),"")</f>
        <v/>
      </c>
      <c r="P114" s="2" t="str">
        <f ca="1">IFERROR(__xludf.DUMMYFUNCTION("""COMPUTED_VALUE"""),"N/A - not grazed")</f>
        <v>N/A - not grazed</v>
      </c>
      <c r="Q114" s="2" t="str">
        <f ca="1">IFERROR(__xludf.DUMMYFUNCTION("""COMPUTED_VALUE"""),"Don't know")</f>
        <v>Don't know</v>
      </c>
      <c r="R114" s="2" t="str">
        <f ca="1">IFERROR(__xludf.DUMMYFUNCTION("""COMPUTED_VALUE"""),"dont know - see tide chart?")</f>
        <v>dont know - see tide chart?</v>
      </c>
      <c r="S114" s="2" t="str">
        <f ca="1">IFERROR(__xludf.DUMMYFUNCTION("""COMPUTED_VALUE"""),"see map")</f>
        <v>see map</v>
      </c>
      <c r="T114" s="2" t="str">
        <f ca="1">IFERROR(__xludf.DUMMYFUNCTION("""COMPUTED_VALUE"""),"Salt Marsh ")</f>
        <v xml:space="preserve">Salt Marsh </v>
      </c>
      <c r="U114" s="2" t="str">
        <f ca="1">IFERROR(__xludf.DUMMYFUNCTION("""COMPUTED_VALUE"""),"6.30-9pm observation - heard two other birds booming. see karls field notes. ")</f>
        <v xml:space="preserve">6.30-9pm observation - heard two other birds booming. see karls field notes. </v>
      </c>
      <c r="V114" s="2" t="str">
        <f ca="1">IFERROR(__xludf.DUMMYFUNCTION("""COMPUTED_VALUE"""),"")</f>
        <v/>
      </c>
      <c r="W114" s="2" t="str">
        <f ca="1">IFERROR(__xludf.DUMMYFUNCTION("""COMPUTED_VALUE"""),"")</f>
        <v/>
      </c>
      <c r="X114" s="2" t="str">
        <f ca="1">IFERROR(__xludf.DUMMYFUNCTION("""COMPUTED_VALUE"""),"")</f>
        <v/>
      </c>
      <c r="Y114" s="2" t="str">
        <f ca="1">IFERROR(__xludf.DUMMYFUNCTION("""COMPUTED_VALUE"""),"")</f>
        <v/>
      </c>
      <c r="Z114" s="2" t="str">
        <f ca="1">IFERROR(__xludf.DUMMYFUNCTION("""COMPUTED_VALUE"""),"")</f>
        <v/>
      </c>
      <c r="AA114" s="2" t="str">
        <f ca="1">IFERROR(__xludf.DUMMYFUNCTION("""COMPUTED_VALUE"""),"")</f>
        <v/>
      </c>
      <c r="AB114" s="2" t="str">
        <f ca="1">IFERROR(__xludf.DUMMYFUNCTION("""COMPUTED_VALUE"""),"")</f>
        <v/>
      </c>
      <c r="AC114" s="2" t="str">
        <f ca="1">IFERROR(__xludf.DUMMYFUNCTION("""COMPUTED_VALUE"""),"")</f>
        <v/>
      </c>
      <c r="AD114" s="2" t="str">
        <f ca="1">IFERROR(__xludf.DUMMYFUNCTION("""COMPUTED_VALUE"""),"")</f>
        <v/>
      </c>
      <c r="AE114" s="2" t="str">
        <f ca="1">IFERROR(__xludf.DUMMYFUNCTION("""COMPUTED_VALUE"""),"")</f>
        <v/>
      </c>
      <c r="AF114" s="2" t="str">
        <f ca="1">IFERROR(__xludf.DUMMYFUNCTION("""COMPUTED_VALUE"""),"")</f>
        <v/>
      </c>
      <c r="AG114" s="2" t="str">
        <f ca="1">IFERROR(__xludf.DUMMYFUNCTION("""COMPUTED_VALUE"""),"")</f>
        <v/>
      </c>
      <c r="AH114" s="2" t="str">
        <f ca="1">IFERROR(__xludf.DUMMYFUNCTION("""COMPUTED_VALUE"""),"")</f>
        <v/>
      </c>
      <c r="AI114" s="2" t="str">
        <f ca="1">IFERROR(__xludf.DUMMYFUNCTION("""COMPUTED_VALUE"""),"")</f>
        <v/>
      </c>
      <c r="AJ114" s="2" t="str">
        <f ca="1">IFERROR(__xludf.DUMMYFUNCTION("""COMPUTED_VALUE"""),"")</f>
        <v/>
      </c>
      <c r="AK114" s="2" t="str">
        <f ca="1">IFERROR(__xludf.DUMMYFUNCTION("""COMPUTED_VALUE"""),"")</f>
        <v/>
      </c>
      <c r="AL114" s="2" t="str">
        <f ca="1">IFERROR(__xludf.DUMMYFUNCTION("""COMPUTED_VALUE"""),"")</f>
        <v/>
      </c>
      <c r="AM114" s="2" t="str">
        <f ca="1">IFERROR(__xludf.DUMMYFUNCTION("""COMPUTED_VALUE"""),"")</f>
        <v/>
      </c>
      <c r="AN114" s="2" t="str">
        <f ca="1">IFERROR(__xludf.DUMMYFUNCTION("""COMPUTED_VALUE"""),"")</f>
        <v/>
      </c>
      <c r="AO114" s="2" t="str">
        <f ca="1">IFERROR(__xludf.DUMMYFUNCTION("""COMPUTED_VALUE"""),"")</f>
        <v/>
      </c>
      <c r="AP114" s="2" t="str">
        <f ca="1">IFERROR(__xludf.DUMMYFUNCTION("""COMPUTED_VALUE"""),"")</f>
        <v/>
      </c>
      <c r="AQ114" s="2" t="str">
        <f ca="1">IFERROR(__xludf.DUMMYFUNCTION("""COMPUTED_VALUE"""),"")</f>
        <v/>
      </c>
      <c r="AR114" s="2" t="str">
        <f ca="1">IFERROR(__xludf.DUMMYFUNCTION("""COMPUTED_VALUE"""),"")</f>
        <v/>
      </c>
      <c r="AS114" s="2" t="str">
        <f ca="1">IFERROR(__xludf.DUMMYFUNCTION("""COMPUTED_VALUE"""),"")</f>
        <v/>
      </c>
      <c r="AT114" s="2" t="str">
        <f ca="1">IFERROR(__xludf.DUMMYFUNCTION("""COMPUTED_VALUE"""),"")</f>
        <v/>
      </c>
      <c r="AU114" s="2" t="str">
        <f ca="1">IFERROR(__xludf.DUMMYFUNCTION("""COMPUTED_VALUE"""),"")</f>
        <v/>
      </c>
      <c r="AV114" s="2" t="str">
        <f ca="1">IFERROR(__xludf.DUMMYFUNCTION("""COMPUTED_VALUE"""),"")</f>
        <v/>
      </c>
      <c r="AW114" s="2" t="str">
        <f ca="1">IFERROR(__xludf.DUMMYFUNCTION("""COMPUTED_VALUE"""),"")</f>
        <v/>
      </c>
      <c r="AX114" s="2" t="str">
        <f ca="1">IFERROR(__xludf.DUMMYFUNCTION("""COMPUTED_VALUE"""),"")</f>
        <v/>
      </c>
      <c r="AY114" s="2" t="str">
        <f ca="1">IFERROR(__xludf.DUMMYFUNCTION("""COMPUTED_VALUE"""),"")</f>
        <v/>
      </c>
      <c r="AZ114" s="2" t="str">
        <f ca="1">IFERROR(__xludf.DUMMYFUNCTION("""COMPUTED_VALUE"""),"")</f>
        <v/>
      </c>
      <c r="BA114" s="2" t="str">
        <f ca="1">IFERROR(__xludf.DUMMYFUNCTION("""COMPUTED_VALUE"""),"")</f>
        <v/>
      </c>
      <c r="BB114" s="2" t="str">
        <f ca="1">IFERROR(__xludf.DUMMYFUNCTION("""COMPUTED_VALUE"""),"")</f>
        <v/>
      </c>
      <c r="BC114" s="2" t="str">
        <f ca="1">IFERROR(__xludf.DUMMYFUNCTION("""COMPUTED_VALUE"""),"")</f>
        <v/>
      </c>
      <c r="BD114" s="2" t="str">
        <f ca="1">IFERROR(__xludf.DUMMYFUNCTION("""COMPUTED_VALUE"""),"")</f>
        <v/>
      </c>
      <c r="BE114" s="2" t="str">
        <f ca="1">IFERROR(__xludf.DUMMYFUNCTION("""COMPUTED_VALUE"""),"")</f>
        <v/>
      </c>
      <c r="BF114" t="str">
        <f ca="1">IFERROR(__xludf.DUMMYFUNCTION("""COMPUTED_VALUE"""),"")</f>
        <v/>
      </c>
      <c r="BG114" t="str">
        <f ca="1">IFERROR(__xludf.DUMMYFUNCTION("""COMPUTED_VALUE"""),"")</f>
        <v/>
      </c>
      <c r="BH114" t="str">
        <f ca="1">IFERROR(__xludf.DUMMYFUNCTION("""COMPUTED_VALUE"""),"")</f>
        <v/>
      </c>
      <c r="BI114" t="str">
        <f ca="1">IFERROR(__xludf.DUMMYFUNCTION("""COMPUTED_VALUE"""),"")</f>
        <v/>
      </c>
      <c r="BJ114" s="3" t="str">
        <f ca="1">IFERROR(__xludf.DUMMYFUNCTION("""COMPUTED_VALUE"""),"")</f>
        <v/>
      </c>
    </row>
    <row r="115" spans="1:62" ht="12.5" x14ac:dyDescent="0.25">
      <c r="A115" s="6">
        <f ca="1">IFERROR(__xludf.DUMMYFUNCTION("""COMPUTED_VALUE"""),43436.7373074305)</f>
        <v>43436.7373074305</v>
      </c>
      <c r="B115" s="2" t="str">
        <f ca="1">IFERROR(__xludf.DUMMYFUNCTION("""COMPUTED_VALUE"""),"Bay of Plenty")</f>
        <v>Bay of Plenty</v>
      </c>
      <c r="C115" s="2" t="str">
        <f ca="1">IFERROR(__xludf.DUMMYFUNCTION("""COMPUTED_VALUE"""),"Tx 38 - Pearl")</f>
        <v>Tx 38 - Pearl</v>
      </c>
      <c r="D115" s="10">
        <f ca="1">IFERROR(__xludf.DUMMYFUNCTION("""COMPUTED_VALUE"""),43222)</f>
        <v>43222</v>
      </c>
      <c r="E115" s="4">
        <f ca="1">IFERROR(__xludf.DUMMYFUNCTION("""COMPUTED_VALUE"""),0.5625)</f>
        <v>0.5625</v>
      </c>
      <c r="F115" s="2" t="str">
        <f ca="1">IFERROR(__xludf.DUMMYFUNCTION("""COMPUTED_VALUE"""),"Farmland - Paddocks off cutwater rd ")</f>
        <v xml:space="preserve">Farmland - Paddocks off cutwater rd </v>
      </c>
      <c r="G115" s="2" t="str">
        <f ca="1">IFERROR(__xludf.DUMMYFUNCTION("""COMPUTED_VALUE"""),"VHF (close approach): I followed the signal until I got within 50 m of the bird")</f>
        <v>VHF (close approach): I followed the signal until I got within 50 m of the bird</v>
      </c>
      <c r="H115" s="2" t="str">
        <f ca="1">IFERROR(__xludf.DUMMYFUNCTION("""COMPUTED_VALUE"""),"")</f>
        <v/>
      </c>
      <c r="I115" s="2" t="str">
        <f ca="1">IFERROR(__xludf.DUMMYFUNCTION("""COMPUTED_VALUE"""),"")</f>
        <v/>
      </c>
      <c r="J115" s="2" t="str">
        <f ca="1">IFERROR(__xludf.DUMMYFUNCTION("""COMPUTED_VALUE"""),"")</f>
        <v/>
      </c>
      <c r="K115" s="2" t="str">
        <f ca="1">IFERROR(__xludf.DUMMYFUNCTION("""COMPUTED_VALUE"""),"")</f>
        <v/>
      </c>
      <c r="L115" s="2" t="str">
        <f ca="1">IFERROR(__xludf.DUMMYFUNCTION("""COMPUTED_VALUE"""),"No - I got very close to the bird but it was well hidden in the vegetation")</f>
        <v>No - I got very close to the bird but it was well hidden in the vegetation</v>
      </c>
      <c r="M115" s="5">
        <f ca="1">IFERROR(__xludf.DUMMYFUNCTION("""COMPUTED_VALUE"""),1907502)</f>
        <v>1907502</v>
      </c>
      <c r="N115" s="5">
        <f ca="1">IFERROR(__xludf.DUMMYFUNCTION("""COMPUTED_VALUE"""),5812701)</f>
        <v>5812701</v>
      </c>
      <c r="O115" s="2" t="str">
        <f ca="1">IFERROR(__xludf.DUMMYFUNCTION("""COMPUTED_VALUE"""),"")</f>
        <v/>
      </c>
      <c r="P115" s="2" t="str">
        <f ca="1">IFERROR(__xludf.DUMMYFUNCTION("""COMPUTED_VALUE"""),"Yes")</f>
        <v>Yes</v>
      </c>
      <c r="Q115" s="2" t="str">
        <f ca="1">IFERROR(__xludf.DUMMYFUNCTION("""COMPUTED_VALUE"""),"Dry")</f>
        <v>Dry</v>
      </c>
      <c r="R115" s="2" t="str">
        <f ca="1">IFERROR(__xludf.DUMMYFUNCTION("""COMPUTED_VALUE"""),"dont know")</f>
        <v>dont know</v>
      </c>
      <c r="S115" s="2" t="str">
        <f ca="1">IFERROR(__xludf.DUMMYFUNCTION("""COMPUTED_VALUE"""),"see map")</f>
        <v>see map</v>
      </c>
      <c r="T115" s="2" t="str">
        <f ca="1">IFERROR(__xludf.DUMMYFUNCTION("""COMPUTED_VALUE"""),"farmland - near old river bed")</f>
        <v>farmland - near old river bed</v>
      </c>
      <c r="U115" s="2" t="str">
        <f ca="1">IFERROR(__xludf.DUMMYFUNCTION("""COMPUTED_VALUE"""),"20m from gps fix, grazed, stock within 50m ")</f>
        <v xml:space="preserve">20m from gps fix, grazed, stock within 50m </v>
      </c>
      <c r="V115" s="2" t="str">
        <f ca="1">IFERROR(__xludf.DUMMYFUNCTION("""COMPUTED_VALUE"""),"")</f>
        <v/>
      </c>
      <c r="W115" s="2" t="str">
        <f ca="1">IFERROR(__xludf.DUMMYFUNCTION("""COMPUTED_VALUE"""),"")</f>
        <v/>
      </c>
      <c r="X115" s="2" t="str">
        <f ca="1">IFERROR(__xludf.DUMMYFUNCTION("""COMPUTED_VALUE"""),"")</f>
        <v/>
      </c>
      <c r="Y115" s="2" t="str">
        <f ca="1">IFERROR(__xludf.DUMMYFUNCTION("""COMPUTED_VALUE"""),"")</f>
        <v/>
      </c>
      <c r="Z115" s="2" t="str">
        <f ca="1">IFERROR(__xludf.DUMMYFUNCTION("""COMPUTED_VALUE"""),"")</f>
        <v/>
      </c>
      <c r="AA115" s="2" t="str">
        <f ca="1">IFERROR(__xludf.DUMMYFUNCTION("""COMPUTED_VALUE"""),"")</f>
        <v/>
      </c>
      <c r="AB115" s="2" t="str">
        <f ca="1">IFERROR(__xludf.DUMMYFUNCTION("""COMPUTED_VALUE"""),"")</f>
        <v/>
      </c>
      <c r="AC115" s="2" t="str">
        <f ca="1">IFERROR(__xludf.DUMMYFUNCTION("""COMPUTED_VALUE"""),"")</f>
        <v/>
      </c>
      <c r="AD115" s="2" t="str">
        <f ca="1">IFERROR(__xludf.DUMMYFUNCTION("""COMPUTED_VALUE"""),"")</f>
        <v/>
      </c>
      <c r="AE115" s="2" t="str">
        <f ca="1">IFERROR(__xludf.DUMMYFUNCTION("""COMPUTED_VALUE"""),"")</f>
        <v/>
      </c>
      <c r="AF115" s="2" t="str">
        <f ca="1">IFERROR(__xludf.DUMMYFUNCTION("""COMPUTED_VALUE"""),"")</f>
        <v/>
      </c>
      <c r="AG115" s="2" t="str">
        <f ca="1">IFERROR(__xludf.DUMMYFUNCTION("""COMPUTED_VALUE"""),"")</f>
        <v/>
      </c>
      <c r="AH115" s="2" t="str">
        <f ca="1">IFERROR(__xludf.DUMMYFUNCTION("""COMPUTED_VALUE"""),"")</f>
        <v/>
      </c>
      <c r="AI115" s="2" t="str">
        <f ca="1">IFERROR(__xludf.DUMMYFUNCTION("""COMPUTED_VALUE"""),"")</f>
        <v/>
      </c>
      <c r="AJ115" s="2" t="str">
        <f ca="1">IFERROR(__xludf.DUMMYFUNCTION("""COMPUTED_VALUE"""),"")</f>
        <v/>
      </c>
      <c r="AK115" s="2" t="str">
        <f ca="1">IFERROR(__xludf.DUMMYFUNCTION("""COMPUTED_VALUE"""),"")</f>
        <v/>
      </c>
      <c r="AL115" s="2" t="str">
        <f ca="1">IFERROR(__xludf.DUMMYFUNCTION("""COMPUTED_VALUE"""),"")</f>
        <v/>
      </c>
      <c r="AM115" s="2" t="str">
        <f ca="1">IFERROR(__xludf.DUMMYFUNCTION("""COMPUTED_VALUE"""),"")</f>
        <v/>
      </c>
      <c r="AN115" s="2" t="str">
        <f ca="1">IFERROR(__xludf.DUMMYFUNCTION("""COMPUTED_VALUE"""),"")</f>
        <v/>
      </c>
      <c r="AO115" s="2" t="str">
        <f ca="1">IFERROR(__xludf.DUMMYFUNCTION("""COMPUTED_VALUE"""),"")</f>
        <v/>
      </c>
      <c r="AP115" s="2" t="str">
        <f ca="1">IFERROR(__xludf.DUMMYFUNCTION("""COMPUTED_VALUE"""),"")</f>
        <v/>
      </c>
      <c r="AQ115" s="2" t="str">
        <f ca="1">IFERROR(__xludf.DUMMYFUNCTION("""COMPUTED_VALUE"""),"")</f>
        <v/>
      </c>
      <c r="AR115" s="2" t="str">
        <f ca="1">IFERROR(__xludf.DUMMYFUNCTION("""COMPUTED_VALUE"""),"")</f>
        <v/>
      </c>
      <c r="AS115" s="2" t="str">
        <f ca="1">IFERROR(__xludf.DUMMYFUNCTION("""COMPUTED_VALUE"""),"")</f>
        <v/>
      </c>
      <c r="AT115" s="2" t="str">
        <f ca="1">IFERROR(__xludf.DUMMYFUNCTION("""COMPUTED_VALUE"""),"")</f>
        <v/>
      </c>
      <c r="AU115" s="2" t="str">
        <f ca="1">IFERROR(__xludf.DUMMYFUNCTION("""COMPUTED_VALUE"""),"")</f>
        <v/>
      </c>
      <c r="AV115" s="2" t="str">
        <f ca="1">IFERROR(__xludf.DUMMYFUNCTION("""COMPUTED_VALUE"""),"")</f>
        <v/>
      </c>
      <c r="AW115" s="2" t="str">
        <f ca="1">IFERROR(__xludf.DUMMYFUNCTION("""COMPUTED_VALUE"""),"")</f>
        <v/>
      </c>
      <c r="AX115" s="2" t="str">
        <f ca="1">IFERROR(__xludf.DUMMYFUNCTION("""COMPUTED_VALUE"""),"")</f>
        <v/>
      </c>
      <c r="AY115" s="2" t="str">
        <f ca="1">IFERROR(__xludf.DUMMYFUNCTION("""COMPUTED_VALUE"""),"")</f>
        <v/>
      </c>
      <c r="AZ115" s="2" t="str">
        <f ca="1">IFERROR(__xludf.DUMMYFUNCTION("""COMPUTED_VALUE"""),"")</f>
        <v/>
      </c>
      <c r="BA115" s="2" t="str">
        <f ca="1">IFERROR(__xludf.DUMMYFUNCTION("""COMPUTED_VALUE"""),"")</f>
        <v/>
      </c>
      <c r="BB115" s="2" t="str">
        <f ca="1">IFERROR(__xludf.DUMMYFUNCTION("""COMPUTED_VALUE"""),"")</f>
        <v/>
      </c>
      <c r="BC115" s="2" t="str">
        <f ca="1">IFERROR(__xludf.DUMMYFUNCTION("""COMPUTED_VALUE"""),"")</f>
        <v/>
      </c>
      <c r="BD115" s="2" t="str">
        <f ca="1">IFERROR(__xludf.DUMMYFUNCTION("""COMPUTED_VALUE"""),"")</f>
        <v/>
      </c>
      <c r="BE115" s="2" t="str">
        <f ca="1">IFERROR(__xludf.DUMMYFUNCTION("""COMPUTED_VALUE"""),"")</f>
        <v/>
      </c>
      <c r="BF115" t="str">
        <f ca="1">IFERROR(__xludf.DUMMYFUNCTION("""COMPUTED_VALUE"""),"")</f>
        <v/>
      </c>
      <c r="BG115" t="str">
        <f ca="1">IFERROR(__xludf.DUMMYFUNCTION("""COMPUTED_VALUE"""),"")</f>
        <v/>
      </c>
      <c r="BH115" t="str">
        <f ca="1">IFERROR(__xludf.DUMMYFUNCTION("""COMPUTED_VALUE"""),"")</f>
        <v/>
      </c>
      <c r="BI115" t="str">
        <f ca="1">IFERROR(__xludf.DUMMYFUNCTION("""COMPUTED_VALUE"""),"")</f>
        <v/>
      </c>
      <c r="BJ115" s="3" t="str">
        <f ca="1">IFERROR(__xludf.DUMMYFUNCTION("""COMPUTED_VALUE"""),"")</f>
        <v/>
      </c>
    </row>
    <row r="116" spans="1:62" ht="12.5" x14ac:dyDescent="0.25">
      <c r="A116" s="6">
        <f ca="1">IFERROR(__xludf.DUMMYFUNCTION("""COMPUTED_VALUE"""),43436.7415609027)</f>
        <v>43436.741560902701</v>
      </c>
      <c r="B116" s="2" t="str">
        <f ca="1">IFERROR(__xludf.DUMMYFUNCTION("""COMPUTED_VALUE"""),"Bay of Plenty")</f>
        <v>Bay of Plenty</v>
      </c>
      <c r="C116" s="2" t="str">
        <f ca="1">IFERROR(__xludf.DUMMYFUNCTION("""COMPUTED_VALUE"""),"Tx 38 - Pearl")</f>
        <v>Tx 38 - Pearl</v>
      </c>
      <c r="D116" s="10">
        <f ca="1">IFERROR(__xludf.DUMMYFUNCTION("""COMPUTED_VALUE"""),43221)</f>
        <v>43221</v>
      </c>
      <c r="E116" s="4">
        <f ca="1">IFERROR(__xludf.DUMMYFUNCTION("""COMPUTED_VALUE"""),0.75)</f>
        <v>0.75</v>
      </c>
      <c r="F116" s="2" t="str">
        <f ca="1">IFERROR(__xludf.DUMMYFUNCTION("""COMPUTED_VALUE"""),"Waihi WMR East - Saltmarsh")</f>
        <v>Waihi WMR East - Saltmarsh</v>
      </c>
      <c r="G116" s="2" t="str">
        <f ca="1">IFERROR(__xludf.DUMMYFUNCTION("""COMPUTED_VALUE"""),"VHF (close approach): I followed the signal until I got within 50 m of the bird")</f>
        <v>VHF (close approach): I followed the signal until I got within 50 m of the bird</v>
      </c>
      <c r="H116" s="2" t="str">
        <f ca="1">IFERROR(__xludf.DUMMYFUNCTION("""COMPUTED_VALUE"""),"")</f>
        <v/>
      </c>
      <c r="I116" s="2" t="str">
        <f ca="1">IFERROR(__xludf.DUMMYFUNCTION("""COMPUTED_VALUE"""),"")</f>
        <v/>
      </c>
      <c r="J116" s="2" t="str">
        <f ca="1">IFERROR(__xludf.DUMMYFUNCTION("""COMPUTED_VALUE"""),"")</f>
        <v/>
      </c>
      <c r="K116" s="2" t="str">
        <f ca="1">IFERROR(__xludf.DUMMYFUNCTION("""COMPUTED_VALUE"""),"")</f>
        <v/>
      </c>
      <c r="L116" s="2" t="str">
        <f ca="1">IFERROR(__xludf.DUMMYFUNCTION("""COMPUTED_VALUE"""),"No - I got very close to the bird but it was well hidden in the vegetation")</f>
        <v>No - I got very close to the bird but it was well hidden in the vegetation</v>
      </c>
      <c r="M116" s="5">
        <f ca="1">IFERROR(__xludf.DUMMYFUNCTION("""COMPUTED_VALUE"""),1907571)</f>
        <v>1907571</v>
      </c>
      <c r="N116" s="5">
        <f ca="1">IFERROR(__xludf.DUMMYFUNCTION("""COMPUTED_VALUE"""),5812979)</f>
        <v>5812979</v>
      </c>
      <c r="O116" s="2" t="str">
        <f ca="1">IFERROR(__xludf.DUMMYFUNCTION("""COMPUTED_VALUE"""),"")</f>
        <v/>
      </c>
      <c r="P116" s="2" t="str">
        <f ca="1">IFERROR(__xludf.DUMMYFUNCTION("""COMPUTED_VALUE"""),"N/A - not grazed")</f>
        <v>N/A - not grazed</v>
      </c>
      <c r="Q116" s="2" t="str">
        <f ca="1">IFERROR(__xludf.DUMMYFUNCTION("""COMPUTED_VALUE"""),"Wet")</f>
        <v>Wet</v>
      </c>
      <c r="R116" s="2" t="str">
        <f ca="1">IFERROR(__xludf.DUMMYFUNCTION("""COMPUTED_VALUE"""),"dont know")</f>
        <v>dont know</v>
      </c>
      <c r="S116" s="2" t="str">
        <f ca="1">IFERROR(__xludf.DUMMYFUNCTION("""COMPUTED_VALUE"""),"see map")</f>
        <v>see map</v>
      </c>
      <c r="T116" s="2" t="str">
        <f ca="1">IFERROR(__xludf.DUMMYFUNCTION("""COMPUTED_VALUE"""),"Salt marsh - oioi rushlands ")</f>
        <v xml:space="preserve">Salt marsh - oioi rushlands </v>
      </c>
      <c r="U116" s="2" t="str">
        <f ca="1">IFERROR(__xludf.DUMMYFUNCTION("""COMPUTED_VALUE"""),"6pm-6.40pm. Before flood event. note birds change to farmlands after this point?? ")</f>
        <v xml:space="preserve">6pm-6.40pm. Before flood event. note birds change to farmlands after this point?? </v>
      </c>
      <c r="V116" s="2" t="str">
        <f ca="1">IFERROR(__xludf.DUMMYFUNCTION("""COMPUTED_VALUE"""),"")</f>
        <v/>
      </c>
      <c r="W116" s="2" t="str">
        <f ca="1">IFERROR(__xludf.DUMMYFUNCTION("""COMPUTED_VALUE"""),"")</f>
        <v/>
      </c>
      <c r="X116" s="2" t="str">
        <f ca="1">IFERROR(__xludf.DUMMYFUNCTION("""COMPUTED_VALUE"""),"")</f>
        <v/>
      </c>
      <c r="Y116" s="2" t="str">
        <f ca="1">IFERROR(__xludf.DUMMYFUNCTION("""COMPUTED_VALUE"""),"")</f>
        <v/>
      </c>
      <c r="Z116" s="2" t="str">
        <f ca="1">IFERROR(__xludf.DUMMYFUNCTION("""COMPUTED_VALUE"""),"")</f>
        <v/>
      </c>
      <c r="AA116" s="2" t="str">
        <f ca="1">IFERROR(__xludf.DUMMYFUNCTION("""COMPUTED_VALUE"""),"")</f>
        <v/>
      </c>
      <c r="AB116" s="2" t="str">
        <f ca="1">IFERROR(__xludf.DUMMYFUNCTION("""COMPUTED_VALUE"""),"")</f>
        <v/>
      </c>
      <c r="AC116" s="2" t="str">
        <f ca="1">IFERROR(__xludf.DUMMYFUNCTION("""COMPUTED_VALUE"""),"")</f>
        <v/>
      </c>
      <c r="AD116" s="2" t="str">
        <f ca="1">IFERROR(__xludf.DUMMYFUNCTION("""COMPUTED_VALUE"""),"")</f>
        <v/>
      </c>
      <c r="AE116" s="2" t="str">
        <f ca="1">IFERROR(__xludf.DUMMYFUNCTION("""COMPUTED_VALUE"""),"")</f>
        <v/>
      </c>
      <c r="AF116" s="2" t="str">
        <f ca="1">IFERROR(__xludf.DUMMYFUNCTION("""COMPUTED_VALUE"""),"")</f>
        <v/>
      </c>
      <c r="AG116" s="2" t="str">
        <f ca="1">IFERROR(__xludf.DUMMYFUNCTION("""COMPUTED_VALUE"""),"")</f>
        <v/>
      </c>
      <c r="AH116" s="2" t="str">
        <f ca="1">IFERROR(__xludf.DUMMYFUNCTION("""COMPUTED_VALUE"""),"")</f>
        <v/>
      </c>
      <c r="AI116" s="2" t="str">
        <f ca="1">IFERROR(__xludf.DUMMYFUNCTION("""COMPUTED_VALUE"""),"")</f>
        <v/>
      </c>
      <c r="AJ116" s="2" t="str">
        <f ca="1">IFERROR(__xludf.DUMMYFUNCTION("""COMPUTED_VALUE"""),"")</f>
        <v/>
      </c>
      <c r="AK116" s="2" t="str">
        <f ca="1">IFERROR(__xludf.DUMMYFUNCTION("""COMPUTED_VALUE"""),"")</f>
        <v/>
      </c>
      <c r="AL116" s="2" t="str">
        <f ca="1">IFERROR(__xludf.DUMMYFUNCTION("""COMPUTED_VALUE"""),"")</f>
        <v/>
      </c>
      <c r="AM116" s="2" t="str">
        <f ca="1">IFERROR(__xludf.DUMMYFUNCTION("""COMPUTED_VALUE"""),"")</f>
        <v/>
      </c>
      <c r="AN116" s="2" t="str">
        <f ca="1">IFERROR(__xludf.DUMMYFUNCTION("""COMPUTED_VALUE"""),"")</f>
        <v/>
      </c>
      <c r="AO116" s="2" t="str">
        <f ca="1">IFERROR(__xludf.DUMMYFUNCTION("""COMPUTED_VALUE"""),"")</f>
        <v/>
      </c>
      <c r="AP116" s="2" t="str">
        <f ca="1">IFERROR(__xludf.DUMMYFUNCTION("""COMPUTED_VALUE"""),"")</f>
        <v/>
      </c>
      <c r="AQ116" s="2" t="str">
        <f ca="1">IFERROR(__xludf.DUMMYFUNCTION("""COMPUTED_VALUE"""),"")</f>
        <v/>
      </c>
      <c r="AR116" s="2" t="str">
        <f ca="1">IFERROR(__xludf.DUMMYFUNCTION("""COMPUTED_VALUE"""),"")</f>
        <v/>
      </c>
      <c r="AS116" s="2" t="str">
        <f ca="1">IFERROR(__xludf.DUMMYFUNCTION("""COMPUTED_VALUE"""),"")</f>
        <v/>
      </c>
      <c r="AT116" s="2" t="str">
        <f ca="1">IFERROR(__xludf.DUMMYFUNCTION("""COMPUTED_VALUE"""),"")</f>
        <v/>
      </c>
      <c r="AU116" s="2" t="str">
        <f ca="1">IFERROR(__xludf.DUMMYFUNCTION("""COMPUTED_VALUE"""),"")</f>
        <v/>
      </c>
      <c r="AV116" s="2" t="str">
        <f ca="1">IFERROR(__xludf.DUMMYFUNCTION("""COMPUTED_VALUE"""),"")</f>
        <v/>
      </c>
      <c r="AW116" s="2" t="str">
        <f ca="1">IFERROR(__xludf.DUMMYFUNCTION("""COMPUTED_VALUE"""),"")</f>
        <v/>
      </c>
      <c r="AX116" s="2" t="str">
        <f ca="1">IFERROR(__xludf.DUMMYFUNCTION("""COMPUTED_VALUE"""),"")</f>
        <v/>
      </c>
      <c r="AY116" s="2" t="str">
        <f ca="1">IFERROR(__xludf.DUMMYFUNCTION("""COMPUTED_VALUE"""),"")</f>
        <v/>
      </c>
      <c r="AZ116" s="2" t="str">
        <f ca="1">IFERROR(__xludf.DUMMYFUNCTION("""COMPUTED_VALUE"""),"")</f>
        <v/>
      </c>
      <c r="BA116" s="2" t="str">
        <f ca="1">IFERROR(__xludf.DUMMYFUNCTION("""COMPUTED_VALUE"""),"")</f>
        <v/>
      </c>
      <c r="BB116" s="2" t="str">
        <f ca="1">IFERROR(__xludf.DUMMYFUNCTION("""COMPUTED_VALUE"""),"")</f>
        <v/>
      </c>
      <c r="BC116" s="2" t="str">
        <f ca="1">IFERROR(__xludf.DUMMYFUNCTION("""COMPUTED_VALUE"""),"")</f>
        <v/>
      </c>
      <c r="BD116" s="2" t="str">
        <f ca="1">IFERROR(__xludf.DUMMYFUNCTION("""COMPUTED_VALUE"""),"")</f>
        <v/>
      </c>
      <c r="BE116" s="2" t="str">
        <f ca="1">IFERROR(__xludf.DUMMYFUNCTION("""COMPUTED_VALUE"""),"")</f>
        <v/>
      </c>
      <c r="BF116" t="str">
        <f ca="1">IFERROR(__xludf.DUMMYFUNCTION("""COMPUTED_VALUE"""),"")</f>
        <v/>
      </c>
      <c r="BG116" t="str">
        <f ca="1">IFERROR(__xludf.DUMMYFUNCTION("""COMPUTED_VALUE"""),"")</f>
        <v/>
      </c>
      <c r="BH116" t="str">
        <f ca="1">IFERROR(__xludf.DUMMYFUNCTION("""COMPUTED_VALUE"""),"")</f>
        <v/>
      </c>
      <c r="BI116" t="str">
        <f ca="1">IFERROR(__xludf.DUMMYFUNCTION("""COMPUTED_VALUE"""),"")</f>
        <v/>
      </c>
      <c r="BJ116" s="3" t="str">
        <f ca="1">IFERROR(__xludf.DUMMYFUNCTION("""COMPUTED_VALUE"""),"")</f>
        <v/>
      </c>
    </row>
    <row r="117" spans="1:62" ht="12.5" x14ac:dyDescent="0.25">
      <c r="A117" s="6">
        <f ca="1">IFERROR(__xludf.DUMMYFUNCTION("""COMPUTED_VALUE"""),43436.7450074768)</f>
        <v>43436.745007476798</v>
      </c>
      <c r="B117" s="2" t="str">
        <f ca="1">IFERROR(__xludf.DUMMYFUNCTION("""COMPUTED_VALUE"""),"Bay of Plenty")</f>
        <v>Bay of Plenty</v>
      </c>
      <c r="C117" s="2" t="str">
        <f ca="1">IFERROR(__xludf.DUMMYFUNCTION("""COMPUTED_VALUE"""),"Tx 38 - Pearl")</f>
        <v>Tx 38 - Pearl</v>
      </c>
      <c r="D117" s="10">
        <f ca="1">IFERROR(__xludf.DUMMYFUNCTION("""COMPUTED_VALUE"""),43214)</f>
        <v>43214</v>
      </c>
      <c r="E117" s="4">
        <f ca="1">IFERROR(__xludf.DUMMYFUNCTION("""COMPUTED_VALUE"""),0.83333333333212)</f>
        <v>0.83333333333212001</v>
      </c>
      <c r="F117" s="2" t="str">
        <f ca="1">IFERROR(__xludf.DUMMYFUNCTION("""COMPUTED_VALUE"""),"oioi rushlands, Saltmarsh - oposite cutwater rd")</f>
        <v>oioi rushlands, Saltmarsh - oposite cutwater rd</v>
      </c>
      <c r="G117" s="2" t="str">
        <f ca="1">IFERROR(__xludf.DUMMYFUNCTION("""COMPUTED_VALUE"""),"VHF (close approach): I followed the signal until I got within 50 m of the bird")</f>
        <v>VHF (close approach): I followed the signal until I got within 50 m of the bird</v>
      </c>
      <c r="H117" s="2" t="str">
        <f ca="1">IFERROR(__xludf.DUMMYFUNCTION("""COMPUTED_VALUE"""),"")</f>
        <v/>
      </c>
      <c r="I117" s="2" t="str">
        <f ca="1">IFERROR(__xludf.DUMMYFUNCTION("""COMPUTED_VALUE"""),"")</f>
        <v/>
      </c>
      <c r="J117" s="2" t="str">
        <f ca="1">IFERROR(__xludf.DUMMYFUNCTION("""COMPUTED_VALUE"""),"")</f>
        <v/>
      </c>
      <c r="K117" s="2" t="str">
        <f ca="1">IFERROR(__xludf.DUMMYFUNCTION("""COMPUTED_VALUE"""),"")</f>
        <v/>
      </c>
      <c r="L117" s="2" t="str">
        <f ca="1">IFERROR(__xludf.DUMMYFUNCTION("""COMPUTED_VALUE"""),"Yes - it flushed")</f>
        <v>Yes - it flushed</v>
      </c>
      <c r="M117" s="5">
        <f ca="1">IFERROR(__xludf.DUMMYFUNCTION("""COMPUTED_VALUE"""),1907595)</f>
        <v>1907595</v>
      </c>
      <c r="N117" s="5">
        <f ca="1">IFERROR(__xludf.DUMMYFUNCTION("""COMPUTED_VALUE"""),5812965)</f>
        <v>5812965</v>
      </c>
      <c r="O117" s="2" t="str">
        <f ca="1">IFERROR(__xludf.DUMMYFUNCTION("""COMPUTED_VALUE"""),"")</f>
        <v/>
      </c>
      <c r="P117" s="2" t="str">
        <f ca="1">IFERROR(__xludf.DUMMYFUNCTION("""COMPUTED_VALUE"""),"N/A - not grazed")</f>
        <v>N/A - not grazed</v>
      </c>
      <c r="Q117" s="2" t="str">
        <f ca="1">IFERROR(__xludf.DUMMYFUNCTION("""COMPUTED_VALUE"""),"Don't know")</f>
        <v>Don't know</v>
      </c>
      <c r="R117" s="2" t="str">
        <f ca="1">IFERROR(__xludf.DUMMYFUNCTION("""COMPUTED_VALUE"""),"dont know")</f>
        <v>dont know</v>
      </c>
      <c r="S117" s="2" t="str">
        <f ca="1">IFERROR(__xludf.DUMMYFUNCTION("""COMPUTED_VALUE"""),"see map")</f>
        <v>see map</v>
      </c>
      <c r="T117" s="2" t="str">
        <f ca="1">IFERROR(__xludf.DUMMYFUNCTION("""COMPUTED_VALUE"""),"oioi rushlands - saltmarsh opposite cutwater rd")</f>
        <v>oioi rushlands - saltmarsh opposite cutwater rd</v>
      </c>
      <c r="U117" s="2" t="str">
        <f ca="1">IFERROR(__xludf.DUMMYFUNCTION("""COMPUTED_VALUE"""),"WAMs est. check emma gps for more accurate fix?    -   Karl, Rhys &amp; Emma with thermal camera. also spotted 3rd bird. TX38 much louder at night. ")</f>
        <v xml:space="preserve">WAMs est. check emma gps for more accurate fix?    -   Karl, Rhys &amp; Emma with thermal camera. also spotted 3rd bird. TX38 much louder at night. </v>
      </c>
      <c r="V117" s="2" t="str">
        <f ca="1">IFERROR(__xludf.DUMMYFUNCTION("""COMPUTED_VALUE"""),"")</f>
        <v/>
      </c>
      <c r="W117" s="2" t="str">
        <f ca="1">IFERROR(__xludf.DUMMYFUNCTION("""COMPUTED_VALUE"""),"")</f>
        <v/>
      </c>
      <c r="X117" s="2" t="str">
        <f ca="1">IFERROR(__xludf.DUMMYFUNCTION("""COMPUTED_VALUE"""),"")</f>
        <v/>
      </c>
      <c r="Y117" s="2" t="str">
        <f ca="1">IFERROR(__xludf.DUMMYFUNCTION("""COMPUTED_VALUE"""),"")</f>
        <v/>
      </c>
      <c r="Z117" s="2" t="str">
        <f ca="1">IFERROR(__xludf.DUMMYFUNCTION("""COMPUTED_VALUE"""),"")</f>
        <v/>
      </c>
      <c r="AA117" s="2" t="str">
        <f ca="1">IFERROR(__xludf.DUMMYFUNCTION("""COMPUTED_VALUE"""),"")</f>
        <v/>
      </c>
      <c r="AB117" s="2" t="str">
        <f ca="1">IFERROR(__xludf.DUMMYFUNCTION("""COMPUTED_VALUE"""),"")</f>
        <v/>
      </c>
      <c r="AC117" s="2" t="str">
        <f ca="1">IFERROR(__xludf.DUMMYFUNCTION("""COMPUTED_VALUE"""),"")</f>
        <v/>
      </c>
      <c r="AD117" s="2" t="str">
        <f ca="1">IFERROR(__xludf.DUMMYFUNCTION("""COMPUTED_VALUE"""),"")</f>
        <v/>
      </c>
      <c r="AE117" s="2" t="str">
        <f ca="1">IFERROR(__xludf.DUMMYFUNCTION("""COMPUTED_VALUE"""),"")</f>
        <v/>
      </c>
      <c r="AF117" s="2" t="str">
        <f ca="1">IFERROR(__xludf.DUMMYFUNCTION("""COMPUTED_VALUE"""),"")</f>
        <v/>
      </c>
      <c r="AG117" s="2" t="str">
        <f ca="1">IFERROR(__xludf.DUMMYFUNCTION("""COMPUTED_VALUE"""),"")</f>
        <v/>
      </c>
      <c r="AH117" s="2" t="str">
        <f ca="1">IFERROR(__xludf.DUMMYFUNCTION("""COMPUTED_VALUE"""),"")</f>
        <v/>
      </c>
      <c r="AI117" s="2" t="str">
        <f ca="1">IFERROR(__xludf.DUMMYFUNCTION("""COMPUTED_VALUE"""),"")</f>
        <v/>
      </c>
      <c r="AJ117" s="2" t="str">
        <f ca="1">IFERROR(__xludf.DUMMYFUNCTION("""COMPUTED_VALUE"""),"")</f>
        <v/>
      </c>
      <c r="AK117" s="2" t="str">
        <f ca="1">IFERROR(__xludf.DUMMYFUNCTION("""COMPUTED_VALUE"""),"")</f>
        <v/>
      </c>
      <c r="AL117" s="2" t="str">
        <f ca="1">IFERROR(__xludf.DUMMYFUNCTION("""COMPUTED_VALUE"""),"")</f>
        <v/>
      </c>
      <c r="AM117" s="2" t="str">
        <f ca="1">IFERROR(__xludf.DUMMYFUNCTION("""COMPUTED_VALUE"""),"")</f>
        <v/>
      </c>
      <c r="AN117" s="2" t="str">
        <f ca="1">IFERROR(__xludf.DUMMYFUNCTION("""COMPUTED_VALUE"""),"")</f>
        <v/>
      </c>
      <c r="AO117" s="2" t="str">
        <f ca="1">IFERROR(__xludf.DUMMYFUNCTION("""COMPUTED_VALUE"""),"")</f>
        <v/>
      </c>
      <c r="AP117" s="2" t="str">
        <f ca="1">IFERROR(__xludf.DUMMYFUNCTION("""COMPUTED_VALUE"""),"")</f>
        <v/>
      </c>
      <c r="AQ117" s="2" t="str">
        <f ca="1">IFERROR(__xludf.DUMMYFUNCTION("""COMPUTED_VALUE"""),"")</f>
        <v/>
      </c>
      <c r="AR117" s="2" t="str">
        <f ca="1">IFERROR(__xludf.DUMMYFUNCTION("""COMPUTED_VALUE"""),"")</f>
        <v/>
      </c>
      <c r="AS117" s="2" t="str">
        <f ca="1">IFERROR(__xludf.DUMMYFUNCTION("""COMPUTED_VALUE"""),"")</f>
        <v/>
      </c>
      <c r="AT117" s="2" t="str">
        <f ca="1">IFERROR(__xludf.DUMMYFUNCTION("""COMPUTED_VALUE"""),"")</f>
        <v/>
      </c>
      <c r="AU117" s="2" t="str">
        <f ca="1">IFERROR(__xludf.DUMMYFUNCTION("""COMPUTED_VALUE"""),"")</f>
        <v/>
      </c>
      <c r="AV117" s="2" t="str">
        <f ca="1">IFERROR(__xludf.DUMMYFUNCTION("""COMPUTED_VALUE"""),"")</f>
        <v/>
      </c>
      <c r="AW117" s="2" t="str">
        <f ca="1">IFERROR(__xludf.DUMMYFUNCTION("""COMPUTED_VALUE"""),"")</f>
        <v/>
      </c>
      <c r="AX117" s="2" t="str">
        <f ca="1">IFERROR(__xludf.DUMMYFUNCTION("""COMPUTED_VALUE"""),"")</f>
        <v/>
      </c>
      <c r="AY117" s="2" t="str">
        <f ca="1">IFERROR(__xludf.DUMMYFUNCTION("""COMPUTED_VALUE"""),"")</f>
        <v/>
      </c>
      <c r="AZ117" s="2" t="str">
        <f ca="1">IFERROR(__xludf.DUMMYFUNCTION("""COMPUTED_VALUE"""),"")</f>
        <v/>
      </c>
      <c r="BA117" s="2" t="str">
        <f ca="1">IFERROR(__xludf.DUMMYFUNCTION("""COMPUTED_VALUE"""),"")</f>
        <v/>
      </c>
      <c r="BB117" s="2" t="str">
        <f ca="1">IFERROR(__xludf.DUMMYFUNCTION("""COMPUTED_VALUE"""),"")</f>
        <v/>
      </c>
      <c r="BC117" s="2" t="str">
        <f ca="1">IFERROR(__xludf.DUMMYFUNCTION("""COMPUTED_VALUE"""),"")</f>
        <v/>
      </c>
      <c r="BD117" s="2" t="str">
        <f ca="1">IFERROR(__xludf.DUMMYFUNCTION("""COMPUTED_VALUE"""),"")</f>
        <v/>
      </c>
      <c r="BE117" s="2" t="str">
        <f ca="1">IFERROR(__xludf.DUMMYFUNCTION("""COMPUTED_VALUE"""),"")</f>
        <v/>
      </c>
      <c r="BF117" t="str">
        <f ca="1">IFERROR(__xludf.DUMMYFUNCTION("""COMPUTED_VALUE"""),"")</f>
        <v/>
      </c>
      <c r="BG117" t="str">
        <f ca="1">IFERROR(__xludf.DUMMYFUNCTION("""COMPUTED_VALUE"""),"")</f>
        <v/>
      </c>
      <c r="BH117" t="str">
        <f ca="1">IFERROR(__xludf.DUMMYFUNCTION("""COMPUTED_VALUE"""),"")</f>
        <v/>
      </c>
      <c r="BI117" t="str">
        <f ca="1">IFERROR(__xludf.DUMMYFUNCTION("""COMPUTED_VALUE"""),"")</f>
        <v/>
      </c>
      <c r="BJ117" s="3" t="str">
        <f ca="1">IFERROR(__xludf.DUMMYFUNCTION("""COMPUTED_VALUE"""),"")</f>
        <v/>
      </c>
    </row>
    <row r="118" spans="1:62" ht="12.5" x14ac:dyDescent="0.25">
      <c r="A118" s="6">
        <f ca="1">IFERROR(__xludf.DUMMYFUNCTION("""COMPUTED_VALUE"""),43436.7525812152)</f>
        <v>43436.752581215202</v>
      </c>
      <c r="B118" s="2" t="str">
        <f ca="1">IFERROR(__xludf.DUMMYFUNCTION("""COMPUTED_VALUE"""),"Bay of Plenty")</f>
        <v>Bay of Plenty</v>
      </c>
      <c r="C118" s="2" t="str">
        <f ca="1">IFERROR(__xludf.DUMMYFUNCTION("""COMPUTED_VALUE"""),"Tx 38 - Pearl")</f>
        <v>Tx 38 - Pearl</v>
      </c>
      <c r="D118" s="10">
        <f ca="1">IFERROR(__xludf.DUMMYFUNCTION("""COMPUTED_VALUE"""),43182)</f>
        <v>43182</v>
      </c>
      <c r="E118" s="4">
        <f ca="1">IFERROR(__xludf.DUMMYFUNCTION("""COMPUTED_VALUE"""),0.5625)</f>
        <v>0.5625</v>
      </c>
      <c r="F118" s="2" t="str">
        <f ca="1">IFERROR(__xludf.DUMMYFUNCTION("""COMPUTED_VALUE"""),"Farmland - Paddocks off cutwater rd")</f>
        <v>Farmland - Paddocks off cutwater rd</v>
      </c>
      <c r="G118" s="2" t="str">
        <f ca="1">IFERROR(__xludf.DUMMYFUNCTION("""COMPUTED_VALUE"""),"VHF (close approach): I followed the signal until I got within 50 m of the bird")</f>
        <v>VHF (close approach): I followed the signal until I got within 50 m of the bird</v>
      </c>
      <c r="H118" s="2" t="str">
        <f ca="1">IFERROR(__xludf.DUMMYFUNCTION("""COMPUTED_VALUE"""),"")</f>
        <v/>
      </c>
      <c r="I118" s="2" t="str">
        <f ca="1">IFERROR(__xludf.DUMMYFUNCTION("""COMPUTED_VALUE"""),"")</f>
        <v/>
      </c>
      <c r="J118" s="2" t="str">
        <f ca="1">IFERROR(__xludf.DUMMYFUNCTION("""COMPUTED_VALUE"""),"")</f>
        <v/>
      </c>
      <c r="K118" s="2" t="str">
        <f ca="1">IFERROR(__xludf.DUMMYFUNCTION("""COMPUTED_VALUE"""),"")</f>
        <v/>
      </c>
      <c r="L118" s="2" t="str">
        <f ca="1">IFERROR(__xludf.DUMMYFUNCTION("""COMPUTED_VALUE"""),"No - I got very close to the bird but it was well hidden in the vegetation")</f>
        <v>No - I got very close to the bird but it was well hidden in the vegetation</v>
      </c>
      <c r="M118" s="5">
        <f ca="1">IFERROR(__xludf.DUMMYFUNCTION("""COMPUTED_VALUE"""),1907194)</f>
        <v>1907194</v>
      </c>
      <c r="N118" s="5">
        <f ca="1">IFERROR(__xludf.DUMMYFUNCTION("""COMPUTED_VALUE"""),5812652)</f>
        <v>5812652</v>
      </c>
      <c r="O118" s="2" t="str">
        <f ca="1">IFERROR(__xludf.DUMMYFUNCTION("""COMPUTED_VALUE"""),"")</f>
        <v/>
      </c>
      <c r="P118" s="2" t="str">
        <f ca="1">IFERROR(__xludf.DUMMYFUNCTION("""COMPUTED_VALUE"""),"Yes")</f>
        <v>Yes</v>
      </c>
      <c r="Q118" s="2" t="str">
        <f ca="1">IFERROR(__xludf.DUMMYFUNCTION("""COMPUTED_VALUE"""),"Dry")</f>
        <v>Dry</v>
      </c>
      <c r="R118" s="2" t="str">
        <f ca="1">IFERROR(__xludf.DUMMYFUNCTION("""COMPUTED_VALUE"""),"dont know")</f>
        <v>dont know</v>
      </c>
      <c r="S118" s="2" t="str">
        <f ca="1">IFERROR(__xludf.DUMMYFUNCTION("""COMPUTED_VALUE"""),"dont know")</f>
        <v>dont know</v>
      </c>
      <c r="T118" s="2" t="str">
        <f ca="1">IFERROR(__xludf.DUMMYFUNCTION("""COMPUTED_VALUE"""),"farmland - paddocks ")</f>
        <v xml:space="preserve">farmland - paddocks </v>
      </c>
      <c r="U118" s="2" t="str">
        <f ca="1">IFERROR(__xludf.DUMMYFUNCTION("""COMPUTED_VALUE"""),"+- 50m Transmitter very faint difficult to get fix. But still on paddocks of cutwater rd")</f>
        <v>+- 50m Transmitter very faint difficult to get fix. But still on paddocks of cutwater rd</v>
      </c>
      <c r="V118" s="2" t="str">
        <f ca="1">IFERROR(__xludf.DUMMYFUNCTION("""COMPUTED_VALUE"""),"")</f>
        <v/>
      </c>
      <c r="W118" s="2" t="str">
        <f ca="1">IFERROR(__xludf.DUMMYFUNCTION("""COMPUTED_VALUE"""),"")</f>
        <v/>
      </c>
      <c r="X118" s="2" t="str">
        <f ca="1">IFERROR(__xludf.DUMMYFUNCTION("""COMPUTED_VALUE"""),"")</f>
        <v/>
      </c>
      <c r="Y118" s="2" t="str">
        <f ca="1">IFERROR(__xludf.DUMMYFUNCTION("""COMPUTED_VALUE"""),"")</f>
        <v/>
      </c>
      <c r="Z118" s="2" t="str">
        <f ca="1">IFERROR(__xludf.DUMMYFUNCTION("""COMPUTED_VALUE"""),"")</f>
        <v/>
      </c>
      <c r="AA118" s="2" t="str">
        <f ca="1">IFERROR(__xludf.DUMMYFUNCTION("""COMPUTED_VALUE"""),"")</f>
        <v/>
      </c>
      <c r="AB118" s="2" t="str">
        <f ca="1">IFERROR(__xludf.DUMMYFUNCTION("""COMPUTED_VALUE"""),"")</f>
        <v/>
      </c>
      <c r="AC118" s="2" t="str">
        <f ca="1">IFERROR(__xludf.DUMMYFUNCTION("""COMPUTED_VALUE"""),"")</f>
        <v/>
      </c>
      <c r="AD118" s="2" t="str">
        <f ca="1">IFERROR(__xludf.DUMMYFUNCTION("""COMPUTED_VALUE"""),"")</f>
        <v/>
      </c>
      <c r="AE118" s="2" t="str">
        <f ca="1">IFERROR(__xludf.DUMMYFUNCTION("""COMPUTED_VALUE"""),"")</f>
        <v/>
      </c>
      <c r="AF118" s="2" t="str">
        <f ca="1">IFERROR(__xludf.DUMMYFUNCTION("""COMPUTED_VALUE"""),"")</f>
        <v/>
      </c>
      <c r="AG118" s="2" t="str">
        <f ca="1">IFERROR(__xludf.DUMMYFUNCTION("""COMPUTED_VALUE"""),"")</f>
        <v/>
      </c>
      <c r="AH118" s="2" t="str">
        <f ca="1">IFERROR(__xludf.DUMMYFUNCTION("""COMPUTED_VALUE"""),"")</f>
        <v/>
      </c>
      <c r="AI118" s="2" t="str">
        <f ca="1">IFERROR(__xludf.DUMMYFUNCTION("""COMPUTED_VALUE"""),"")</f>
        <v/>
      </c>
      <c r="AJ118" s="2" t="str">
        <f ca="1">IFERROR(__xludf.DUMMYFUNCTION("""COMPUTED_VALUE"""),"")</f>
        <v/>
      </c>
      <c r="AK118" s="2" t="str">
        <f ca="1">IFERROR(__xludf.DUMMYFUNCTION("""COMPUTED_VALUE"""),"")</f>
        <v/>
      </c>
      <c r="AL118" s="2" t="str">
        <f ca="1">IFERROR(__xludf.DUMMYFUNCTION("""COMPUTED_VALUE"""),"")</f>
        <v/>
      </c>
      <c r="AM118" s="2" t="str">
        <f ca="1">IFERROR(__xludf.DUMMYFUNCTION("""COMPUTED_VALUE"""),"")</f>
        <v/>
      </c>
      <c r="AN118" s="2" t="str">
        <f ca="1">IFERROR(__xludf.DUMMYFUNCTION("""COMPUTED_VALUE"""),"")</f>
        <v/>
      </c>
      <c r="AO118" s="2" t="str">
        <f ca="1">IFERROR(__xludf.DUMMYFUNCTION("""COMPUTED_VALUE"""),"")</f>
        <v/>
      </c>
      <c r="AP118" s="2" t="str">
        <f ca="1">IFERROR(__xludf.DUMMYFUNCTION("""COMPUTED_VALUE"""),"")</f>
        <v/>
      </c>
      <c r="AQ118" s="2" t="str">
        <f ca="1">IFERROR(__xludf.DUMMYFUNCTION("""COMPUTED_VALUE"""),"")</f>
        <v/>
      </c>
      <c r="AR118" s="2" t="str">
        <f ca="1">IFERROR(__xludf.DUMMYFUNCTION("""COMPUTED_VALUE"""),"")</f>
        <v/>
      </c>
      <c r="AS118" s="2" t="str">
        <f ca="1">IFERROR(__xludf.DUMMYFUNCTION("""COMPUTED_VALUE"""),"")</f>
        <v/>
      </c>
      <c r="AT118" s="2" t="str">
        <f ca="1">IFERROR(__xludf.DUMMYFUNCTION("""COMPUTED_VALUE"""),"")</f>
        <v/>
      </c>
      <c r="AU118" s="2" t="str">
        <f ca="1">IFERROR(__xludf.DUMMYFUNCTION("""COMPUTED_VALUE"""),"")</f>
        <v/>
      </c>
      <c r="AV118" s="2" t="str">
        <f ca="1">IFERROR(__xludf.DUMMYFUNCTION("""COMPUTED_VALUE"""),"")</f>
        <v/>
      </c>
      <c r="AW118" s="2" t="str">
        <f ca="1">IFERROR(__xludf.DUMMYFUNCTION("""COMPUTED_VALUE"""),"")</f>
        <v/>
      </c>
      <c r="AX118" s="2" t="str">
        <f ca="1">IFERROR(__xludf.DUMMYFUNCTION("""COMPUTED_VALUE"""),"")</f>
        <v/>
      </c>
      <c r="AY118" s="2" t="str">
        <f ca="1">IFERROR(__xludf.DUMMYFUNCTION("""COMPUTED_VALUE"""),"")</f>
        <v/>
      </c>
      <c r="AZ118" s="2" t="str">
        <f ca="1">IFERROR(__xludf.DUMMYFUNCTION("""COMPUTED_VALUE"""),"")</f>
        <v/>
      </c>
      <c r="BA118" s="2" t="str">
        <f ca="1">IFERROR(__xludf.DUMMYFUNCTION("""COMPUTED_VALUE"""),"")</f>
        <v/>
      </c>
      <c r="BB118" s="2" t="str">
        <f ca="1">IFERROR(__xludf.DUMMYFUNCTION("""COMPUTED_VALUE"""),"")</f>
        <v/>
      </c>
      <c r="BC118" s="2" t="str">
        <f ca="1">IFERROR(__xludf.DUMMYFUNCTION("""COMPUTED_VALUE"""),"")</f>
        <v/>
      </c>
      <c r="BD118" s="2" t="str">
        <f ca="1">IFERROR(__xludf.DUMMYFUNCTION("""COMPUTED_VALUE"""),"")</f>
        <v/>
      </c>
      <c r="BE118" s="2" t="str">
        <f ca="1">IFERROR(__xludf.DUMMYFUNCTION("""COMPUTED_VALUE"""),"")</f>
        <v/>
      </c>
      <c r="BF118" t="str">
        <f ca="1">IFERROR(__xludf.DUMMYFUNCTION("""COMPUTED_VALUE"""),"")</f>
        <v/>
      </c>
      <c r="BG118" t="str">
        <f ca="1">IFERROR(__xludf.DUMMYFUNCTION("""COMPUTED_VALUE"""),"")</f>
        <v/>
      </c>
      <c r="BH118" t="str">
        <f ca="1">IFERROR(__xludf.DUMMYFUNCTION("""COMPUTED_VALUE"""),"")</f>
        <v/>
      </c>
      <c r="BI118" t="str">
        <f ca="1">IFERROR(__xludf.DUMMYFUNCTION("""COMPUTED_VALUE"""),"")</f>
        <v/>
      </c>
      <c r="BJ118" s="3" t="str">
        <f ca="1">IFERROR(__xludf.DUMMYFUNCTION("""COMPUTED_VALUE"""),"")</f>
        <v/>
      </c>
    </row>
    <row r="119" spans="1:62" ht="12.5" x14ac:dyDescent="0.25">
      <c r="A119" s="6">
        <f ca="1">IFERROR(__xludf.DUMMYFUNCTION("""COMPUTED_VALUE"""),43436.7547003703)</f>
        <v>43436.7547003703</v>
      </c>
      <c r="B119" s="2" t="str">
        <f ca="1">IFERROR(__xludf.DUMMYFUNCTION("""COMPUTED_VALUE"""),"Bay of Plenty")</f>
        <v>Bay of Plenty</v>
      </c>
      <c r="C119" s="2" t="str">
        <f ca="1">IFERROR(__xludf.DUMMYFUNCTION("""COMPUTED_VALUE"""),"Tx 54")</f>
        <v>Tx 54</v>
      </c>
      <c r="D119" s="10">
        <f ca="1">IFERROR(__xludf.DUMMYFUNCTION("""COMPUTED_VALUE"""),43436)</f>
        <v>43436</v>
      </c>
      <c r="E119" s="4">
        <f ca="1">IFERROR(__xludf.DUMMYFUNCTION("""COMPUTED_VALUE"""),0.70833333333212)</f>
        <v>0.70833333333212001</v>
      </c>
      <c r="F119" s="2" t="str">
        <f ca="1">IFERROR(__xludf.DUMMYFUNCTION("""COMPUTED_VALUE"""),"Little Waihi")</f>
        <v>Little Waihi</v>
      </c>
      <c r="G119" s="2" t="str">
        <f ca="1">IFERROR(__xludf.DUMMYFUNCTION("""COMPUTED_VALUE"""),"VHF (triangulation): I triangulated the bird with at least three bearings")</f>
        <v>VHF (triangulation): I triangulated the bird with at least three bearings</v>
      </c>
      <c r="H119" s="2" t="str">
        <f ca="1">IFERROR(__xludf.DUMMYFUNCTION("""COMPUTED_VALUE"""),"")</f>
        <v/>
      </c>
      <c r="I119" s="2" t="str">
        <f ca="1">IFERROR(__xludf.DUMMYFUNCTION("""COMPUTED_VALUE"""),"")</f>
        <v/>
      </c>
      <c r="J119" s="2" t="str">
        <f ca="1">IFERROR(__xludf.DUMMYFUNCTION("""COMPUTED_VALUE"""),"")</f>
        <v/>
      </c>
      <c r="K119" s="2" t="str">
        <f ca="1">IFERROR(__xludf.DUMMYFUNCTION("""COMPUTED_VALUE"""),"")</f>
        <v/>
      </c>
      <c r="L119" s="2" t="str">
        <f ca="1">IFERROR(__xludf.DUMMYFUNCTION("""COMPUTED_VALUE"""),"")</f>
        <v/>
      </c>
      <c r="M119" s="5" t="str">
        <f ca="1">IFERROR(__xludf.DUMMYFUNCTION("""COMPUTED_VALUE"""),"")</f>
        <v/>
      </c>
      <c r="N119" s="5" t="str">
        <f ca="1">IFERROR(__xludf.DUMMYFUNCTION("""COMPUTED_VALUE"""),"")</f>
        <v/>
      </c>
      <c r="O119" s="2" t="str">
        <f ca="1">IFERROR(__xludf.DUMMYFUNCTION("""COMPUTED_VALUE"""),"")</f>
        <v/>
      </c>
      <c r="P119" s="2" t="str">
        <f ca="1">IFERROR(__xludf.DUMMYFUNCTION("""COMPUTED_VALUE"""),"")</f>
        <v/>
      </c>
      <c r="Q119" s="2" t="str">
        <f ca="1">IFERROR(__xludf.DUMMYFUNCTION("""COMPUTED_VALUE"""),"")</f>
        <v/>
      </c>
      <c r="R119" s="2" t="str">
        <f ca="1">IFERROR(__xludf.DUMMYFUNCTION("""COMPUTED_VALUE"""),"")</f>
        <v/>
      </c>
      <c r="S119" s="2" t="str">
        <f ca="1">IFERROR(__xludf.DUMMYFUNCTION("""COMPUTED_VALUE"""),"")</f>
        <v/>
      </c>
      <c r="T119" s="2" t="str">
        <f ca="1">IFERROR(__xludf.DUMMYFUNCTION("""COMPUTED_VALUE"""),"")</f>
        <v/>
      </c>
      <c r="U119" s="2" t="str">
        <f ca="1">IFERROR(__xludf.DUMMYFUNCTION("""COMPUTED_VALUE"""),"")</f>
        <v/>
      </c>
      <c r="V119" s="2" t="str">
        <f ca="1">IFERROR(__xludf.DUMMYFUNCTION("""COMPUTED_VALUE"""),"")</f>
        <v/>
      </c>
      <c r="W119" s="2" t="str">
        <f ca="1">IFERROR(__xludf.DUMMYFUNCTION("""COMPUTED_VALUE"""),"")</f>
        <v/>
      </c>
      <c r="X119" s="2" t="str">
        <f ca="1">IFERROR(__xludf.DUMMYFUNCTION("""COMPUTED_VALUE"""),"")</f>
        <v/>
      </c>
      <c r="Y119" s="2" t="str">
        <f ca="1">IFERROR(__xludf.DUMMYFUNCTION("""COMPUTED_VALUE"""),"")</f>
        <v/>
      </c>
      <c r="Z119" s="2" t="str">
        <f ca="1">IFERROR(__xludf.DUMMYFUNCTION("""COMPUTED_VALUE"""),"")</f>
        <v/>
      </c>
      <c r="AA119" s="2">
        <f ca="1">IFERROR(__xludf.DUMMYFUNCTION("""COMPUTED_VALUE"""),1907614)</f>
        <v>1907614</v>
      </c>
      <c r="AB119" s="2">
        <f ca="1">IFERROR(__xludf.DUMMYFUNCTION("""COMPUTED_VALUE"""),5812554)</f>
        <v>5812554</v>
      </c>
      <c r="AC119" s="2">
        <f ca="1">IFERROR(__xludf.DUMMYFUNCTION("""COMPUTED_VALUE"""),220)</f>
        <v>220</v>
      </c>
      <c r="AD119" s="2" t="str">
        <f ca="1">IFERROR(__xludf.DUMMYFUNCTION("""COMPUTED_VALUE"""),"Medium - Signal was good but bird was not close.")</f>
        <v>Medium - Signal was good but bird was not close.</v>
      </c>
      <c r="AE119" s="2">
        <f ca="1">IFERROR(__xludf.DUMMYFUNCTION("""COMPUTED_VALUE"""),1907758)</f>
        <v>1907758</v>
      </c>
      <c r="AF119" s="2">
        <f ca="1">IFERROR(__xludf.DUMMYFUNCTION("""COMPUTED_VALUE"""),5811929)</f>
        <v>5811929</v>
      </c>
      <c r="AG119" s="2">
        <f ca="1">IFERROR(__xludf.DUMMYFUNCTION("""COMPUTED_VALUE"""),260)</f>
        <v>260</v>
      </c>
      <c r="AH119" s="2" t="str">
        <f ca="1">IFERROR(__xludf.DUMMYFUNCTION("""COMPUTED_VALUE"""),"Medium - Signal was good but bird was not close.")</f>
        <v>Medium - Signal was good but bird was not close.</v>
      </c>
      <c r="AI119" s="2">
        <f ca="1">IFERROR(__xludf.DUMMYFUNCTION("""COMPUTED_VALUE"""),1906528)</f>
        <v>1906528</v>
      </c>
      <c r="AJ119" s="2">
        <f ca="1">IFERROR(__xludf.DUMMYFUNCTION("""COMPUTED_VALUE"""),5811094)</f>
        <v>5811094</v>
      </c>
      <c r="AK119" s="2">
        <f ca="1">IFERROR(__xludf.DUMMYFUNCTION("""COMPUTED_VALUE"""),60)</f>
        <v>60</v>
      </c>
      <c r="AL119" s="2" t="str">
        <f ca="1">IFERROR(__xludf.DUMMYFUNCTION("""COMPUTED_VALUE"""),"Medium - Signal was good but bird was not close.")</f>
        <v>Medium - Signal was good but bird was not close.</v>
      </c>
      <c r="AM119" s="2" t="str">
        <f ca="1">IFERROR(__xludf.DUMMYFUNCTION("""COMPUTED_VALUE"""),"")</f>
        <v/>
      </c>
      <c r="AN119" s="2" t="str">
        <f ca="1">IFERROR(__xludf.DUMMYFUNCTION("""COMPUTED_VALUE"""),"")</f>
        <v/>
      </c>
      <c r="AO119" s="2" t="str">
        <f ca="1">IFERROR(__xludf.DUMMYFUNCTION("""COMPUTED_VALUE"""),"")</f>
        <v/>
      </c>
      <c r="AP119" s="2" t="str">
        <f ca="1">IFERROR(__xludf.DUMMYFUNCTION("""COMPUTED_VALUE"""),"")</f>
        <v/>
      </c>
      <c r="AQ119" s="2" t="str">
        <f ca="1">IFERROR(__xludf.DUMMYFUNCTION("""COMPUTED_VALUE"""),"")</f>
        <v/>
      </c>
      <c r="AR119" s="2" t="str">
        <f ca="1">IFERROR(__xludf.DUMMYFUNCTION("""COMPUTED_VALUE"""),"")</f>
        <v/>
      </c>
      <c r="AS119" s="2" t="str">
        <f ca="1">IFERROR(__xludf.DUMMYFUNCTION("""COMPUTED_VALUE"""),"")</f>
        <v/>
      </c>
      <c r="AT119" s="2" t="str">
        <f ca="1">IFERROR(__xludf.DUMMYFUNCTION("""COMPUTED_VALUE"""),"")</f>
        <v/>
      </c>
      <c r="AU119" s="2" t="str">
        <f ca="1">IFERROR(__xludf.DUMMYFUNCTION("""COMPUTED_VALUE"""),"about 500m inland from the estuary near Pongakawa canal. Drains very full.")</f>
        <v>about 500m inland from the estuary near Pongakawa canal. Drains very full.</v>
      </c>
      <c r="AV119" s="2" t="str">
        <f ca="1">IFERROR(__xludf.DUMMYFUNCTION("""COMPUTED_VALUE"""),"")</f>
        <v/>
      </c>
      <c r="AW119" s="2" t="str">
        <f ca="1">IFERROR(__xludf.DUMMYFUNCTION("""COMPUTED_VALUE"""),"")</f>
        <v/>
      </c>
      <c r="AX119" s="2" t="str">
        <f ca="1">IFERROR(__xludf.DUMMYFUNCTION("""COMPUTED_VALUE"""),"")</f>
        <v/>
      </c>
      <c r="AY119" s="2" t="str">
        <f ca="1">IFERROR(__xludf.DUMMYFUNCTION("""COMPUTED_VALUE"""),"")</f>
        <v/>
      </c>
      <c r="AZ119" s="2" t="str">
        <f ca="1">IFERROR(__xludf.DUMMYFUNCTION("""COMPUTED_VALUE"""),"")</f>
        <v/>
      </c>
      <c r="BA119" s="2" t="str">
        <f ca="1">IFERROR(__xludf.DUMMYFUNCTION("""COMPUTED_VALUE"""),"")</f>
        <v/>
      </c>
      <c r="BB119" s="2" t="str">
        <f ca="1">IFERROR(__xludf.DUMMYFUNCTION("""COMPUTED_VALUE"""),"")</f>
        <v/>
      </c>
      <c r="BC119" s="2" t="str">
        <f ca="1">IFERROR(__xludf.DUMMYFUNCTION("""COMPUTED_VALUE"""),"")</f>
        <v/>
      </c>
      <c r="BD119" s="2" t="str">
        <f ca="1">IFERROR(__xludf.DUMMYFUNCTION("""COMPUTED_VALUE"""),"")</f>
        <v/>
      </c>
      <c r="BE119" s="2" t="str">
        <f ca="1">IFERROR(__xludf.DUMMYFUNCTION("""COMPUTED_VALUE"""),"")</f>
        <v/>
      </c>
      <c r="BF119" t="str">
        <f ca="1">IFERROR(__xludf.DUMMYFUNCTION("""COMPUTED_VALUE"""),"")</f>
        <v/>
      </c>
      <c r="BG119" t="str">
        <f ca="1">IFERROR(__xludf.DUMMYFUNCTION("""COMPUTED_VALUE"""),"")</f>
        <v/>
      </c>
      <c r="BH119" t="str">
        <f ca="1">IFERROR(__xludf.DUMMYFUNCTION("""COMPUTED_VALUE"""),"")</f>
        <v/>
      </c>
      <c r="BI119" t="str">
        <f ca="1">IFERROR(__xludf.DUMMYFUNCTION("""COMPUTED_VALUE"""),"")</f>
        <v/>
      </c>
      <c r="BJ119" s="3" t="str">
        <f ca="1">IFERROR(__xludf.DUMMYFUNCTION("""COMPUTED_VALUE"""),"")</f>
        <v/>
      </c>
    </row>
    <row r="120" spans="1:62" ht="12.5" x14ac:dyDescent="0.25">
      <c r="A120" s="6">
        <f ca="1">IFERROR(__xludf.DUMMYFUNCTION("""COMPUTED_VALUE"""),43436.7577640972)</f>
        <v>43436.757764097201</v>
      </c>
      <c r="B120" s="2" t="str">
        <f ca="1">IFERROR(__xludf.DUMMYFUNCTION("""COMPUTED_VALUE"""),"Bay of Plenty")</f>
        <v>Bay of Plenty</v>
      </c>
      <c r="C120" s="2" t="str">
        <f ca="1">IFERROR(__xludf.DUMMYFUNCTION("""COMPUTED_VALUE"""),"Tx 38 - Pearl")</f>
        <v>Tx 38 - Pearl</v>
      </c>
      <c r="D120" s="10">
        <f ca="1">IFERROR(__xludf.DUMMYFUNCTION("""COMPUTED_VALUE"""),43160)</f>
        <v>43160</v>
      </c>
      <c r="E120" s="4">
        <f ca="1">IFERROR(__xludf.DUMMYFUNCTION("""COMPUTED_VALUE"""),0.58333333333212)</f>
        <v>0.58333333333212001</v>
      </c>
      <c r="F120" s="2" t="str">
        <f ca="1">IFERROR(__xludf.DUMMYFUNCTION("""COMPUTED_VALUE"""),"Farmland - Paddocks off cutwater rd")</f>
        <v>Farmland - Paddocks off cutwater rd</v>
      </c>
      <c r="G120" s="2" t="str">
        <f ca="1">IFERROR(__xludf.DUMMYFUNCTION("""COMPUTED_VALUE"""),"VHF (close approach): I followed the signal until I got within 50 m of the bird")</f>
        <v>VHF (close approach): I followed the signal until I got within 50 m of the bird</v>
      </c>
      <c r="H120" s="2" t="str">
        <f ca="1">IFERROR(__xludf.DUMMYFUNCTION("""COMPUTED_VALUE"""),"")</f>
        <v/>
      </c>
      <c r="I120" s="2" t="str">
        <f ca="1">IFERROR(__xludf.DUMMYFUNCTION("""COMPUTED_VALUE"""),"")</f>
        <v/>
      </c>
      <c r="J120" s="2" t="str">
        <f ca="1">IFERROR(__xludf.DUMMYFUNCTION("""COMPUTED_VALUE"""),"")</f>
        <v/>
      </c>
      <c r="K120" s="2" t="str">
        <f ca="1">IFERROR(__xludf.DUMMYFUNCTION("""COMPUTED_VALUE"""),"")</f>
        <v/>
      </c>
      <c r="L120" s="2" t="str">
        <f ca="1">IFERROR(__xludf.DUMMYFUNCTION("""COMPUTED_VALUE"""),"No - I got very close to the bird but it was well hidden in the vegetation")</f>
        <v>No - I got very close to the bird but it was well hidden in the vegetation</v>
      </c>
      <c r="M120" s="5">
        <f ca="1">IFERROR(__xludf.DUMMYFUNCTION("""COMPUTED_VALUE"""),1907428)</f>
        <v>1907428</v>
      </c>
      <c r="N120" s="5">
        <f ca="1">IFERROR(__xludf.DUMMYFUNCTION("""COMPUTED_VALUE"""),5812357)</f>
        <v>5812357</v>
      </c>
      <c r="O120" s="2" t="str">
        <f ca="1">IFERROR(__xludf.DUMMYFUNCTION("""COMPUTED_VALUE"""),"")</f>
        <v/>
      </c>
      <c r="P120" s="2" t="str">
        <f ca="1">IFERROR(__xludf.DUMMYFUNCTION("""COMPUTED_VALUE"""),"Yes")</f>
        <v>Yes</v>
      </c>
      <c r="Q120" s="2" t="str">
        <f ca="1">IFERROR(__xludf.DUMMYFUNCTION("""COMPUTED_VALUE"""),"Dry")</f>
        <v>Dry</v>
      </c>
      <c r="R120" s="2" t="str">
        <f ca="1">IFERROR(__xludf.DUMMYFUNCTION("""COMPUTED_VALUE"""),"0")</f>
        <v>0</v>
      </c>
      <c r="S120" s="2" t="str">
        <f ca="1">IFERROR(__xludf.DUMMYFUNCTION("""COMPUTED_VALUE"""),"dont know")</f>
        <v>dont know</v>
      </c>
      <c r="T120" s="2" t="str">
        <f ca="1">IFERROR(__xludf.DUMMYFUNCTION("""COMPUTED_VALUE"""),"farmland - paddocks- in paddock with stock??")</f>
        <v>farmland - paddocks- in paddock with stock??</v>
      </c>
      <c r="U120" s="2" t="str">
        <f ca="1">IFERROR(__xludf.DUMMYFUNCTION("""COMPUTED_VALUE"""),"Bird very close to bird, same paddock? Farmer came to move cattle while monitoring. bird did not move although it seemed she was in the same paddock... or perhaps she was on the W side of farm race.")</f>
        <v>Bird very close to bird, same paddock? Farmer came to move cattle while monitoring. bird did not move although it seemed she was in the same paddock... or perhaps she was on the W side of farm race.</v>
      </c>
      <c r="V120" s="2" t="str">
        <f ca="1">IFERROR(__xludf.DUMMYFUNCTION("""COMPUTED_VALUE"""),"")</f>
        <v/>
      </c>
      <c r="W120" s="2" t="str">
        <f ca="1">IFERROR(__xludf.DUMMYFUNCTION("""COMPUTED_VALUE"""),"")</f>
        <v/>
      </c>
      <c r="X120" s="2" t="str">
        <f ca="1">IFERROR(__xludf.DUMMYFUNCTION("""COMPUTED_VALUE"""),"")</f>
        <v/>
      </c>
      <c r="Y120" s="2" t="str">
        <f ca="1">IFERROR(__xludf.DUMMYFUNCTION("""COMPUTED_VALUE"""),"")</f>
        <v/>
      </c>
      <c r="Z120" s="2" t="str">
        <f ca="1">IFERROR(__xludf.DUMMYFUNCTION("""COMPUTED_VALUE"""),"")</f>
        <v/>
      </c>
      <c r="AA120" s="2" t="str">
        <f ca="1">IFERROR(__xludf.DUMMYFUNCTION("""COMPUTED_VALUE"""),"")</f>
        <v/>
      </c>
      <c r="AB120" s="2" t="str">
        <f ca="1">IFERROR(__xludf.DUMMYFUNCTION("""COMPUTED_VALUE"""),"")</f>
        <v/>
      </c>
      <c r="AC120" s="2" t="str">
        <f ca="1">IFERROR(__xludf.DUMMYFUNCTION("""COMPUTED_VALUE"""),"")</f>
        <v/>
      </c>
      <c r="AD120" s="2" t="str">
        <f ca="1">IFERROR(__xludf.DUMMYFUNCTION("""COMPUTED_VALUE"""),"")</f>
        <v/>
      </c>
      <c r="AE120" s="2" t="str">
        <f ca="1">IFERROR(__xludf.DUMMYFUNCTION("""COMPUTED_VALUE"""),"")</f>
        <v/>
      </c>
      <c r="AF120" s="2" t="str">
        <f ca="1">IFERROR(__xludf.DUMMYFUNCTION("""COMPUTED_VALUE"""),"")</f>
        <v/>
      </c>
      <c r="AG120" s="2" t="str">
        <f ca="1">IFERROR(__xludf.DUMMYFUNCTION("""COMPUTED_VALUE"""),"")</f>
        <v/>
      </c>
      <c r="AH120" s="2" t="str">
        <f ca="1">IFERROR(__xludf.DUMMYFUNCTION("""COMPUTED_VALUE"""),"")</f>
        <v/>
      </c>
      <c r="AI120" s="2" t="str">
        <f ca="1">IFERROR(__xludf.DUMMYFUNCTION("""COMPUTED_VALUE"""),"")</f>
        <v/>
      </c>
      <c r="AJ120" s="2" t="str">
        <f ca="1">IFERROR(__xludf.DUMMYFUNCTION("""COMPUTED_VALUE"""),"")</f>
        <v/>
      </c>
      <c r="AK120" s="2" t="str">
        <f ca="1">IFERROR(__xludf.DUMMYFUNCTION("""COMPUTED_VALUE"""),"")</f>
        <v/>
      </c>
      <c r="AL120" s="2" t="str">
        <f ca="1">IFERROR(__xludf.DUMMYFUNCTION("""COMPUTED_VALUE"""),"")</f>
        <v/>
      </c>
      <c r="AM120" s="2" t="str">
        <f ca="1">IFERROR(__xludf.DUMMYFUNCTION("""COMPUTED_VALUE"""),"")</f>
        <v/>
      </c>
      <c r="AN120" s="2" t="str">
        <f ca="1">IFERROR(__xludf.DUMMYFUNCTION("""COMPUTED_VALUE"""),"")</f>
        <v/>
      </c>
      <c r="AO120" s="2" t="str">
        <f ca="1">IFERROR(__xludf.DUMMYFUNCTION("""COMPUTED_VALUE"""),"")</f>
        <v/>
      </c>
      <c r="AP120" s="2" t="str">
        <f ca="1">IFERROR(__xludf.DUMMYFUNCTION("""COMPUTED_VALUE"""),"")</f>
        <v/>
      </c>
      <c r="AQ120" s="2" t="str">
        <f ca="1">IFERROR(__xludf.DUMMYFUNCTION("""COMPUTED_VALUE"""),"")</f>
        <v/>
      </c>
      <c r="AR120" s="2" t="str">
        <f ca="1">IFERROR(__xludf.DUMMYFUNCTION("""COMPUTED_VALUE"""),"")</f>
        <v/>
      </c>
      <c r="AS120" s="2" t="str">
        <f ca="1">IFERROR(__xludf.DUMMYFUNCTION("""COMPUTED_VALUE"""),"")</f>
        <v/>
      </c>
      <c r="AT120" s="2" t="str">
        <f ca="1">IFERROR(__xludf.DUMMYFUNCTION("""COMPUTED_VALUE"""),"")</f>
        <v/>
      </c>
      <c r="AU120" s="2" t="str">
        <f ca="1">IFERROR(__xludf.DUMMYFUNCTION("""COMPUTED_VALUE"""),"")</f>
        <v/>
      </c>
      <c r="AV120" s="2" t="str">
        <f ca="1">IFERROR(__xludf.DUMMYFUNCTION("""COMPUTED_VALUE"""),"")</f>
        <v/>
      </c>
      <c r="AW120" s="2" t="str">
        <f ca="1">IFERROR(__xludf.DUMMYFUNCTION("""COMPUTED_VALUE"""),"")</f>
        <v/>
      </c>
      <c r="AX120" s="2" t="str">
        <f ca="1">IFERROR(__xludf.DUMMYFUNCTION("""COMPUTED_VALUE"""),"")</f>
        <v/>
      </c>
      <c r="AY120" s="2" t="str">
        <f ca="1">IFERROR(__xludf.DUMMYFUNCTION("""COMPUTED_VALUE"""),"")</f>
        <v/>
      </c>
      <c r="AZ120" s="2" t="str">
        <f ca="1">IFERROR(__xludf.DUMMYFUNCTION("""COMPUTED_VALUE"""),"")</f>
        <v/>
      </c>
      <c r="BA120" s="2" t="str">
        <f ca="1">IFERROR(__xludf.DUMMYFUNCTION("""COMPUTED_VALUE"""),"")</f>
        <v/>
      </c>
      <c r="BB120" s="2" t="str">
        <f ca="1">IFERROR(__xludf.DUMMYFUNCTION("""COMPUTED_VALUE"""),"")</f>
        <v/>
      </c>
      <c r="BC120" s="2" t="str">
        <f ca="1">IFERROR(__xludf.DUMMYFUNCTION("""COMPUTED_VALUE"""),"")</f>
        <v/>
      </c>
      <c r="BD120" s="2" t="str">
        <f ca="1">IFERROR(__xludf.DUMMYFUNCTION("""COMPUTED_VALUE"""),"")</f>
        <v/>
      </c>
      <c r="BE120" s="2" t="str">
        <f ca="1">IFERROR(__xludf.DUMMYFUNCTION("""COMPUTED_VALUE"""),"")</f>
        <v/>
      </c>
      <c r="BF120" t="str">
        <f ca="1">IFERROR(__xludf.DUMMYFUNCTION("""COMPUTED_VALUE"""),"")</f>
        <v/>
      </c>
      <c r="BG120" t="str">
        <f ca="1">IFERROR(__xludf.DUMMYFUNCTION("""COMPUTED_VALUE"""),"")</f>
        <v/>
      </c>
      <c r="BH120" t="str">
        <f ca="1">IFERROR(__xludf.DUMMYFUNCTION("""COMPUTED_VALUE"""),"")</f>
        <v/>
      </c>
      <c r="BI120" t="str">
        <f ca="1">IFERROR(__xludf.DUMMYFUNCTION("""COMPUTED_VALUE"""),"")</f>
        <v/>
      </c>
      <c r="BJ120" s="3" t="str">
        <f ca="1">IFERROR(__xludf.DUMMYFUNCTION("""COMPUTED_VALUE"""),"")</f>
        <v/>
      </c>
    </row>
    <row r="121" spans="1:62" ht="12.5" x14ac:dyDescent="0.25">
      <c r="A121" s="6">
        <f ca="1">IFERROR(__xludf.DUMMYFUNCTION("""COMPUTED_VALUE"""),43436.8072245486)</f>
        <v>43436.807224548596</v>
      </c>
      <c r="B121" s="2" t="str">
        <f ca="1">IFERROR(__xludf.DUMMYFUNCTION("""COMPUTED_VALUE"""),"Bay of Plenty")</f>
        <v>Bay of Plenty</v>
      </c>
      <c r="C121" s="2" t="str">
        <f ca="1">IFERROR(__xludf.DUMMYFUNCTION("""COMPUTED_VALUE"""),"Tx 38 - Pearl")</f>
        <v>Tx 38 - Pearl</v>
      </c>
      <c r="D121" s="10">
        <f ca="1">IFERROR(__xludf.DUMMYFUNCTION("""COMPUTED_VALUE"""),43156)</f>
        <v>43156</v>
      </c>
      <c r="E121" s="4">
        <f ca="1">IFERROR(__xludf.DUMMYFUNCTION("""COMPUTED_VALUE"""),0.479166666667879)</f>
        <v>0.47916666666787899</v>
      </c>
      <c r="F121" s="2" t="str">
        <f ca="1">IFERROR(__xludf.DUMMYFUNCTION("""COMPUTED_VALUE"""),"Farmland - Paddocks off cutwater rd")</f>
        <v>Farmland - Paddocks off cutwater rd</v>
      </c>
      <c r="G121" s="2" t="str">
        <f ca="1">IFERROR(__xludf.DUMMYFUNCTION("""COMPUTED_VALUE"""),"VHF (close approach): I followed the signal until I got within 50 m of the bird")</f>
        <v>VHF (close approach): I followed the signal until I got within 50 m of the bird</v>
      </c>
      <c r="H121" s="2" t="str">
        <f ca="1">IFERROR(__xludf.DUMMYFUNCTION("""COMPUTED_VALUE"""),"")</f>
        <v/>
      </c>
      <c r="I121" s="2" t="str">
        <f ca="1">IFERROR(__xludf.DUMMYFUNCTION("""COMPUTED_VALUE"""),"")</f>
        <v/>
      </c>
      <c r="J121" s="2" t="str">
        <f ca="1">IFERROR(__xludf.DUMMYFUNCTION("""COMPUTED_VALUE"""),"")</f>
        <v/>
      </c>
      <c r="K121" s="2" t="str">
        <f ca="1">IFERROR(__xludf.DUMMYFUNCTION("""COMPUTED_VALUE"""),"")</f>
        <v/>
      </c>
      <c r="L121" s="2" t="str">
        <f ca="1">IFERROR(__xludf.DUMMYFUNCTION("""COMPUTED_VALUE"""),"No - I got very close to the bird but it was well hidden in the vegetation")</f>
        <v>No - I got very close to the bird but it was well hidden in the vegetation</v>
      </c>
      <c r="M121" s="5">
        <f ca="1">IFERROR(__xludf.DUMMYFUNCTION("""COMPUTED_VALUE"""),1907458)</f>
        <v>1907458</v>
      </c>
      <c r="N121" s="5">
        <f ca="1">IFERROR(__xludf.DUMMYFUNCTION("""COMPUTED_VALUE"""),5812667)</f>
        <v>5812667</v>
      </c>
      <c r="O121" s="2" t="str">
        <f ca="1">IFERROR(__xludf.DUMMYFUNCTION("""COMPUTED_VALUE"""),"")</f>
        <v/>
      </c>
      <c r="P121" s="2" t="str">
        <f ca="1">IFERROR(__xludf.DUMMYFUNCTION("""COMPUTED_VALUE"""),"Yes")</f>
        <v>Yes</v>
      </c>
      <c r="Q121" s="2" t="str">
        <f ca="1">IFERROR(__xludf.DUMMYFUNCTION("""COMPUTED_VALUE"""),"Dry")</f>
        <v>Dry</v>
      </c>
      <c r="R121" s="2" t="str">
        <f ca="1">IFERROR(__xludf.DUMMYFUNCTION("""COMPUTED_VALUE"""),"0")</f>
        <v>0</v>
      </c>
      <c r="S121" s="2" t="str">
        <f ca="1">IFERROR(__xludf.DUMMYFUNCTION("""COMPUTED_VALUE"""),"see map")</f>
        <v>see map</v>
      </c>
      <c r="T121" s="2" t="str">
        <f ca="1">IFERROR(__xludf.DUMMYFUNCTION("""COMPUTED_VALUE"""),"farmland - paddocks - old river bed ")</f>
        <v xml:space="preserve">farmland - paddocks - old river bed </v>
      </c>
      <c r="U121" s="2" t="str">
        <f ca="1">IFERROR(__xludf.DUMMYFUNCTION("""COMPUTED_VALUE"""),"no")</f>
        <v>no</v>
      </c>
      <c r="V121" s="2" t="str">
        <f ca="1">IFERROR(__xludf.DUMMYFUNCTION("""COMPUTED_VALUE"""),"")</f>
        <v/>
      </c>
      <c r="W121" s="2" t="str">
        <f ca="1">IFERROR(__xludf.DUMMYFUNCTION("""COMPUTED_VALUE"""),"")</f>
        <v/>
      </c>
      <c r="X121" s="2" t="str">
        <f ca="1">IFERROR(__xludf.DUMMYFUNCTION("""COMPUTED_VALUE"""),"")</f>
        <v/>
      </c>
      <c r="Y121" s="2" t="str">
        <f ca="1">IFERROR(__xludf.DUMMYFUNCTION("""COMPUTED_VALUE"""),"")</f>
        <v/>
      </c>
      <c r="Z121" s="2" t="str">
        <f ca="1">IFERROR(__xludf.DUMMYFUNCTION("""COMPUTED_VALUE"""),"")</f>
        <v/>
      </c>
      <c r="AA121" s="2" t="str">
        <f ca="1">IFERROR(__xludf.DUMMYFUNCTION("""COMPUTED_VALUE"""),"")</f>
        <v/>
      </c>
      <c r="AB121" s="2" t="str">
        <f ca="1">IFERROR(__xludf.DUMMYFUNCTION("""COMPUTED_VALUE"""),"")</f>
        <v/>
      </c>
      <c r="AC121" s="2" t="str">
        <f ca="1">IFERROR(__xludf.DUMMYFUNCTION("""COMPUTED_VALUE"""),"")</f>
        <v/>
      </c>
      <c r="AD121" s="2" t="str">
        <f ca="1">IFERROR(__xludf.DUMMYFUNCTION("""COMPUTED_VALUE"""),"")</f>
        <v/>
      </c>
      <c r="AE121" s="2" t="str">
        <f ca="1">IFERROR(__xludf.DUMMYFUNCTION("""COMPUTED_VALUE"""),"")</f>
        <v/>
      </c>
      <c r="AF121" s="2" t="str">
        <f ca="1">IFERROR(__xludf.DUMMYFUNCTION("""COMPUTED_VALUE"""),"")</f>
        <v/>
      </c>
      <c r="AG121" s="2" t="str">
        <f ca="1">IFERROR(__xludf.DUMMYFUNCTION("""COMPUTED_VALUE"""),"")</f>
        <v/>
      </c>
      <c r="AH121" s="2" t="str">
        <f ca="1">IFERROR(__xludf.DUMMYFUNCTION("""COMPUTED_VALUE"""),"")</f>
        <v/>
      </c>
      <c r="AI121" s="2" t="str">
        <f ca="1">IFERROR(__xludf.DUMMYFUNCTION("""COMPUTED_VALUE"""),"")</f>
        <v/>
      </c>
      <c r="AJ121" s="2" t="str">
        <f ca="1">IFERROR(__xludf.DUMMYFUNCTION("""COMPUTED_VALUE"""),"")</f>
        <v/>
      </c>
      <c r="AK121" s="2" t="str">
        <f ca="1">IFERROR(__xludf.DUMMYFUNCTION("""COMPUTED_VALUE"""),"")</f>
        <v/>
      </c>
      <c r="AL121" s="2" t="str">
        <f ca="1">IFERROR(__xludf.DUMMYFUNCTION("""COMPUTED_VALUE"""),"")</f>
        <v/>
      </c>
      <c r="AM121" s="2" t="str">
        <f ca="1">IFERROR(__xludf.DUMMYFUNCTION("""COMPUTED_VALUE"""),"")</f>
        <v/>
      </c>
      <c r="AN121" s="2" t="str">
        <f ca="1">IFERROR(__xludf.DUMMYFUNCTION("""COMPUTED_VALUE"""),"")</f>
        <v/>
      </c>
      <c r="AO121" s="2" t="str">
        <f ca="1">IFERROR(__xludf.DUMMYFUNCTION("""COMPUTED_VALUE"""),"")</f>
        <v/>
      </c>
      <c r="AP121" s="2" t="str">
        <f ca="1">IFERROR(__xludf.DUMMYFUNCTION("""COMPUTED_VALUE"""),"")</f>
        <v/>
      </c>
      <c r="AQ121" s="2" t="str">
        <f ca="1">IFERROR(__xludf.DUMMYFUNCTION("""COMPUTED_VALUE"""),"")</f>
        <v/>
      </c>
      <c r="AR121" s="2" t="str">
        <f ca="1">IFERROR(__xludf.DUMMYFUNCTION("""COMPUTED_VALUE"""),"")</f>
        <v/>
      </c>
      <c r="AS121" s="2" t="str">
        <f ca="1">IFERROR(__xludf.DUMMYFUNCTION("""COMPUTED_VALUE"""),"")</f>
        <v/>
      </c>
      <c r="AT121" s="2" t="str">
        <f ca="1">IFERROR(__xludf.DUMMYFUNCTION("""COMPUTED_VALUE"""),"")</f>
        <v/>
      </c>
      <c r="AU121" s="2" t="str">
        <f ca="1">IFERROR(__xludf.DUMMYFUNCTION("""COMPUTED_VALUE"""),"")</f>
        <v/>
      </c>
      <c r="AV121" s="2" t="str">
        <f ca="1">IFERROR(__xludf.DUMMYFUNCTION("""COMPUTED_VALUE"""),"")</f>
        <v/>
      </c>
      <c r="AW121" s="2" t="str">
        <f ca="1">IFERROR(__xludf.DUMMYFUNCTION("""COMPUTED_VALUE"""),"")</f>
        <v/>
      </c>
      <c r="AX121" s="2" t="str">
        <f ca="1">IFERROR(__xludf.DUMMYFUNCTION("""COMPUTED_VALUE"""),"")</f>
        <v/>
      </c>
      <c r="AY121" s="2" t="str">
        <f ca="1">IFERROR(__xludf.DUMMYFUNCTION("""COMPUTED_VALUE"""),"")</f>
        <v/>
      </c>
      <c r="AZ121" s="2" t="str">
        <f ca="1">IFERROR(__xludf.DUMMYFUNCTION("""COMPUTED_VALUE"""),"")</f>
        <v/>
      </c>
      <c r="BA121" s="2" t="str">
        <f ca="1">IFERROR(__xludf.DUMMYFUNCTION("""COMPUTED_VALUE"""),"")</f>
        <v/>
      </c>
      <c r="BB121" s="2" t="str">
        <f ca="1">IFERROR(__xludf.DUMMYFUNCTION("""COMPUTED_VALUE"""),"")</f>
        <v/>
      </c>
      <c r="BC121" s="2" t="str">
        <f ca="1">IFERROR(__xludf.DUMMYFUNCTION("""COMPUTED_VALUE"""),"")</f>
        <v/>
      </c>
      <c r="BD121" s="2" t="str">
        <f ca="1">IFERROR(__xludf.DUMMYFUNCTION("""COMPUTED_VALUE"""),"")</f>
        <v/>
      </c>
      <c r="BE121" s="2" t="str">
        <f ca="1">IFERROR(__xludf.DUMMYFUNCTION("""COMPUTED_VALUE"""),"")</f>
        <v/>
      </c>
      <c r="BF121" t="str">
        <f ca="1">IFERROR(__xludf.DUMMYFUNCTION("""COMPUTED_VALUE"""),"")</f>
        <v/>
      </c>
      <c r="BG121" t="str">
        <f ca="1">IFERROR(__xludf.DUMMYFUNCTION("""COMPUTED_VALUE"""),"")</f>
        <v/>
      </c>
      <c r="BH121" t="str">
        <f ca="1">IFERROR(__xludf.DUMMYFUNCTION("""COMPUTED_VALUE"""),"")</f>
        <v/>
      </c>
      <c r="BI121" t="str">
        <f ca="1">IFERROR(__xludf.DUMMYFUNCTION("""COMPUTED_VALUE"""),"")</f>
        <v/>
      </c>
      <c r="BJ121" s="3" t="str">
        <f ca="1">IFERROR(__xludf.DUMMYFUNCTION("""COMPUTED_VALUE"""),"")</f>
        <v/>
      </c>
    </row>
    <row r="122" spans="1:62" ht="12.5" x14ac:dyDescent="0.25">
      <c r="A122" s="6">
        <f ca="1">IFERROR(__xludf.DUMMYFUNCTION("""COMPUTED_VALUE"""),43436.8133569444)</f>
        <v>43436.813356944403</v>
      </c>
      <c r="B122" s="2" t="str">
        <f ca="1">IFERROR(__xludf.DUMMYFUNCTION("""COMPUTED_VALUE"""),"Bay of Plenty")</f>
        <v>Bay of Plenty</v>
      </c>
      <c r="C122" s="2" t="str">
        <f ca="1">IFERROR(__xludf.DUMMYFUNCTION("""COMPUTED_VALUE"""),"Tx 38 - Pearl")</f>
        <v>Tx 38 - Pearl</v>
      </c>
      <c r="D122" s="10">
        <f ca="1">IFERROR(__xludf.DUMMYFUNCTION("""COMPUTED_VALUE"""),43107)</f>
        <v>43107</v>
      </c>
      <c r="E122" s="4">
        <f ca="1">IFERROR(__xludf.DUMMYFUNCTION("""COMPUTED_VALUE"""),0.875)</f>
        <v>0.875</v>
      </c>
      <c r="F122" s="2" t="str">
        <f ca="1">IFERROR(__xludf.DUMMYFUNCTION("""COMPUTED_VALUE"""),"Paddocks off cutwater rd ")</f>
        <v xml:space="preserve">Paddocks off cutwater rd </v>
      </c>
      <c r="G122" s="2" t="str">
        <f ca="1">IFERROR(__xludf.DUMMYFUNCTION("""COMPUTED_VALUE"""),"VHF (close approach): I followed the signal until I got within 50 m of the bird")</f>
        <v>VHF (close approach): I followed the signal until I got within 50 m of the bird</v>
      </c>
      <c r="H122" s="2" t="str">
        <f ca="1">IFERROR(__xludf.DUMMYFUNCTION("""COMPUTED_VALUE"""),"")</f>
        <v/>
      </c>
      <c r="I122" s="2" t="str">
        <f ca="1">IFERROR(__xludf.DUMMYFUNCTION("""COMPUTED_VALUE"""),"")</f>
        <v/>
      </c>
      <c r="J122" s="2" t="str">
        <f ca="1">IFERROR(__xludf.DUMMYFUNCTION("""COMPUTED_VALUE"""),"")</f>
        <v/>
      </c>
      <c r="K122" s="2" t="str">
        <f ca="1">IFERROR(__xludf.DUMMYFUNCTION("""COMPUTED_VALUE"""),"")</f>
        <v/>
      </c>
      <c r="L122" s="2" t="str">
        <f ca="1">IFERROR(__xludf.DUMMYFUNCTION("""COMPUTED_VALUE"""),"No - I got very close to the bird but it was well hidden in the vegetation")</f>
        <v>No - I got very close to the bird but it was well hidden in the vegetation</v>
      </c>
      <c r="M122" s="5">
        <f ca="1">IFERROR(__xludf.DUMMYFUNCTION("""COMPUTED_VALUE"""),1907533)</f>
        <v>1907533</v>
      </c>
      <c r="N122" s="5">
        <f ca="1">IFERROR(__xludf.DUMMYFUNCTION("""COMPUTED_VALUE"""),5811905)</f>
        <v>5811905</v>
      </c>
      <c r="O122" s="2" t="str">
        <f ca="1">IFERROR(__xludf.DUMMYFUNCTION("""COMPUTED_VALUE"""),"")</f>
        <v/>
      </c>
      <c r="P122" s="2" t="str">
        <f ca="1">IFERROR(__xludf.DUMMYFUNCTION("""COMPUTED_VALUE"""),"No")</f>
        <v>No</v>
      </c>
      <c r="Q122" s="2" t="str">
        <f ca="1">IFERROR(__xludf.DUMMYFUNCTION("""COMPUTED_VALUE"""),"Wet")</f>
        <v>Wet</v>
      </c>
      <c r="R122" s="2" t="str">
        <f ca="1">IFERROR(__xludf.DUMMYFUNCTION("""COMPUTED_VALUE"""),"dont know")</f>
        <v>dont know</v>
      </c>
      <c r="S122" s="2" t="str">
        <f ca="1">IFERROR(__xludf.DUMMYFUNCTION("""COMPUTED_VALUE"""),"20m")</f>
        <v>20m</v>
      </c>
      <c r="T122" s="2" t="str">
        <f ca="1">IFERROR(__xludf.DUMMYFUNCTION("""COMPUTED_VALUE"""),"paddock, rank grass and reeds")</f>
        <v>paddock, rank grass and reeds</v>
      </c>
      <c r="U122" s="2" t="str">
        <f ca="1">IFERROR(__xludf.DUMMYFUNCTION("""COMPUTED_VALUE"""),"End of Cutwater Rd. Saw a bittern out in the open on the stock track leading to the Pukehina canal -  entered by Karl")</f>
        <v>End of Cutwater Rd. Saw a bittern out in the open on the stock track leading to the Pukehina canal -  entered by Karl</v>
      </c>
      <c r="V122" s="2" t="str">
        <f ca="1">IFERROR(__xludf.DUMMYFUNCTION("""COMPUTED_VALUE"""),"")</f>
        <v/>
      </c>
      <c r="W122" s="2" t="str">
        <f ca="1">IFERROR(__xludf.DUMMYFUNCTION("""COMPUTED_VALUE"""),"")</f>
        <v/>
      </c>
      <c r="X122" s="2" t="str">
        <f ca="1">IFERROR(__xludf.DUMMYFUNCTION("""COMPUTED_VALUE"""),"")</f>
        <v/>
      </c>
      <c r="Y122" s="2" t="str">
        <f ca="1">IFERROR(__xludf.DUMMYFUNCTION("""COMPUTED_VALUE"""),"")</f>
        <v/>
      </c>
      <c r="Z122" s="2" t="str">
        <f ca="1">IFERROR(__xludf.DUMMYFUNCTION("""COMPUTED_VALUE"""),"")</f>
        <v/>
      </c>
      <c r="AA122" s="2" t="str">
        <f ca="1">IFERROR(__xludf.DUMMYFUNCTION("""COMPUTED_VALUE"""),"")</f>
        <v/>
      </c>
      <c r="AB122" s="2" t="str">
        <f ca="1">IFERROR(__xludf.DUMMYFUNCTION("""COMPUTED_VALUE"""),"")</f>
        <v/>
      </c>
      <c r="AC122" s="2" t="str">
        <f ca="1">IFERROR(__xludf.DUMMYFUNCTION("""COMPUTED_VALUE"""),"")</f>
        <v/>
      </c>
      <c r="AD122" s="2" t="str">
        <f ca="1">IFERROR(__xludf.DUMMYFUNCTION("""COMPUTED_VALUE"""),"")</f>
        <v/>
      </c>
      <c r="AE122" s="2" t="str">
        <f ca="1">IFERROR(__xludf.DUMMYFUNCTION("""COMPUTED_VALUE"""),"")</f>
        <v/>
      </c>
      <c r="AF122" s="2" t="str">
        <f ca="1">IFERROR(__xludf.DUMMYFUNCTION("""COMPUTED_VALUE"""),"")</f>
        <v/>
      </c>
      <c r="AG122" s="2" t="str">
        <f ca="1">IFERROR(__xludf.DUMMYFUNCTION("""COMPUTED_VALUE"""),"")</f>
        <v/>
      </c>
      <c r="AH122" s="2" t="str">
        <f ca="1">IFERROR(__xludf.DUMMYFUNCTION("""COMPUTED_VALUE"""),"")</f>
        <v/>
      </c>
      <c r="AI122" s="2" t="str">
        <f ca="1">IFERROR(__xludf.DUMMYFUNCTION("""COMPUTED_VALUE"""),"")</f>
        <v/>
      </c>
      <c r="AJ122" s="2" t="str">
        <f ca="1">IFERROR(__xludf.DUMMYFUNCTION("""COMPUTED_VALUE"""),"")</f>
        <v/>
      </c>
      <c r="AK122" s="2" t="str">
        <f ca="1">IFERROR(__xludf.DUMMYFUNCTION("""COMPUTED_VALUE"""),"")</f>
        <v/>
      </c>
      <c r="AL122" s="2" t="str">
        <f ca="1">IFERROR(__xludf.DUMMYFUNCTION("""COMPUTED_VALUE"""),"")</f>
        <v/>
      </c>
      <c r="AM122" s="2" t="str">
        <f ca="1">IFERROR(__xludf.DUMMYFUNCTION("""COMPUTED_VALUE"""),"")</f>
        <v/>
      </c>
      <c r="AN122" s="2" t="str">
        <f ca="1">IFERROR(__xludf.DUMMYFUNCTION("""COMPUTED_VALUE"""),"")</f>
        <v/>
      </c>
      <c r="AO122" s="2" t="str">
        <f ca="1">IFERROR(__xludf.DUMMYFUNCTION("""COMPUTED_VALUE"""),"")</f>
        <v/>
      </c>
      <c r="AP122" s="2" t="str">
        <f ca="1">IFERROR(__xludf.DUMMYFUNCTION("""COMPUTED_VALUE"""),"")</f>
        <v/>
      </c>
      <c r="AQ122" s="2" t="str">
        <f ca="1">IFERROR(__xludf.DUMMYFUNCTION("""COMPUTED_VALUE"""),"")</f>
        <v/>
      </c>
      <c r="AR122" s="2" t="str">
        <f ca="1">IFERROR(__xludf.DUMMYFUNCTION("""COMPUTED_VALUE"""),"")</f>
        <v/>
      </c>
      <c r="AS122" s="2" t="str">
        <f ca="1">IFERROR(__xludf.DUMMYFUNCTION("""COMPUTED_VALUE"""),"")</f>
        <v/>
      </c>
      <c r="AT122" s="2" t="str">
        <f ca="1">IFERROR(__xludf.DUMMYFUNCTION("""COMPUTED_VALUE"""),"")</f>
        <v/>
      </c>
      <c r="AU122" s="2" t="str">
        <f ca="1">IFERROR(__xludf.DUMMYFUNCTION("""COMPUTED_VALUE"""),"")</f>
        <v/>
      </c>
      <c r="AV122" s="2" t="str">
        <f ca="1">IFERROR(__xludf.DUMMYFUNCTION("""COMPUTED_VALUE"""),"")</f>
        <v/>
      </c>
      <c r="AW122" s="2" t="str">
        <f ca="1">IFERROR(__xludf.DUMMYFUNCTION("""COMPUTED_VALUE"""),"")</f>
        <v/>
      </c>
      <c r="AX122" s="2" t="str">
        <f ca="1">IFERROR(__xludf.DUMMYFUNCTION("""COMPUTED_VALUE"""),"")</f>
        <v/>
      </c>
      <c r="AY122" s="2" t="str">
        <f ca="1">IFERROR(__xludf.DUMMYFUNCTION("""COMPUTED_VALUE"""),"")</f>
        <v/>
      </c>
      <c r="AZ122" s="2" t="str">
        <f ca="1">IFERROR(__xludf.DUMMYFUNCTION("""COMPUTED_VALUE"""),"")</f>
        <v/>
      </c>
      <c r="BA122" s="2" t="str">
        <f ca="1">IFERROR(__xludf.DUMMYFUNCTION("""COMPUTED_VALUE"""),"")</f>
        <v/>
      </c>
      <c r="BB122" s="2" t="str">
        <f ca="1">IFERROR(__xludf.DUMMYFUNCTION("""COMPUTED_VALUE"""),"")</f>
        <v/>
      </c>
      <c r="BC122" s="2" t="str">
        <f ca="1">IFERROR(__xludf.DUMMYFUNCTION("""COMPUTED_VALUE"""),"")</f>
        <v/>
      </c>
      <c r="BD122" s="2" t="str">
        <f ca="1">IFERROR(__xludf.DUMMYFUNCTION("""COMPUTED_VALUE"""),"")</f>
        <v/>
      </c>
      <c r="BE122" s="2" t="str">
        <f ca="1">IFERROR(__xludf.DUMMYFUNCTION("""COMPUTED_VALUE"""),"")</f>
        <v/>
      </c>
      <c r="BF122" t="str">
        <f ca="1">IFERROR(__xludf.DUMMYFUNCTION("""COMPUTED_VALUE"""),"")</f>
        <v/>
      </c>
      <c r="BG122" t="str">
        <f ca="1">IFERROR(__xludf.DUMMYFUNCTION("""COMPUTED_VALUE"""),"")</f>
        <v/>
      </c>
      <c r="BH122" t="str">
        <f ca="1">IFERROR(__xludf.DUMMYFUNCTION("""COMPUTED_VALUE"""),"")</f>
        <v/>
      </c>
      <c r="BI122" t="str">
        <f ca="1">IFERROR(__xludf.DUMMYFUNCTION("""COMPUTED_VALUE"""),"")</f>
        <v/>
      </c>
      <c r="BJ122" s="3" t="str">
        <f ca="1">IFERROR(__xludf.DUMMYFUNCTION("""COMPUTED_VALUE"""),"")</f>
        <v/>
      </c>
    </row>
    <row r="123" spans="1:62" ht="12.5" x14ac:dyDescent="0.25">
      <c r="A123" s="6">
        <f ca="1">IFERROR(__xludf.DUMMYFUNCTION("""COMPUTED_VALUE"""),43436.8168563194)</f>
        <v>43436.816856319398</v>
      </c>
      <c r="B123" s="2" t="str">
        <f ca="1">IFERROR(__xludf.DUMMYFUNCTION("""COMPUTED_VALUE"""),"Bay of Plenty")</f>
        <v>Bay of Plenty</v>
      </c>
      <c r="C123" s="2" t="str">
        <f ca="1">IFERROR(__xludf.DUMMYFUNCTION("""COMPUTED_VALUE"""),"Tx 38 - Pearl")</f>
        <v>Tx 38 - Pearl</v>
      </c>
      <c r="D123" s="10">
        <f ca="1">IFERROR(__xludf.DUMMYFUNCTION("""COMPUTED_VALUE"""),43105)</f>
        <v>43105</v>
      </c>
      <c r="E123" s="4">
        <f ca="1">IFERROR(__xludf.DUMMYFUNCTION("""COMPUTED_VALUE"""),0.83333333333212)</f>
        <v>0.83333333333212001</v>
      </c>
      <c r="F123" s="2" t="str">
        <f ca="1">IFERROR(__xludf.DUMMYFUNCTION("""COMPUTED_VALUE"""),"Waihi WMR East - Saltmarsh in front of cutwater rd")</f>
        <v>Waihi WMR East - Saltmarsh in front of cutwater rd</v>
      </c>
      <c r="G123" s="2" t="str">
        <f ca="1">IFERROR(__xludf.DUMMYFUNCTION("""COMPUTED_VALUE"""),"VHF (close approach): I followed the signal until I got within 50 m of the bird")</f>
        <v>VHF (close approach): I followed the signal until I got within 50 m of the bird</v>
      </c>
      <c r="H123" s="2" t="str">
        <f ca="1">IFERROR(__xludf.DUMMYFUNCTION("""COMPUTED_VALUE"""),"")</f>
        <v/>
      </c>
      <c r="I123" s="2" t="str">
        <f ca="1">IFERROR(__xludf.DUMMYFUNCTION("""COMPUTED_VALUE"""),"")</f>
        <v/>
      </c>
      <c r="J123" s="2" t="str">
        <f ca="1">IFERROR(__xludf.DUMMYFUNCTION("""COMPUTED_VALUE"""),"")</f>
        <v/>
      </c>
      <c r="K123" s="2" t="str">
        <f ca="1">IFERROR(__xludf.DUMMYFUNCTION("""COMPUTED_VALUE"""),"")</f>
        <v/>
      </c>
      <c r="L123" s="2" t="str">
        <f ca="1">IFERROR(__xludf.DUMMYFUNCTION("""COMPUTED_VALUE"""),"No - I got very close to the bird but it was well hidden in the vegetation")</f>
        <v>No - I got very close to the bird but it was well hidden in the vegetation</v>
      </c>
      <c r="M123" s="5">
        <f ca="1">IFERROR(__xludf.DUMMYFUNCTION("""COMPUTED_VALUE"""),1907512)</f>
        <v>1907512</v>
      </c>
      <c r="N123" s="5">
        <f ca="1">IFERROR(__xludf.DUMMYFUNCTION("""COMPUTED_VALUE"""),5813181)</f>
        <v>5813181</v>
      </c>
      <c r="O123" s="2" t="str">
        <f ca="1">IFERROR(__xludf.DUMMYFUNCTION("""COMPUTED_VALUE"""),"")</f>
        <v/>
      </c>
      <c r="P123" s="2" t="str">
        <f ca="1">IFERROR(__xludf.DUMMYFUNCTION("""COMPUTED_VALUE"""),"N/A - not grazed")</f>
        <v>N/A - not grazed</v>
      </c>
      <c r="Q123" s="2" t="str">
        <f ca="1">IFERROR(__xludf.DUMMYFUNCTION("""COMPUTED_VALUE"""),"Wet")</f>
        <v>Wet</v>
      </c>
      <c r="R123" s="2" t="str">
        <f ca="1">IFERROR(__xludf.DUMMYFUNCTION("""COMPUTED_VALUE"""),"dont know")</f>
        <v>dont know</v>
      </c>
      <c r="S123" s="2" t="str">
        <f ca="1">IFERROR(__xludf.DUMMYFUNCTION("""COMPUTED_VALUE"""),"0 - king tide ")</f>
        <v xml:space="preserve">0 - king tide </v>
      </c>
      <c r="T123" s="2" t="str">
        <f ca="1">IFERROR(__xludf.DUMMYFUNCTION("""COMPUTED_VALUE"""),"oioi rushlands - saltmarsh")</f>
        <v>oioi rushlands - saltmarsh</v>
      </c>
      <c r="U123" s="2" t="str">
        <f ca="1">IFERROR(__xludf.DUMMYFUNCTION("""COMPUTED_VALUE"""),"From 580 Pk parade   entered by karl ")</f>
        <v xml:space="preserve">From 580 Pk parade   entered by karl </v>
      </c>
      <c r="V123" s="2" t="str">
        <f ca="1">IFERROR(__xludf.DUMMYFUNCTION("""COMPUTED_VALUE"""),"")</f>
        <v/>
      </c>
      <c r="W123" s="2" t="str">
        <f ca="1">IFERROR(__xludf.DUMMYFUNCTION("""COMPUTED_VALUE"""),"")</f>
        <v/>
      </c>
      <c r="X123" s="2" t="str">
        <f ca="1">IFERROR(__xludf.DUMMYFUNCTION("""COMPUTED_VALUE"""),"")</f>
        <v/>
      </c>
      <c r="Y123" s="2" t="str">
        <f ca="1">IFERROR(__xludf.DUMMYFUNCTION("""COMPUTED_VALUE"""),"")</f>
        <v/>
      </c>
      <c r="Z123" s="2" t="str">
        <f ca="1">IFERROR(__xludf.DUMMYFUNCTION("""COMPUTED_VALUE"""),"")</f>
        <v/>
      </c>
      <c r="AA123" s="2" t="str">
        <f ca="1">IFERROR(__xludf.DUMMYFUNCTION("""COMPUTED_VALUE"""),"")</f>
        <v/>
      </c>
      <c r="AB123" s="2" t="str">
        <f ca="1">IFERROR(__xludf.DUMMYFUNCTION("""COMPUTED_VALUE"""),"")</f>
        <v/>
      </c>
      <c r="AC123" s="2" t="str">
        <f ca="1">IFERROR(__xludf.DUMMYFUNCTION("""COMPUTED_VALUE"""),"")</f>
        <v/>
      </c>
      <c r="AD123" s="2" t="str">
        <f ca="1">IFERROR(__xludf.DUMMYFUNCTION("""COMPUTED_VALUE"""),"")</f>
        <v/>
      </c>
      <c r="AE123" s="2" t="str">
        <f ca="1">IFERROR(__xludf.DUMMYFUNCTION("""COMPUTED_VALUE"""),"")</f>
        <v/>
      </c>
      <c r="AF123" s="2" t="str">
        <f ca="1">IFERROR(__xludf.DUMMYFUNCTION("""COMPUTED_VALUE"""),"")</f>
        <v/>
      </c>
      <c r="AG123" s="2" t="str">
        <f ca="1">IFERROR(__xludf.DUMMYFUNCTION("""COMPUTED_VALUE"""),"")</f>
        <v/>
      </c>
      <c r="AH123" s="2" t="str">
        <f ca="1">IFERROR(__xludf.DUMMYFUNCTION("""COMPUTED_VALUE"""),"")</f>
        <v/>
      </c>
      <c r="AI123" s="2" t="str">
        <f ca="1">IFERROR(__xludf.DUMMYFUNCTION("""COMPUTED_VALUE"""),"")</f>
        <v/>
      </c>
      <c r="AJ123" s="2" t="str">
        <f ca="1">IFERROR(__xludf.DUMMYFUNCTION("""COMPUTED_VALUE"""),"")</f>
        <v/>
      </c>
      <c r="AK123" s="2" t="str">
        <f ca="1">IFERROR(__xludf.DUMMYFUNCTION("""COMPUTED_VALUE"""),"")</f>
        <v/>
      </c>
      <c r="AL123" s="2" t="str">
        <f ca="1">IFERROR(__xludf.DUMMYFUNCTION("""COMPUTED_VALUE"""),"")</f>
        <v/>
      </c>
      <c r="AM123" s="2" t="str">
        <f ca="1">IFERROR(__xludf.DUMMYFUNCTION("""COMPUTED_VALUE"""),"")</f>
        <v/>
      </c>
      <c r="AN123" s="2" t="str">
        <f ca="1">IFERROR(__xludf.DUMMYFUNCTION("""COMPUTED_VALUE"""),"")</f>
        <v/>
      </c>
      <c r="AO123" s="2" t="str">
        <f ca="1">IFERROR(__xludf.DUMMYFUNCTION("""COMPUTED_VALUE"""),"")</f>
        <v/>
      </c>
      <c r="AP123" s="2" t="str">
        <f ca="1">IFERROR(__xludf.DUMMYFUNCTION("""COMPUTED_VALUE"""),"")</f>
        <v/>
      </c>
      <c r="AQ123" s="2" t="str">
        <f ca="1">IFERROR(__xludf.DUMMYFUNCTION("""COMPUTED_VALUE"""),"")</f>
        <v/>
      </c>
      <c r="AR123" s="2" t="str">
        <f ca="1">IFERROR(__xludf.DUMMYFUNCTION("""COMPUTED_VALUE"""),"")</f>
        <v/>
      </c>
      <c r="AS123" s="2" t="str">
        <f ca="1">IFERROR(__xludf.DUMMYFUNCTION("""COMPUTED_VALUE"""),"")</f>
        <v/>
      </c>
      <c r="AT123" s="2" t="str">
        <f ca="1">IFERROR(__xludf.DUMMYFUNCTION("""COMPUTED_VALUE"""),"")</f>
        <v/>
      </c>
      <c r="AU123" s="2" t="str">
        <f ca="1">IFERROR(__xludf.DUMMYFUNCTION("""COMPUTED_VALUE"""),"")</f>
        <v/>
      </c>
      <c r="AV123" s="2" t="str">
        <f ca="1">IFERROR(__xludf.DUMMYFUNCTION("""COMPUTED_VALUE"""),"")</f>
        <v/>
      </c>
      <c r="AW123" s="2" t="str">
        <f ca="1">IFERROR(__xludf.DUMMYFUNCTION("""COMPUTED_VALUE"""),"")</f>
        <v/>
      </c>
      <c r="AX123" s="2" t="str">
        <f ca="1">IFERROR(__xludf.DUMMYFUNCTION("""COMPUTED_VALUE"""),"")</f>
        <v/>
      </c>
      <c r="AY123" s="2" t="str">
        <f ca="1">IFERROR(__xludf.DUMMYFUNCTION("""COMPUTED_VALUE"""),"")</f>
        <v/>
      </c>
      <c r="AZ123" s="2" t="str">
        <f ca="1">IFERROR(__xludf.DUMMYFUNCTION("""COMPUTED_VALUE"""),"")</f>
        <v/>
      </c>
      <c r="BA123" s="2" t="str">
        <f ca="1">IFERROR(__xludf.DUMMYFUNCTION("""COMPUTED_VALUE"""),"")</f>
        <v/>
      </c>
      <c r="BB123" s="2" t="str">
        <f ca="1">IFERROR(__xludf.DUMMYFUNCTION("""COMPUTED_VALUE"""),"")</f>
        <v/>
      </c>
      <c r="BC123" s="2" t="str">
        <f ca="1">IFERROR(__xludf.DUMMYFUNCTION("""COMPUTED_VALUE"""),"")</f>
        <v/>
      </c>
      <c r="BD123" s="2" t="str">
        <f ca="1">IFERROR(__xludf.DUMMYFUNCTION("""COMPUTED_VALUE"""),"")</f>
        <v/>
      </c>
      <c r="BE123" s="2" t="str">
        <f ca="1">IFERROR(__xludf.DUMMYFUNCTION("""COMPUTED_VALUE"""),"")</f>
        <v/>
      </c>
      <c r="BF123" t="str">
        <f ca="1">IFERROR(__xludf.DUMMYFUNCTION("""COMPUTED_VALUE"""),"")</f>
        <v/>
      </c>
      <c r="BG123" t="str">
        <f ca="1">IFERROR(__xludf.DUMMYFUNCTION("""COMPUTED_VALUE"""),"")</f>
        <v/>
      </c>
      <c r="BH123" t="str">
        <f ca="1">IFERROR(__xludf.DUMMYFUNCTION("""COMPUTED_VALUE"""),"")</f>
        <v/>
      </c>
      <c r="BI123" t="str">
        <f ca="1">IFERROR(__xludf.DUMMYFUNCTION("""COMPUTED_VALUE"""),"")</f>
        <v/>
      </c>
      <c r="BJ123" s="3" t="str">
        <f ca="1">IFERROR(__xludf.DUMMYFUNCTION("""COMPUTED_VALUE"""),"")</f>
        <v/>
      </c>
    </row>
    <row r="124" spans="1:62" ht="12.5" x14ac:dyDescent="0.25">
      <c r="A124" s="6">
        <f ca="1">IFERROR(__xludf.DUMMYFUNCTION("""COMPUTED_VALUE"""),43436.8662008217)</f>
        <v>43436.8662008217</v>
      </c>
      <c r="B124" s="2" t="str">
        <f ca="1">IFERROR(__xludf.DUMMYFUNCTION("""COMPUTED_VALUE"""),"Bay of Plenty")</f>
        <v>Bay of Plenty</v>
      </c>
      <c r="C124" s="2" t="str">
        <f ca="1">IFERROR(__xludf.DUMMYFUNCTION("""COMPUTED_VALUE"""),"Tx 38 - Pearl")</f>
        <v>Tx 38 - Pearl</v>
      </c>
      <c r="D124" s="10">
        <f ca="1">IFERROR(__xludf.DUMMYFUNCTION("""COMPUTED_VALUE"""),43017)</f>
        <v>43017</v>
      </c>
      <c r="E124" s="4">
        <f ca="1">IFERROR(__xludf.DUMMYFUNCTION("""COMPUTED_VALUE"""),0.6875)</f>
        <v>0.6875</v>
      </c>
      <c r="F124" s="2" t="str">
        <f ca="1">IFERROR(__xludf.DUMMYFUNCTION("""COMPUTED_VALUE"""),"Waihi WMR - East - Saltmarsh opposite cutwater rd")</f>
        <v>Waihi WMR - East - Saltmarsh opposite cutwater rd</v>
      </c>
      <c r="G124" s="2" t="str">
        <f ca="1">IFERROR(__xludf.DUMMYFUNCTION("""COMPUTED_VALUE"""),"VHF (close approach): I followed the signal until I got within 50 m of the bird")</f>
        <v>VHF (close approach): I followed the signal until I got within 50 m of the bird</v>
      </c>
      <c r="H124" s="2" t="str">
        <f ca="1">IFERROR(__xludf.DUMMYFUNCTION("""COMPUTED_VALUE"""),"")</f>
        <v/>
      </c>
      <c r="I124" s="2" t="str">
        <f ca="1">IFERROR(__xludf.DUMMYFUNCTION("""COMPUTED_VALUE"""),"")</f>
        <v/>
      </c>
      <c r="J124" s="2" t="str">
        <f ca="1">IFERROR(__xludf.DUMMYFUNCTION("""COMPUTED_VALUE"""),"")</f>
        <v/>
      </c>
      <c r="K124" s="2" t="str">
        <f ca="1">IFERROR(__xludf.DUMMYFUNCTION("""COMPUTED_VALUE"""),"")</f>
        <v/>
      </c>
      <c r="L124" s="2" t="str">
        <f ca="1">IFERROR(__xludf.DUMMYFUNCTION("""COMPUTED_VALUE"""),"No - I got very close to the bird but it was well hidden in the vegetation")</f>
        <v>No - I got very close to the bird but it was well hidden in the vegetation</v>
      </c>
      <c r="M124" s="5">
        <f ca="1">IFERROR(__xludf.DUMMYFUNCTION("""COMPUTED_VALUE"""),1907644)</f>
        <v>1907644</v>
      </c>
      <c r="N124" s="5">
        <f ca="1">IFERROR(__xludf.DUMMYFUNCTION("""COMPUTED_VALUE"""),5812887)</f>
        <v>5812887</v>
      </c>
      <c r="O124" s="2" t="str">
        <f ca="1">IFERROR(__xludf.DUMMYFUNCTION("""COMPUTED_VALUE"""),"")</f>
        <v/>
      </c>
      <c r="P124" s="2" t="str">
        <f ca="1">IFERROR(__xludf.DUMMYFUNCTION("""COMPUTED_VALUE"""),"N/A - not grazed")</f>
        <v>N/A - not grazed</v>
      </c>
      <c r="Q124" s="2" t="str">
        <f ca="1">IFERROR(__xludf.DUMMYFUNCTION("""COMPUTED_VALUE"""),"Wet")</f>
        <v>Wet</v>
      </c>
      <c r="R124" s="2" t="str">
        <f ca="1">IFERROR(__xludf.DUMMYFUNCTION("""COMPUTED_VALUE"""),"dont know")</f>
        <v>dont know</v>
      </c>
      <c r="S124" s="2" t="str">
        <f ca="1">IFERROR(__xludf.DUMMYFUNCTION("""COMPUTED_VALUE"""),"dont know")</f>
        <v>dont know</v>
      </c>
      <c r="T124" s="2" t="str">
        <f ca="1">IFERROR(__xludf.DUMMYFUNCTION("""COMPUTED_VALUE"""),"oioi rushland - saltmarsh")</f>
        <v>oioi rushland - saltmarsh</v>
      </c>
      <c r="U124" s="2" t="str">
        <f ca="1">IFERROR(__xludf.DUMMYFUNCTION("""COMPUTED_VALUE"""),"entered by karl ")</f>
        <v xml:space="preserve">entered by karl </v>
      </c>
      <c r="V124" s="2" t="str">
        <f ca="1">IFERROR(__xludf.DUMMYFUNCTION("""COMPUTED_VALUE"""),"")</f>
        <v/>
      </c>
      <c r="W124" s="2" t="str">
        <f ca="1">IFERROR(__xludf.DUMMYFUNCTION("""COMPUTED_VALUE"""),"")</f>
        <v/>
      </c>
      <c r="X124" s="2" t="str">
        <f ca="1">IFERROR(__xludf.DUMMYFUNCTION("""COMPUTED_VALUE"""),"")</f>
        <v/>
      </c>
      <c r="Y124" s="2" t="str">
        <f ca="1">IFERROR(__xludf.DUMMYFUNCTION("""COMPUTED_VALUE"""),"")</f>
        <v/>
      </c>
      <c r="Z124" s="2" t="str">
        <f ca="1">IFERROR(__xludf.DUMMYFUNCTION("""COMPUTED_VALUE"""),"")</f>
        <v/>
      </c>
      <c r="AA124" s="2" t="str">
        <f ca="1">IFERROR(__xludf.DUMMYFUNCTION("""COMPUTED_VALUE"""),"")</f>
        <v/>
      </c>
      <c r="AB124" s="2" t="str">
        <f ca="1">IFERROR(__xludf.DUMMYFUNCTION("""COMPUTED_VALUE"""),"")</f>
        <v/>
      </c>
      <c r="AC124" s="2" t="str">
        <f ca="1">IFERROR(__xludf.DUMMYFUNCTION("""COMPUTED_VALUE"""),"")</f>
        <v/>
      </c>
      <c r="AD124" s="2" t="str">
        <f ca="1">IFERROR(__xludf.DUMMYFUNCTION("""COMPUTED_VALUE"""),"")</f>
        <v/>
      </c>
      <c r="AE124" s="2" t="str">
        <f ca="1">IFERROR(__xludf.DUMMYFUNCTION("""COMPUTED_VALUE"""),"")</f>
        <v/>
      </c>
      <c r="AF124" s="2" t="str">
        <f ca="1">IFERROR(__xludf.DUMMYFUNCTION("""COMPUTED_VALUE"""),"")</f>
        <v/>
      </c>
      <c r="AG124" s="2" t="str">
        <f ca="1">IFERROR(__xludf.DUMMYFUNCTION("""COMPUTED_VALUE"""),"")</f>
        <v/>
      </c>
      <c r="AH124" s="2" t="str">
        <f ca="1">IFERROR(__xludf.DUMMYFUNCTION("""COMPUTED_VALUE"""),"")</f>
        <v/>
      </c>
      <c r="AI124" s="2" t="str">
        <f ca="1">IFERROR(__xludf.DUMMYFUNCTION("""COMPUTED_VALUE"""),"")</f>
        <v/>
      </c>
      <c r="AJ124" s="2" t="str">
        <f ca="1">IFERROR(__xludf.DUMMYFUNCTION("""COMPUTED_VALUE"""),"")</f>
        <v/>
      </c>
      <c r="AK124" s="2" t="str">
        <f ca="1">IFERROR(__xludf.DUMMYFUNCTION("""COMPUTED_VALUE"""),"")</f>
        <v/>
      </c>
      <c r="AL124" s="2" t="str">
        <f ca="1">IFERROR(__xludf.DUMMYFUNCTION("""COMPUTED_VALUE"""),"")</f>
        <v/>
      </c>
      <c r="AM124" s="2" t="str">
        <f ca="1">IFERROR(__xludf.DUMMYFUNCTION("""COMPUTED_VALUE"""),"")</f>
        <v/>
      </c>
      <c r="AN124" s="2" t="str">
        <f ca="1">IFERROR(__xludf.DUMMYFUNCTION("""COMPUTED_VALUE"""),"")</f>
        <v/>
      </c>
      <c r="AO124" s="2" t="str">
        <f ca="1">IFERROR(__xludf.DUMMYFUNCTION("""COMPUTED_VALUE"""),"")</f>
        <v/>
      </c>
      <c r="AP124" s="2" t="str">
        <f ca="1">IFERROR(__xludf.DUMMYFUNCTION("""COMPUTED_VALUE"""),"")</f>
        <v/>
      </c>
      <c r="AQ124" s="2" t="str">
        <f ca="1">IFERROR(__xludf.DUMMYFUNCTION("""COMPUTED_VALUE"""),"")</f>
        <v/>
      </c>
      <c r="AR124" s="2" t="str">
        <f ca="1">IFERROR(__xludf.DUMMYFUNCTION("""COMPUTED_VALUE"""),"")</f>
        <v/>
      </c>
      <c r="AS124" s="2" t="str">
        <f ca="1">IFERROR(__xludf.DUMMYFUNCTION("""COMPUTED_VALUE"""),"")</f>
        <v/>
      </c>
      <c r="AT124" s="2" t="str">
        <f ca="1">IFERROR(__xludf.DUMMYFUNCTION("""COMPUTED_VALUE"""),"")</f>
        <v/>
      </c>
      <c r="AU124" s="2" t="str">
        <f ca="1">IFERROR(__xludf.DUMMYFUNCTION("""COMPUTED_VALUE"""),"")</f>
        <v/>
      </c>
      <c r="AV124" s="2" t="str">
        <f ca="1">IFERROR(__xludf.DUMMYFUNCTION("""COMPUTED_VALUE"""),"")</f>
        <v/>
      </c>
      <c r="AW124" s="2" t="str">
        <f ca="1">IFERROR(__xludf.DUMMYFUNCTION("""COMPUTED_VALUE"""),"")</f>
        <v/>
      </c>
      <c r="AX124" s="2" t="str">
        <f ca="1">IFERROR(__xludf.DUMMYFUNCTION("""COMPUTED_VALUE"""),"")</f>
        <v/>
      </c>
      <c r="AY124" s="2" t="str">
        <f ca="1">IFERROR(__xludf.DUMMYFUNCTION("""COMPUTED_VALUE"""),"")</f>
        <v/>
      </c>
      <c r="AZ124" s="2" t="str">
        <f ca="1">IFERROR(__xludf.DUMMYFUNCTION("""COMPUTED_VALUE"""),"")</f>
        <v/>
      </c>
      <c r="BA124" s="2" t="str">
        <f ca="1">IFERROR(__xludf.DUMMYFUNCTION("""COMPUTED_VALUE"""),"")</f>
        <v/>
      </c>
      <c r="BB124" s="2" t="str">
        <f ca="1">IFERROR(__xludf.DUMMYFUNCTION("""COMPUTED_VALUE"""),"")</f>
        <v/>
      </c>
      <c r="BC124" s="2" t="str">
        <f ca="1">IFERROR(__xludf.DUMMYFUNCTION("""COMPUTED_VALUE"""),"")</f>
        <v/>
      </c>
      <c r="BD124" s="2" t="str">
        <f ca="1">IFERROR(__xludf.DUMMYFUNCTION("""COMPUTED_VALUE"""),"")</f>
        <v/>
      </c>
      <c r="BE124" s="2" t="str">
        <f ca="1">IFERROR(__xludf.DUMMYFUNCTION("""COMPUTED_VALUE"""),"")</f>
        <v/>
      </c>
      <c r="BF124" t="str">
        <f ca="1">IFERROR(__xludf.DUMMYFUNCTION("""COMPUTED_VALUE"""),"")</f>
        <v/>
      </c>
      <c r="BG124" t="str">
        <f ca="1">IFERROR(__xludf.DUMMYFUNCTION("""COMPUTED_VALUE"""),"")</f>
        <v/>
      </c>
      <c r="BH124" t="str">
        <f ca="1">IFERROR(__xludf.DUMMYFUNCTION("""COMPUTED_VALUE"""),"")</f>
        <v/>
      </c>
      <c r="BI124" t="str">
        <f ca="1">IFERROR(__xludf.DUMMYFUNCTION("""COMPUTED_VALUE"""),"")</f>
        <v/>
      </c>
      <c r="BJ124" s="3" t="str">
        <f ca="1">IFERROR(__xludf.DUMMYFUNCTION("""COMPUTED_VALUE"""),"")</f>
        <v/>
      </c>
    </row>
    <row r="125" spans="1:62" ht="12.5" x14ac:dyDescent="0.25">
      <c r="A125" s="6">
        <f ca="1">IFERROR(__xludf.DUMMYFUNCTION("""COMPUTED_VALUE"""),43436.8692997337)</f>
        <v>43436.869299733698</v>
      </c>
      <c r="B125" s="2" t="str">
        <f ca="1">IFERROR(__xludf.DUMMYFUNCTION("""COMPUTED_VALUE"""),"Bay of Plenty")</f>
        <v>Bay of Plenty</v>
      </c>
      <c r="C125" s="2" t="str">
        <f ca="1">IFERROR(__xludf.DUMMYFUNCTION("""COMPUTED_VALUE"""),"Tx 38 - Pearl")</f>
        <v>Tx 38 - Pearl</v>
      </c>
      <c r="D125" s="10">
        <f ca="1">IFERROR(__xludf.DUMMYFUNCTION("""COMPUTED_VALUE"""),42970)</f>
        <v>42970</v>
      </c>
      <c r="E125" s="4">
        <f ca="1">IFERROR(__xludf.DUMMYFUNCTION("""COMPUTED_VALUE"""),0.541666666667879)</f>
        <v>0.54166666666787899</v>
      </c>
      <c r="F125" s="2" t="str">
        <f ca="1">IFERROR(__xludf.DUMMYFUNCTION("""COMPUTED_VALUE"""),"Waihi WMR East - salt marsh - opposite cutwater rd")</f>
        <v>Waihi WMR East - salt marsh - opposite cutwater rd</v>
      </c>
      <c r="G125" s="2" t="str">
        <f ca="1">IFERROR(__xludf.DUMMYFUNCTION("""COMPUTED_VALUE"""),"VHF (close approach): I followed the signal until I got within 50 m of the bird")</f>
        <v>VHF (close approach): I followed the signal until I got within 50 m of the bird</v>
      </c>
      <c r="H125" s="2" t="str">
        <f ca="1">IFERROR(__xludf.DUMMYFUNCTION("""COMPUTED_VALUE"""),"")</f>
        <v/>
      </c>
      <c r="I125" s="2" t="str">
        <f ca="1">IFERROR(__xludf.DUMMYFUNCTION("""COMPUTED_VALUE"""),"")</f>
        <v/>
      </c>
      <c r="J125" s="2" t="str">
        <f ca="1">IFERROR(__xludf.DUMMYFUNCTION("""COMPUTED_VALUE"""),"")</f>
        <v/>
      </c>
      <c r="K125" s="2" t="str">
        <f ca="1">IFERROR(__xludf.DUMMYFUNCTION("""COMPUTED_VALUE"""),"")</f>
        <v/>
      </c>
      <c r="L125" s="2" t="str">
        <f ca="1">IFERROR(__xludf.DUMMYFUNCTION("""COMPUTED_VALUE"""),"No - I got very close to the bird but it was well hidden in the vegetation")</f>
        <v>No - I got very close to the bird but it was well hidden in the vegetation</v>
      </c>
      <c r="M125" s="5">
        <f ca="1">IFERROR(__xludf.DUMMYFUNCTION("""COMPUTED_VALUE"""),1907778)</f>
        <v>1907778</v>
      </c>
      <c r="N125" s="5">
        <f ca="1">IFERROR(__xludf.DUMMYFUNCTION("""COMPUTED_VALUE"""),5812960)</f>
        <v>5812960</v>
      </c>
      <c r="O125" s="2" t="str">
        <f ca="1">IFERROR(__xludf.DUMMYFUNCTION("""COMPUTED_VALUE"""),"")</f>
        <v/>
      </c>
      <c r="P125" s="2" t="str">
        <f ca="1">IFERROR(__xludf.DUMMYFUNCTION("""COMPUTED_VALUE"""),"N/A - not grazed")</f>
        <v>N/A - not grazed</v>
      </c>
      <c r="Q125" s="2" t="str">
        <f ca="1">IFERROR(__xludf.DUMMYFUNCTION("""COMPUTED_VALUE"""),"Wet")</f>
        <v>Wet</v>
      </c>
      <c r="R125" s="2" t="str">
        <f ca="1">IFERROR(__xludf.DUMMYFUNCTION("""COMPUTED_VALUE"""),"dont know")</f>
        <v>dont know</v>
      </c>
      <c r="S125" s="2" t="str">
        <f ca="1">IFERROR(__xludf.DUMMYFUNCTION("""COMPUTED_VALUE"""),"dont know")</f>
        <v>dont know</v>
      </c>
      <c r="T125" s="2" t="str">
        <f ca="1">IFERROR(__xludf.DUMMYFUNCTION("""COMPUTED_VALUE"""),"oioi rushlands - saltmarsh")</f>
        <v>oioi rushlands - saltmarsh</v>
      </c>
      <c r="U125" s="2" t="str">
        <f ca="1">IFERROR(__xludf.DUMMYFUNCTION("""COMPUTED_VALUE"""),"Also listned from new subdivision near # 490 Pukehina &amp; home. Very clear signal. - entered by karl ")</f>
        <v xml:space="preserve">Also listned from new subdivision near # 490 Pukehina &amp; home. Very clear signal. - entered by karl </v>
      </c>
      <c r="V125" s="2" t="str">
        <f ca="1">IFERROR(__xludf.DUMMYFUNCTION("""COMPUTED_VALUE"""),"")</f>
        <v/>
      </c>
      <c r="W125" s="2" t="str">
        <f ca="1">IFERROR(__xludf.DUMMYFUNCTION("""COMPUTED_VALUE"""),"")</f>
        <v/>
      </c>
      <c r="X125" s="2" t="str">
        <f ca="1">IFERROR(__xludf.DUMMYFUNCTION("""COMPUTED_VALUE"""),"")</f>
        <v/>
      </c>
      <c r="Y125" s="2" t="str">
        <f ca="1">IFERROR(__xludf.DUMMYFUNCTION("""COMPUTED_VALUE"""),"")</f>
        <v/>
      </c>
      <c r="Z125" s="2" t="str">
        <f ca="1">IFERROR(__xludf.DUMMYFUNCTION("""COMPUTED_VALUE"""),"")</f>
        <v/>
      </c>
      <c r="AA125" s="2" t="str">
        <f ca="1">IFERROR(__xludf.DUMMYFUNCTION("""COMPUTED_VALUE"""),"")</f>
        <v/>
      </c>
      <c r="AB125" s="2" t="str">
        <f ca="1">IFERROR(__xludf.DUMMYFUNCTION("""COMPUTED_VALUE"""),"")</f>
        <v/>
      </c>
      <c r="AC125" s="2" t="str">
        <f ca="1">IFERROR(__xludf.DUMMYFUNCTION("""COMPUTED_VALUE"""),"")</f>
        <v/>
      </c>
      <c r="AD125" s="2" t="str">
        <f ca="1">IFERROR(__xludf.DUMMYFUNCTION("""COMPUTED_VALUE"""),"")</f>
        <v/>
      </c>
      <c r="AE125" s="2" t="str">
        <f ca="1">IFERROR(__xludf.DUMMYFUNCTION("""COMPUTED_VALUE"""),"")</f>
        <v/>
      </c>
      <c r="AF125" s="2" t="str">
        <f ca="1">IFERROR(__xludf.DUMMYFUNCTION("""COMPUTED_VALUE"""),"")</f>
        <v/>
      </c>
      <c r="AG125" s="2" t="str">
        <f ca="1">IFERROR(__xludf.DUMMYFUNCTION("""COMPUTED_VALUE"""),"")</f>
        <v/>
      </c>
      <c r="AH125" s="2" t="str">
        <f ca="1">IFERROR(__xludf.DUMMYFUNCTION("""COMPUTED_VALUE"""),"")</f>
        <v/>
      </c>
      <c r="AI125" s="2" t="str">
        <f ca="1">IFERROR(__xludf.DUMMYFUNCTION("""COMPUTED_VALUE"""),"")</f>
        <v/>
      </c>
      <c r="AJ125" s="2" t="str">
        <f ca="1">IFERROR(__xludf.DUMMYFUNCTION("""COMPUTED_VALUE"""),"")</f>
        <v/>
      </c>
      <c r="AK125" s="2" t="str">
        <f ca="1">IFERROR(__xludf.DUMMYFUNCTION("""COMPUTED_VALUE"""),"")</f>
        <v/>
      </c>
      <c r="AL125" s="2" t="str">
        <f ca="1">IFERROR(__xludf.DUMMYFUNCTION("""COMPUTED_VALUE"""),"")</f>
        <v/>
      </c>
      <c r="AM125" s="2" t="str">
        <f ca="1">IFERROR(__xludf.DUMMYFUNCTION("""COMPUTED_VALUE"""),"")</f>
        <v/>
      </c>
      <c r="AN125" s="2" t="str">
        <f ca="1">IFERROR(__xludf.DUMMYFUNCTION("""COMPUTED_VALUE"""),"")</f>
        <v/>
      </c>
      <c r="AO125" s="2" t="str">
        <f ca="1">IFERROR(__xludf.DUMMYFUNCTION("""COMPUTED_VALUE"""),"")</f>
        <v/>
      </c>
      <c r="AP125" s="2" t="str">
        <f ca="1">IFERROR(__xludf.DUMMYFUNCTION("""COMPUTED_VALUE"""),"")</f>
        <v/>
      </c>
      <c r="AQ125" s="2" t="str">
        <f ca="1">IFERROR(__xludf.DUMMYFUNCTION("""COMPUTED_VALUE"""),"")</f>
        <v/>
      </c>
      <c r="AR125" s="2" t="str">
        <f ca="1">IFERROR(__xludf.DUMMYFUNCTION("""COMPUTED_VALUE"""),"")</f>
        <v/>
      </c>
      <c r="AS125" s="2" t="str">
        <f ca="1">IFERROR(__xludf.DUMMYFUNCTION("""COMPUTED_VALUE"""),"")</f>
        <v/>
      </c>
      <c r="AT125" s="2" t="str">
        <f ca="1">IFERROR(__xludf.DUMMYFUNCTION("""COMPUTED_VALUE"""),"")</f>
        <v/>
      </c>
      <c r="AU125" s="2" t="str">
        <f ca="1">IFERROR(__xludf.DUMMYFUNCTION("""COMPUTED_VALUE"""),"")</f>
        <v/>
      </c>
      <c r="AV125" s="2" t="str">
        <f ca="1">IFERROR(__xludf.DUMMYFUNCTION("""COMPUTED_VALUE"""),"")</f>
        <v/>
      </c>
      <c r="AW125" s="2" t="str">
        <f ca="1">IFERROR(__xludf.DUMMYFUNCTION("""COMPUTED_VALUE"""),"")</f>
        <v/>
      </c>
      <c r="AX125" s="2" t="str">
        <f ca="1">IFERROR(__xludf.DUMMYFUNCTION("""COMPUTED_VALUE"""),"")</f>
        <v/>
      </c>
      <c r="AY125" s="2" t="str">
        <f ca="1">IFERROR(__xludf.DUMMYFUNCTION("""COMPUTED_VALUE"""),"")</f>
        <v/>
      </c>
      <c r="AZ125" s="2" t="str">
        <f ca="1">IFERROR(__xludf.DUMMYFUNCTION("""COMPUTED_VALUE"""),"")</f>
        <v/>
      </c>
      <c r="BA125" s="2" t="str">
        <f ca="1">IFERROR(__xludf.DUMMYFUNCTION("""COMPUTED_VALUE"""),"")</f>
        <v/>
      </c>
      <c r="BB125" s="2" t="str">
        <f ca="1">IFERROR(__xludf.DUMMYFUNCTION("""COMPUTED_VALUE"""),"")</f>
        <v/>
      </c>
      <c r="BC125" s="2" t="str">
        <f ca="1">IFERROR(__xludf.DUMMYFUNCTION("""COMPUTED_VALUE"""),"")</f>
        <v/>
      </c>
      <c r="BD125" s="2" t="str">
        <f ca="1">IFERROR(__xludf.DUMMYFUNCTION("""COMPUTED_VALUE"""),"")</f>
        <v/>
      </c>
      <c r="BE125" s="2" t="str">
        <f ca="1">IFERROR(__xludf.DUMMYFUNCTION("""COMPUTED_VALUE"""),"")</f>
        <v/>
      </c>
      <c r="BF125" t="str">
        <f ca="1">IFERROR(__xludf.DUMMYFUNCTION("""COMPUTED_VALUE"""),"")</f>
        <v/>
      </c>
      <c r="BG125" t="str">
        <f ca="1">IFERROR(__xludf.DUMMYFUNCTION("""COMPUTED_VALUE"""),"")</f>
        <v/>
      </c>
      <c r="BH125" t="str">
        <f ca="1">IFERROR(__xludf.DUMMYFUNCTION("""COMPUTED_VALUE"""),"")</f>
        <v/>
      </c>
      <c r="BI125" t="str">
        <f ca="1">IFERROR(__xludf.DUMMYFUNCTION("""COMPUTED_VALUE"""),"")</f>
        <v/>
      </c>
      <c r="BJ125" s="3" t="str">
        <f ca="1">IFERROR(__xludf.DUMMYFUNCTION("""COMPUTED_VALUE"""),"")</f>
        <v/>
      </c>
    </row>
    <row r="126" spans="1:62" ht="12.5" x14ac:dyDescent="0.25">
      <c r="A126" s="6">
        <f ca="1">IFERROR(__xludf.DUMMYFUNCTION("""COMPUTED_VALUE"""),43436.8727660763)</f>
        <v>43436.872766076303</v>
      </c>
      <c r="B126" s="2" t="str">
        <f ca="1">IFERROR(__xludf.DUMMYFUNCTION("""COMPUTED_VALUE"""),"Bay of Plenty")</f>
        <v>Bay of Plenty</v>
      </c>
      <c r="C126" s="2" t="str">
        <f ca="1">IFERROR(__xludf.DUMMYFUNCTION("""COMPUTED_VALUE"""),"Tx 38 - Pearl")</f>
        <v>Tx 38 - Pearl</v>
      </c>
      <c r="D126" s="10">
        <f ca="1">IFERROR(__xludf.DUMMYFUNCTION("""COMPUTED_VALUE"""),42981)</f>
        <v>42981</v>
      </c>
      <c r="E126" s="4">
        <f ca="1">IFERROR(__xludf.DUMMYFUNCTION("""COMPUTED_VALUE"""),0.416666666667879)</f>
        <v>0.41666666666787899</v>
      </c>
      <c r="F126" s="2" t="str">
        <f ca="1">IFERROR(__xludf.DUMMYFUNCTION("""COMPUTED_VALUE"""),"Waihi WMR east - saltmarsh opposite cutwater rd ")</f>
        <v xml:space="preserve">Waihi WMR east - saltmarsh opposite cutwater rd </v>
      </c>
      <c r="G126" s="2" t="str">
        <f ca="1">IFERROR(__xludf.DUMMYFUNCTION("""COMPUTED_VALUE"""),"VHF (close approach): I followed the signal until I got within 50 m of the bird")</f>
        <v>VHF (close approach): I followed the signal until I got within 50 m of the bird</v>
      </c>
      <c r="H126" s="2" t="str">
        <f ca="1">IFERROR(__xludf.DUMMYFUNCTION("""COMPUTED_VALUE"""),"")</f>
        <v/>
      </c>
      <c r="I126" s="2" t="str">
        <f ca="1">IFERROR(__xludf.DUMMYFUNCTION("""COMPUTED_VALUE"""),"")</f>
        <v/>
      </c>
      <c r="J126" s="2" t="str">
        <f ca="1">IFERROR(__xludf.DUMMYFUNCTION("""COMPUTED_VALUE"""),"")</f>
        <v/>
      </c>
      <c r="K126" s="2" t="str">
        <f ca="1">IFERROR(__xludf.DUMMYFUNCTION("""COMPUTED_VALUE"""),"")</f>
        <v/>
      </c>
      <c r="L126" s="2" t="str">
        <f ca="1">IFERROR(__xludf.DUMMYFUNCTION("""COMPUTED_VALUE"""),"No - I got very close to the bird but it was well hidden in the vegetation")</f>
        <v>No - I got very close to the bird but it was well hidden in the vegetation</v>
      </c>
      <c r="M126" s="5">
        <f ca="1">IFERROR(__xludf.DUMMYFUNCTION("""COMPUTED_VALUE"""),1907690)</f>
        <v>1907690</v>
      </c>
      <c r="N126" s="5">
        <f ca="1">IFERROR(__xludf.DUMMYFUNCTION("""COMPUTED_VALUE"""),5812891)</f>
        <v>5812891</v>
      </c>
      <c r="O126" s="2" t="str">
        <f ca="1">IFERROR(__xludf.DUMMYFUNCTION("""COMPUTED_VALUE"""),"")</f>
        <v/>
      </c>
      <c r="P126" s="2" t="str">
        <f ca="1">IFERROR(__xludf.DUMMYFUNCTION("""COMPUTED_VALUE"""),"N/A - not grazed")</f>
        <v>N/A - not grazed</v>
      </c>
      <c r="Q126" s="2" t="str">
        <f ca="1">IFERROR(__xludf.DUMMYFUNCTION("""COMPUTED_VALUE"""),"Wet")</f>
        <v>Wet</v>
      </c>
      <c r="R126" s="2" t="str">
        <f ca="1">IFERROR(__xludf.DUMMYFUNCTION("""COMPUTED_VALUE"""),"dont know")</f>
        <v>dont know</v>
      </c>
      <c r="S126" s="2" t="str">
        <f ca="1">IFERROR(__xludf.DUMMYFUNCTION("""COMPUTED_VALUE"""),"dont know")</f>
        <v>dont know</v>
      </c>
      <c r="T126" s="2" t="str">
        <f ca="1">IFERROR(__xludf.DUMMYFUNCTION("""COMPUTED_VALUE"""),"oioi rushland - saltmarsh ")</f>
        <v xml:space="preserve">oioi rushland - saltmarsh </v>
      </c>
      <c r="U126" s="2" t="str">
        <f ca="1">IFERROR(__xludf.DUMMYFUNCTION("""COMPUTED_VALUE"""),"Also listned from new subdivision area of Pukehina. Very clear signal, good listening point. ")</f>
        <v xml:space="preserve">Also listned from new subdivision area of Pukehina. Very clear signal, good listening point. </v>
      </c>
      <c r="V126" s="2" t="str">
        <f ca="1">IFERROR(__xludf.DUMMYFUNCTION("""COMPUTED_VALUE"""),"")</f>
        <v/>
      </c>
      <c r="W126" s="2" t="str">
        <f ca="1">IFERROR(__xludf.DUMMYFUNCTION("""COMPUTED_VALUE"""),"")</f>
        <v/>
      </c>
      <c r="X126" s="2" t="str">
        <f ca="1">IFERROR(__xludf.DUMMYFUNCTION("""COMPUTED_VALUE"""),"")</f>
        <v/>
      </c>
      <c r="Y126" s="2" t="str">
        <f ca="1">IFERROR(__xludf.DUMMYFUNCTION("""COMPUTED_VALUE"""),"")</f>
        <v/>
      </c>
      <c r="Z126" s="2" t="str">
        <f ca="1">IFERROR(__xludf.DUMMYFUNCTION("""COMPUTED_VALUE"""),"")</f>
        <v/>
      </c>
      <c r="AA126" s="2" t="str">
        <f ca="1">IFERROR(__xludf.DUMMYFUNCTION("""COMPUTED_VALUE"""),"")</f>
        <v/>
      </c>
      <c r="AB126" s="2" t="str">
        <f ca="1">IFERROR(__xludf.DUMMYFUNCTION("""COMPUTED_VALUE"""),"")</f>
        <v/>
      </c>
      <c r="AC126" s="2" t="str">
        <f ca="1">IFERROR(__xludf.DUMMYFUNCTION("""COMPUTED_VALUE"""),"")</f>
        <v/>
      </c>
      <c r="AD126" s="2" t="str">
        <f ca="1">IFERROR(__xludf.DUMMYFUNCTION("""COMPUTED_VALUE"""),"")</f>
        <v/>
      </c>
      <c r="AE126" s="2" t="str">
        <f ca="1">IFERROR(__xludf.DUMMYFUNCTION("""COMPUTED_VALUE"""),"")</f>
        <v/>
      </c>
      <c r="AF126" s="2" t="str">
        <f ca="1">IFERROR(__xludf.DUMMYFUNCTION("""COMPUTED_VALUE"""),"")</f>
        <v/>
      </c>
      <c r="AG126" s="2" t="str">
        <f ca="1">IFERROR(__xludf.DUMMYFUNCTION("""COMPUTED_VALUE"""),"")</f>
        <v/>
      </c>
      <c r="AH126" s="2" t="str">
        <f ca="1">IFERROR(__xludf.DUMMYFUNCTION("""COMPUTED_VALUE"""),"")</f>
        <v/>
      </c>
      <c r="AI126" s="2" t="str">
        <f ca="1">IFERROR(__xludf.DUMMYFUNCTION("""COMPUTED_VALUE"""),"")</f>
        <v/>
      </c>
      <c r="AJ126" s="2" t="str">
        <f ca="1">IFERROR(__xludf.DUMMYFUNCTION("""COMPUTED_VALUE"""),"")</f>
        <v/>
      </c>
      <c r="AK126" s="2" t="str">
        <f ca="1">IFERROR(__xludf.DUMMYFUNCTION("""COMPUTED_VALUE"""),"")</f>
        <v/>
      </c>
      <c r="AL126" s="2" t="str">
        <f ca="1">IFERROR(__xludf.DUMMYFUNCTION("""COMPUTED_VALUE"""),"")</f>
        <v/>
      </c>
      <c r="AM126" s="2" t="str">
        <f ca="1">IFERROR(__xludf.DUMMYFUNCTION("""COMPUTED_VALUE"""),"")</f>
        <v/>
      </c>
      <c r="AN126" s="2" t="str">
        <f ca="1">IFERROR(__xludf.DUMMYFUNCTION("""COMPUTED_VALUE"""),"")</f>
        <v/>
      </c>
      <c r="AO126" s="2" t="str">
        <f ca="1">IFERROR(__xludf.DUMMYFUNCTION("""COMPUTED_VALUE"""),"")</f>
        <v/>
      </c>
      <c r="AP126" s="2" t="str">
        <f ca="1">IFERROR(__xludf.DUMMYFUNCTION("""COMPUTED_VALUE"""),"")</f>
        <v/>
      </c>
      <c r="AQ126" s="2" t="str">
        <f ca="1">IFERROR(__xludf.DUMMYFUNCTION("""COMPUTED_VALUE"""),"")</f>
        <v/>
      </c>
      <c r="AR126" s="2" t="str">
        <f ca="1">IFERROR(__xludf.DUMMYFUNCTION("""COMPUTED_VALUE"""),"")</f>
        <v/>
      </c>
      <c r="AS126" s="2" t="str">
        <f ca="1">IFERROR(__xludf.DUMMYFUNCTION("""COMPUTED_VALUE"""),"")</f>
        <v/>
      </c>
      <c r="AT126" s="2" t="str">
        <f ca="1">IFERROR(__xludf.DUMMYFUNCTION("""COMPUTED_VALUE"""),"")</f>
        <v/>
      </c>
      <c r="AU126" s="2" t="str">
        <f ca="1">IFERROR(__xludf.DUMMYFUNCTION("""COMPUTED_VALUE"""),"")</f>
        <v/>
      </c>
      <c r="AV126" s="2" t="str">
        <f ca="1">IFERROR(__xludf.DUMMYFUNCTION("""COMPUTED_VALUE"""),"")</f>
        <v/>
      </c>
      <c r="AW126" s="2" t="str">
        <f ca="1">IFERROR(__xludf.DUMMYFUNCTION("""COMPUTED_VALUE"""),"")</f>
        <v/>
      </c>
      <c r="AX126" s="2" t="str">
        <f ca="1">IFERROR(__xludf.DUMMYFUNCTION("""COMPUTED_VALUE"""),"")</f>
        <v/>
      </c>
      <c r="AY126" s="2" t="str">
        <f ca="1">IFERROR(__xludf.DUMMYFUNCTION("""COMPUTED_VALUE"""),"")</f>
        <v/>
      </c>
      <c r="AZ126" s="2" t="str">
        <f ca="1">IFERROR(__xludf.DUMMYFUNCTION("""COMPUTED_VALUE"""),"")</f>
        <v/>
      </c>
      <c r="BA126" s="2" t="str">
        <f ca="1">IFERROR(__xludf.DUMMYFUNCTION("""COMPUTED_VALUE"""),"")</f>
        <v/>
      </c>
      <c r="BB126" s="2" t="str">
        <f ca="1">IFERROR(__xludf.DUMMYFUNCTION("""COMPUTED_VALUE"""),"")</f>
        <v/>
      </c>
      <c r="BC126" s="2" t="str">
        <f ca="1">IFERROR(__xludf.DUMMYFUNCTION("""COMPUTED_VALUE"""),"")</f>
        <v/>
      </c>
      <c r="BD126" s="2" t="str">
        <f ca="1">IFERROR(__xludf.DUMMYFUNCTION("""COMPUTED_VALUE"""),"")</f>
        <v/>
      </c>
      <c r="BE126" s="2" t="str">
        <f ca="1">IFERROR(__xludf.DUMMYFUNCTION("""COMPUTED_VALUE"""),"")</f>
        <v/>
      </c>
      <c r="BF126" t="str">
        <f ca="1">IFERROR(__xludf.DUMMYFUNCTION("""COMPUTED_VALUE"""),"")</f>
        <v/>
      </c>
      <c r="BG126" t="str">
        <f ca="1">IFERROR(__xludf.DUMMYFUNCTION("""COMPUTED_VALUE"""),"")</f>
        <v/>
      </c>
      <c r="BH126" t="str">
        <f ca="1">IFERROR(__xludf.DUMMYFUNCTION("""COMPUTED_VALUE"""),"")</f>
        <v/>
      </c>
      <c r="BI126" t="str">
        <f ca="1">IFERROR(__xludf.DUMMYFUNCTION("""COMPUTED_VALUE"""),"")</f>
        <v/>
      </c>
      <c r="BJ126" s="3" t="str">
        <f ca="1">IFERROR(__xludf.DUMMYFUNCTION("""COMPUTED_VALUE"""),"")</f>
        <v/>
      </c>
    </row>
    <row r="127" spans="1:62" ht="12.5" x14ac:dyDescent="0.25">
      <c r="A127" s="6">
        <f ca="1">IFERROR(__xludf.DUMMYFUNCTION("""COMPUTED_VALUE"""),43437.7402735069)</f>
        <v>43437.740273506897</v>
      </c>
      <c r="B127" s="2" t="str">
        <f ca="1">IFERROR(__xludf.DUMMYFUNCTION("""COMPUTED_VALUE"""),"Bay of Plenty")</f>
        <v>Bay of Plenty</v>
      </c>
      <c r="C127" s="2" t="str">
        <f ca="1">IFERROR(__xludf.DUMMYFUNCTION("""COMPUTED_VALUE"""),"Tx 54")</f>
        <v>Tx 54</v>
      </c>
      <c r="D127" s="10">
        <f ca="1">IFERROR(__xludf.DUMMYFUNCTION("""COMPUTED_VALUE"""),43437)</f>
        <v>43437</v>
      </c>
      <c r="E127" s="4">
        <f ca="1">IFERROR(__xludf.DUMMYFUNCTION("""COMPUTED_VALUE"""),0.45833333333212)</f>
        <v>0.45833333333212001</v>
      </c>
      <c r="F127" s="2" t="str">
        <f ca="1">IFERROR(__xludf.DUMMYFUNCTION("""COMPUTED_VALUE"""),"Waihi WMR East - Saltmarsh opposite cutwater rd")</f>
        <v>Waihi WMR East - Saltmarsh opposite cutwater rd</v>
      </c>
      <c r="G127" s="2" t="str">
        <f ca="1">IFERROR(__xludf.DUMMYFUNCTION("""COMPUTED_VALUE"""),"VHF (close approach): I followed the signal until I got within 50 m of the bird")</f>
        <v>VHF (close approach): I followed the signal until I got within 50 m of the bird</v>
      </c>
      <c r="H127" s="2" t="str">
        <f ca="1">IFERROR(__xludf.DUMMYFUNCTION("""COMPUTED_VALUE"""),"")</f>
        <v/>
      </c>
      <c r="I127" s="2" t="str">
        <f ca="1">IFERROR(__xludf.DUMMYFUNCTION("""COMPUTED_VALUE"""),"")</f>
        <v/>
      </c>
      <c r="J127" s="2" t="str">
        <f ca="1">IFERROR(__xludf.DUMMYFUNCTION("""COMPUTED_VALUE"""),"")</f>
        <v/>
      </c>
      <c r="K127" s="2" t="str">
        <f ca="1">IFERROR(__xludf.DUMMYFUNCTION("""COMPUTED_VALUE"""),"")</f>
        <v/>
      </c>
      <c r="L127" s="2" t="str">
        <f ca="1">IFERROR(__xludf.DUMMYFUNCTION("""COMPUTED_VALUE"""),"No - I got very close to the bird but it was well hidden in the vegetation")</f>
        <v>No - I got very close to the bird but it was well hidden in the vegetation</v>
      </c>
      <c r="M127" s="5">
        <f ca="1">IFERROR(__xludf.DUMMYFUNCTION("""COMPUTED_VALUE"""),1907427)</f>
        <v>1907427</v>
      </c>
      <c r="N127" s="5">
        <f ca="1">IFERROR(__xludf.DUMMYFUNCTION("""COMPUTED_VALUE"""),5813024)</f>
        <v>5813024</v>
      </c>
      <c r="O127" s="2" t="str">
        <f ca="1">IFERROR(__xludf.DUMMYFUNCTION("""COMPUTED_VALUE"""),"")</f>
        <v/>
      </c>
      <c r="P127" s="2" t="str">
        <f ca="1">IFERROR(__xludf.DUMMYFUNCTION("""COMPUTED_VALUE"""),"N/A - not grazed")</f>
        <v>N/A - not grazed</v>
      </c>
      <c r="Q127" s="2" t="str">
        <f ca="1">IFERROR(__xludf.DUMMYFUNCTION("""COMPUTED_VALUE"""),"Wet")</f>
        <v>Wet</v>
      </c>
      <c r="R127" s="2" t="str">
        <f ca="1">IFERROR(__xludf.DUMMYFUNCTION("""COMPUTED_VALUE"""),"dont know - tide low ")</f>
        <v xml:space="preserve">dont know - tide low </v>
      </c>
      <c r="S127" s="2" t="str">
        <f ca="1">IFERROR(__xludf.DUMMYFUNCTION("""COMPUTED_VALUE"""),"dont know ")</f>
        <v xml:space="preserve">dont know </v>
      </c>
      <c r="T127" s="2" t="str">
        <f ca="1">IFERROR(__xludf.DUMMYFUNCTION("""COMPUTED_VALUE"""),"Saltmarsh")</f>
        <v>Saltmarsh</v>
      </c>
      <c r="U127" s="2" t="str">
        <f ca="1">IFERROR(__xludf.DUMMYFUNCTION("""COMPUTED_VALUE"""),"Near capture site. ")</f>
        <v xml:space="preserve">Near capture site. </v>
      </c>
      <c r="V127" s="2" t="str">
        <f ca="1">IFERROR(__xludf.DUMMYFUNCTION("""COMPUTED_VALUE"""),"")</f>
        <v/>
      </c>
      <c r="W127" s="2" t="str">
        <f ca="1">IFERROR(__xludf.DUMMYFUNCTION("""COMPUTED_VALUE"""),"")</f>
        <v/>
      </c>
      <c r="X127" s="2" t="str">
        <f ca="1">IFERROR(__xludf.DUMMYFUNCTION("""COMPUTED_VALUE"""),"")</f>
        <v/>
      </c>
      <c r="Y127" s="2" t="str">
        <f ca="1">IFERROR(__xludf.DUMMYFUNCTION("""COMPUTED_VALUE"""),"")</f>
        <v/>
      </c>
      <c r="Z127" s="2" t="str">
        <f ca="1">IFERROR(__xludf.DUMMYFUNCTION("""COMPUTED_VALUE"""),"")</f>
        <v/>
      </c>
      <c r="AA127" s="2" t="str">
        <f ca="1">IFERROR(__xludf.DUMMYFUNCTION("""COMPUTED_VALUE"""),"")</f>
        <v/>
      </c>
      <c r="AB127" s="2" t="str">
        <f ca="1">IFERROR(__xludf.DUMMYFUNCTION("""COMPUTED_VALUE"""),"")</f>
        <v/>
      </c>
      <c r="AC127" s="2" t="str">
        <f ca="1">IFERROR(__xludf.DUMMYFUNCTION("""COMPUTED_VALUE"""),"")</f>
        <v/>
      </c>
      <c r="AD127" s="2" t="str">
        <f ca="1">IFERROR(__xludf.DUMMYFUNCTION("""COMPUTED_VALUE"""),"")</f>
        <v/>
      </c>
      <c r="AE127" s="2" t="str">
        <f ca="1">IFERROR(__xludf.DUMMYFUNCTION("""COMPUTED_VALUE"""),"")</f>
        <v/>
      </c>
      <c r="AF127" s="2" t="str">
        <f ca="1">IFERROR(__xludf.DUMMYFUNCTION("""COMPUTED_VALUE"""),"")</f>
        <v/>
      </c>
      <c r="AG127" s="2" t="str">
        <f ca="1">IFERROR(__xludf.DUMMYFUNCTION("""COMPUTED_VALUE"""),"")</f>
        <v/>
      </c>
      <c r="AH127" s="2" t="str">
        <f ca="1">IFERROR(__xludf.DUMMYFUNCTION("""COMPUTED_VALUE"""),"")</f>
        <v/>
      </c>
      <c r="AI127" s="2" t="str">
        <f ca="1">IFERROR(__xludf.DUMMYFUNCTION("""COMPUTED_VALUE"""),"")</f>
        <v/>
      </c>
      <c r="AJ127" s="2" t="str">
        <f ca="1">IFERROR(__xludf.DUMMYFUNCTION("""COMPUTED_VALUE"""),"")</f>
        <v/>
      </c>
      <c r="AK127" s="2" t="str">
        <f ca="1">IFERROR(__xludf.DUMMYFUNCTION("""COMPUTED_VALUE"""),"")</f>
        <v/>
      </c>
      <c r="AL127" s="2" t="str">
        <f ca="1">IFERROR(__xludf.DUMMYFUNCTION("""COMPUTED_VALUE"""),"")</f>
        <v/>
      </c>
      <c r="AM127" s="2" t="str">
        <f ca="1">IFERROR(__xludf.DUMMYFUNCTION("""COMPUTED_VALUE"""),"")</f>
        <v/>
      </c>
      <c r="AN127" s="2" t="str">
        <f ca="1">IFERROR(__xludf.DUMMYFUNCTION("""COMPUTED_VALUE"""),"")</f>
        <v/>
      </c>
      <c r="AO127" s="2" t="str">
        <f ca="1">IFERROR(__xludf.DUMMYFUNCTION("""COMPUTED_VALUE"""),"")</f>
        <v/>
      </c>
      <c r="AP127" s="2" t="str">
        <f ca="1">IFERROR(__xludf.DUMMYFUNCTION("""COMPUTED_VALUE"""),"")</f>
        <v/>
      </c>
      <c r="AQ127" s="2" t="str">
        <f ca="1">IFERROR(__xludf.DUMMYFUNCTION("""COMPUTED_VALUE"""),"")</f>
        <v/>
      </c>
      <c r="AR127" s="2" t="str">
        <f ca="1">IFERROR(__xludf.DUMMYFUNCTION("""COMPUTED_VALUE"""),"")</f>
        <v/>
      </c>
      <c r="AS127" s="2" t="str">
        <f ca="1">IFERROR(__xludf.DUMMYFUNCTION("""COMPUTED_VALUE"""),"")</f>
        <v/>
      </c>
      <c r="AT127" s="2" t="str">
        <f ca="1">IFERROR(__xludf.DUMMYFUNCTION("""COMPUTED_VALUE"""),"")</f>
        <v/>
      </c>
      <c r="AU127" s="2" t="str">
        <f ca="1">IFERROR(__xludf.DUMMYFUNCTION("""COMPUTED_VALUE"""),"")</f>
        <v/>
      </c>
      <c r="AV127" s="2" t="str">
        <f ca="1">IFERROR(__xludf.DUMMYFUNCTION("""COMPUTED_VALUE"""),"")</f>
        <v/>
      </c>
      <c r="AW127" s="2" t="str">
        <f ca="1">IFERROR(__xludf.DUMMYFUNCTION("""COMPUTED_VALUE"""),"")</f>
        <v/>
      </c>
      <c r="AX127" s="2" t="str">
        <f ca="1">IFERROR(__xludf.DUMMYFUNCTION("""COMPUTED_VALUE"""),"")</f>
        <v/>
      </c>
      <c r="AY127" s="2" t="str">
        <f ca="1">IFERROR(__xludf.DUMMYFUNCTION("""COMPUTED_VALUE"""),"")</f>
        <v/>
      </c>
      <c r="AZ127" s="2" t="str">
        <f ca="1">IFERROR(__xludf.DUMMYFUNCTION("""COMPUTED_VALUE"""),"")</f>
        <v/>
      </c>
      <c r="BA127" s="2" t="str">
        <f ca="1">IFERROR(__xludf.DUMMYFUNCTION("""COMPUTED_VALUE"""),"")</f>
        <v/>
      </c>
      <c r="BB127" s="2" t="str">
        <f ca="1">IFERROR(__xludf.DUMMYFUNCTION("""COMPUTED_VALUE"""),"")</f>
        <v/>
      </c>
      <c r="BC127" s="2" t="str">
        <f ca="1">IFERROR(__xludf.DUMMYFUNCTION("""COMPUTED_VALUE"""),"")</f>
        <v/>
      </c>
      <c r="BD127" s="2" t="str">
        <f ca="1">IFERROR(__xludf.DUMMYFUNCTION("""COMPUTED_VALUE"""),"")</f>
        <v/>
      </c>
      <c r="BE127" s="2" t="str">
        <f ca="1">IFERROR(__xludf.DUMMYFUNCTION("""COMPUTED_VALUE"""),"")</f>
        <v/>
      </c>
      <c r="BF127" t="str">
        <f ca="1">IFERROR(__xludf.DUMMYFUNCTION("""COMPUTED_VALUE"""),"")</f>
        <v/>
      </c>
      <c r="BG127" t="str">
        <f ca="1">IFERROR(__xludf.DUMMYFUNCTION("""COMPUTED_VALUE"""),"")</f>
        <v/>
      </c>
      <c r="BH127" t="str">
        <f ca="1">IFERROR(__xludf.DUMMYFUNCTION("""COMPUTED_VALUE"""),"")</f>
        <v/>
      </c>
      <c r="BI127" t="str">
        <f ca="1">IFERROR(__xludf.DUMMYFUNCTION("""COMPUTED_VALUE"""),"")</f>
        <v/>
      </c>
      <c r="BJ127" s="3" t="str">
        <f ca="1">IFERROR(__xludf.DUMMYFUNCTION("""COMPUTED_VALUE"""),"")</f>
        <v/>
      </c>
    </row>
    <row r="128" spans="1:62" ht="12.5" x14ac:dyDescent="0.25">
      <c r="A128" s="6">
        <f ca="1">IFERROR(__xludf.DUMMYFUNCTION("""COMPUTED_VALUE"""),43437.7478538888)</f>
        <v>43437.747853888803</v>
      </c>
      <c r="B128" s="2" t="str">
        <f ca="1">IFERROR(__xludf.DUMMYFUNCTION("""COMPUTED_VALUE"""),"Bay of Plenty")</f>
        <v>Bay of Plenty</v>
      </c>
      <c r="C128" s="2" t="str">
        <f ca="1">IFERROR(__xludf.DUMMYFUNCTION("""COMPUTED_VALUE"""),"Unmarked bird")</f>
        <v>Unmarked bird</v>
      </c>
      <c r="D128" s="10">
        <f ca="1">IFERROR(__xludf.DUMMYFUNCTION("""COMPUTED_VALUE"""),43437)</f>
        <v>43437</v>
      </c>
      <c r="E128" s="4">
        <f ca="1">IFERROR(__xludf.DUMMYFUNCTION("""COMPUTED_VALUE"""),0.39583333333212)</f>
        <v>0.39583333333212001</v>
      </c>
      <c r="F128" s="2" t="str">
        <f ca="1">IFERROR(__xludf.DUMMYFUNCTION("""COMPUTED_VALUE"""),"Toll road - beside Kaituna wetland")</f>
        <v>Toll road - beside Kaituna wetland</v>
      </c>
      <c r="G128" s="2" t="str">
        <f ca="1">IFERROR(__xludf.DUMMYFUNCTION("""COMPUTED_VALUE"""),"VHF (close approach): I followed the signal until I got within 50 m of the bird")</f>
        <v>VHF (close approach): I followed the signal until I got within 50 m of the bird</v>
      </c>
      <c r="H128" s="2" t="str">
        <f ca="1">IFERROR(__xludf.DUMMYFUNCTION("""COMPUTED_VALUE"""),"")</f>
        <v/>
      </c>
      <c r="I128" s="2" t="str">
        <f ca="1">IFERROR(__xludf.DUMMYFUNCTION("""COMPUTED_VALUE"""),"")</f>
        <v/>
      </c>
      <c r="J128" s="2" t="str">
        <f ca="1">IFERROR(__xludf.DUMMYFUNCTION("""COMPUTED_VALUE"""),"")</f>
        <v/>
      </c>
      <c r="K128" s="2" t="str">
        <f ca="1">IFERROR(__xludf.DUMMYFUNCTION("""COMPUTED_VALUE"""),"")</f>
        <v/>
      </c>
      <c r="L128" s="2" t="str">
        <f ca="1">IFERROR(__xludf.DUMMYFUNCTION("""COMPUTED_VALUE"""),"Yes - it flushed")</f>
        <v>Yes - it flushed</v>
      </c>
      <c r="M128" s="5">
        <f ca="1">IFERROR(__xludf.DUMMYFUNCTION("""COMPUTED_VALUE"""),1895958)</f>
        <v>1895958</v>
      </c>
      <c r="N128" s="5">
        <f ca="1">IFERROR(__xludf.DUMMYFUNCTION("""COMPUTED_VALUE"""),5816255)</f>
        <v>5816255</v>
      </c>
      <c r="O128" s="2" t="str">
        <f ca="1">IFERROR(__xludf.DUMMYFUNCTION("""COMPUTED_VALUE"""),"")</f>
        <v/>
      </c>
      <c r="P128" s="2" t="str">
        <f ca="1">IFERROR(__xludf.DUMMYFUNCTION("""COMPUTED_VALUE"""),"Don't know")</f>
        <v>Don't know</v>
      </c>
      <c r="Q128" s="2" t="str">
        <f ca="1">IFERROR(__xludf.DUMMYFUNCTION("""COMPUTED_VALUE"""),"Don't know")</f>
        <v>Don't know</v>
      </c>
      <c r="R128" s="2" t="str">
        <f ca="1">IFERROR(__xludf.DUMMYFUNCTION("""COMPUTED_VALUE"""),"dont know")</f>
        <v>dont know</v>
      </c>
      <c r="S128" s="2" t="str">
        <f ca="1">IFERROR(__xludf.DUMMYFUNCTION("""COMPUTED_VALUE"""),"dont know")</f>
        <v>dont know</v>
      </c>
      <c r="T128" s="2" t="str">
        <f ca="1">IFERROR(__xludf.DUMMYFUNCTION("""COMPUTED_VALUE"""),"air - was flying ")</f>
        <v xml:space="preserve">air - was flying </v>
      </c>
      <c r="U128" s="2" t="str">
        <f ca="1">IFERROR(__xludf.DUMMYFUNCTION("""COMPUTED_VALUE"""),"sighting - note form has lots of N/A with sightings but not an option to select. sighting only flying from famland across road towards Kaituna WMR ")</f>
        <v xml:space="preserve">sighting - note form has lots of N/A with sightings but not an option to select. sighting only flying from famland across road towards Kaituna WMR </v>
      </c>
      <c r="V128" s="2" t="str">
        <f ca="1">IFERROR(__xludf.DUMMYFUNCTION("""COMPUTED_VALUE"""),"")</f>
        <v/>
      </c>
      <c r="W128" s="2" t="str">
        <f ca="1">IFERROR(__xludf.DUMMYFUNCTION("""COMPUTED_VALUE"""),"")</f>
        <v/>
      </c>
      <c r="X128" s="2" t="str">
        <f ca="1">IFERROR(__xludf.DUMMYFUNCTION("""COMPUTED_VALUE"""),"")</f>
        <v/>
      </c>
      <c r="Y128" s="2" t="str">
        <f ca="1">IFERROR(__xludf.DUMMYFUNCTION("""COMPUTED_VALUE"""),"")</f>
        <v/>
      </c>
      <c r="Z128" s="2" t="str">
        <f ca="1">IFERROR(__xludf.DUMMYFUNCTION("""COMPUTED_VALUE"""),"")</f>
        <v/>
      </c>
      <c r="AA128" s="2" t="str">
        <f ca="1">IFERROR(__xludf.DUMMYFUNCTION("""COMPUTED_VALUE"""),"")</f>
        <v/>
      </c>
      <c r="AB128" s="2" t="str">
        <f ca="1">IFERROR(__xludf.DUMMYFUNCTION("""COMPUTED_VALUE"""),"")</f>
        <v/>
      </c>
      <c r="AC128" s="2" t="str">
        <f ca="1">IFERROR(__xludf.DUMMYFUNCTION("""COMPUTED_VALUE"""),"")</f>
        <v/>
      </c>
      <c r="AD128" s="2" t="str">
        <f ca="1">IFERROR(__xludf.DUMMYFUNCTION("""COMPUTED_VALUE"""),"")</f>
        <v/>
      </c>
      <c r="AE128" s="2" t="str">
        <f ca="1">IFERROR(__xludf.DUMMYFUNCTION("""COMPUTED_VALUE"""),"")</f>
        <v/>
      </c>
      <c r="AF128" s="2" t="str">
        <f ca="1">IFERROR(__xludf.DUMMYFUNCTION("""COMPUTED_VALUE"""),"")</f>
        <v/>
      </c>
      <c r="AG128" s="2" t="str">
        <f ca="1">IFERROR(__xludf.DUMMYFUNCTION("""COMPUTED_VALUE"""),"")</f>
        <v/>
      </c>
      <c r="AH128" s="2" t="str">
        <f ca="1">IFERROR(__xludf.DUMMYFUNCTION("""COMPUTED_VALUE"""),"")</f>
        <v/>
      </c>
      <c r="AI128" s="2" t="str">
        <f ca="1">IFERROR(__xludf.DUMMYFUNCTION("""COMPUTED_VALUE"""),"")</f>
        <v/>
      </c>
      <c r="AJ128" s="2" t="str">
        <f ca="1">IFERROR(__xludf.DUMMYFUNCTION("""COMPUTED_VALUE"""),"")</f>
        <v/>
      </c>
      <c r="AK128" s="2" t="str">
        <f ca="1">IFERROR(__xludf.DUMMYFUNCTION("""COMPUTED_VALUE"""),"")</f>
        <v/>
      </c>
      <c r="AL128" s="2" t="str">
        <f ca="1">IFERROR(__xludf.DUMMYFUNCTION("""COMPUTED_VALUE"""),"")</f>
        <v/>
      </c>
      <c r="AM128" s="2" t="str">
        <f ca="1">IFERROR(__xludf.DUMMYFUNCTION("""COMPUTED_VALUE"""),"")</f>
        <v/>
      </c>
      <c r="AN128" s="2" t="str">
        <f ca="1">IFERROR(__xludf.DUMMYFUNCTION("""COMPUTED_VALUE"""),"")</f>
        <v/>
      </c>
      <c r="AO128" s="2" t="str">
        <f ca="1">IFERROR(__xludf.DUMMYFUNCTION("""COMPUTED_VALUE"""),"")</f>
        <v/>
      </c>
      <c r="AP128" s="2" t="str">
        <f ca="1">IFERROR(__xludf.DUMMYFUNCTION("""COMPUTED_VALUE"""),"")</f>
        <v/>
      </c>
      <c r="AQ128" s="2" t="str">
        <f ca="1">IFERROR(__xludf.DUMMYFUNCTION("""COMPUTED_VALUE"""),"")</f>
        <v/>
      </c>
      <c r="AR128" s="2" t="str">
        <f ca="1">IFERROR(__xludf.DUMMYFUNCTION("""COMPUTED_VALUE"""),"")</f>
        <v/>
      </c>
      <c r="AS128" s="2" t="str">
        <f ca="1">IFERROR(__xludf.DUMMYFUNCTION("""COMPUTED_VALUE"""),"")</f>
        <v/>
      </c>
      <c r="AT128" s="2" t="str">
        <f ca="1">IFERROR(__xludf.DUMMYFUNCTION("""COMPUTED_VALUE"""),"")</f>
        <v/>
      </c>
      <c r="AU128" s="2" t="str">
        <f ca="1">IFERROR(__xludf.DUMMYFUNCTION("""COMPUTED_VALUE"""),"")</f>
        <v/>
      </c>
      <c r="AV128" s="2" t="str">
        <f ca="1">IFERROR(__xludf.DUMMYFUNCTION("""COMPUTED_VALUE"""),"")</f>
        <v/>
      </c>
      <c r="AW128" s="2" t="str">
        <f ca="1">IFERROR(__xludf.DUMMYFUNCTION("""COMPUTED_VALUE"""),"")</f>
        <v/>
      </c>
      <c r="AX128" s="2" t="str">
        <f ca="1">IFERROR(__xludf.DUMMYFUNCTION("""COMPUTED_VALUE"""),"")</f>
        <v/>
      </c>
      <c r="AY128" s="2" t="str">
        <f ca="1">IFERROR(__xludf.DUMMYFUNCTION("""COMPUTED_VALUE"""),"")</f>
        <v/>
      </c>
      <c r="AZ128" s="2" t="str">
        <f ca="1">IFERROR(__xludf.DUMMYFUNCTION("""COMPUTED_VALUE"""),"")</f>
        <v/>
      </c>
      <c r="BA128" s="2" t="str">
        <f ca="1">IFERROR(__xludf.DUMMYFUNCTION("""COMPUTED_VALUE"""),"")</f>
        <v/>
      </c>
      <c r="BB128" s="2" t="str">
        <f ca="1">IFERROR(__xludf.DUMMYFUNCTION("""COMPUTED_VALUE"""),"")</f>
        <v/>
      </c>
      <c r="BC128" s="2" t="str">
        <f ca="1">IFERROR(__xludf.DUMMYFUNCTION("""COMPUTED_VALUE"""),"")</f>
        <v/>
      </c>
      <c r="BD128" s="2" t="str">
        <f ca="1">IFERROR(__xludf.DUMMYFUNCTION("""COMPUTED_VALUE"""),"")</f>
        <v/>
      </c>
      <c r="BE128" s="2" t="str">
        <f ca="1">IFERROR(__xludf.DUMMYFUNCTION("""COMPUTED_VALUE"""),"")</f>
        <v/>
      </c>
      <c r="BF128" t="str">
        <f ca="1">IFERROR(__xludf.DUMMYFUNCTION("""COMPUTED_VALUE"""),"")</f>
        <v/>
      </c>
      <c r="BG128" t="str">
        <f ca="1">IFERROR(__xludf.DUMMYFUNCTION("""COMPUTED_VALUE"""),"")</f>
        <v/>
      </c>
      <c r="BH128" t="str">
        <f ca="1">IFERROR(__xludf.DUMMYFUNCTION("""COMPUTED_VALUE"""),"")</f>
        <v/>
      </c>
      <c r="BI128" t="str">
        <f ca="1">IFERROR(__xludf.DUMMYFUNCTION("""COMPUTED_VALUE"""),"")</f>
        <v/>
      </c>
      <c r="BJ128" s="3" t="str">
        <f ca="1">IFERROR(__xludf.DUMMYFUNCTION("""COMPUTED_VALUE"""),"")</f>
        <v/>
      </c>
    </row>
    <row r="129" spans="1:62" ht="12.5" x14ac:dyDescent="0.25">
      <c r="A129" s="6">
        <f ca="1">IFERROR(__xludf.DUMMYFUNCTION("""COMPUTED_VALUE"""),43437.7581908449)</f>
        <v>43437.758190844899</v>
      </c>
      <c r="B129" s="2" t="str">
        <f ca="1">IFERROR(__xludf.DUMMYFUNCTION("""COMPUTED_VALUE"""),"Bay of Plenty")</f>
        <v>Bay of Plenty</v>
      </c>
      <c r="C129" s="2" t="str">
        <f ca="1">IFERROR(__xludf.DUMMYFUNCTION("""COMPUTED_VALUE"""),"Unmarked bird")</f>
        <v>Unmarked bird</v>
      </c>
      <c r="D129" s="10">
        <f ca="1">IFERROR(__xludf.DUMMYFUNCTION("""COMPUTED_VALUE"""),43437)</f>
        <v>43437</v>
      </c>
      <c r="E129" s="4">
        <f ca="1">IFERROR(__xludf.DUMMYFUNCTION("""COMPUTED_VALUE"""),0.58333333333212)</f>
        <v>0.58333333333212001</v>
      </c>
      <c r="F129" s="2" t="str">
        <f ca="1">IFERROR(__xludf.DUMMYFUNCTION("""COMPUTED_VALUE"""),"Kaituna ")</f>
        <v xml:space="preserve">Kaituna </v>
      </c>
      <c r="G129" s="2" t="str">
        <f ca="1">IFERROR(__xludf.DUMMYFUNCTION("""COMPUTED_VALUE"""),"VHF (close approach): I followed the signal until I got within 50 m of the bird")</f>
        <v>VHF (close approach): I followed the signal until I got within 50 m of the bird</v>
      </c>
      <c r="H129" s="2" t="str">
        <f ca="1">IFERROR(__xludf.DUMMYFUNCTION("""COMPUTED_VALUE"""),"")</f>
        <v/>
      </c>
      <c r="I129" s="2" t="str">
        <f ca="1">IFERROR(__xludf.DUMMYFUNCTION("""COMPUTED_VALUE"""),"")</f>
        <v/>
      </c>
      <c r="J129" s="2" t="str">
        <f ca="1">IFERROR(__xludf.DUMMYFUNCTION("""COMPUTED_VALUE"""),"")</f>
        <v/>
      </c>
      <c r="K129" s="2" t="str">
        <f ca="1">IFERROR(__xludf.DUMMYFUNCTION("""COMPUTED_VALUE"""),"")</f>
        <v/>
      </c>
      <c r="L129" s="2" t="str">
        <f ca="1">IFERROR(__xludf.DUMMYFUNCTION("""COMPUTED_VALUE"""),"Yes - it flushed")</f>
        <v>Yes - it flushed</v>
      </c>
      <c r="M129" s="5">
        <f ca="1">IFERROR(__xludf.DUMMYFUNCTION("""COMPUTED_VALUE"""),1896978)</f>
        <v>1896978</v>
      </c>
      <c r="N129" s="5">
        <f ca="1">IFERROR(__xludf.DUMMYFUNCTION("""COMPUTED_VALUE"""),5817008)</f>
        <v>5817008</v>
      </c>
      <c r="O129" s="2" t="str">
        <f ca="1">IFERROR(__xludf.DUMMYFUNCTION("""COMPUTED_VALUE"""),"")</f>
        <v/>
      </c>
      <c r="P129" s="2" t="str">
        <f ca="1">IFERROR(__xludf.DUMMYFUNCTION("""COMPUTED_VALUE"""),"No")</f>
        <v>No</v>
      </c>
      <c r="Q129" s="2" t="str">
        <f ca="1">IFERROR(__xludf.DUMMYFUNCTION("""COMPUTED_VALUE"""),"Don't know")</f>
        <v>Don't know</v>
      </c>
      <c r="R129" s="2" t="str">
        <f ca="1">IFERROR(__xludf.DUMMYFUNCTION("""COMPUTED_VALUE"""),"dont know")</f>
        <v>dont know</v>
      </c>
      <c r="S129" s="2" t="str">
        <f ca="1">IFERROR(__xludf.DUMMYFUNCTION("""COMPUTED_VALUE"""),"see map")</f>
        <v>see map</v>
      </c>
      <c r="T129" s="2" t="str">
        <f ca="1">IFERROR(__xludf.DUMMYFUNCTION("""COMPUTED_VALUE"""),"edge of old river loop in rankgrass/rushes ")</f>
        <v xml:space="preserve">edge of old river loop in rankgrass/rushes </v>
      </c>
      <c r="U129" s="2" t="str">
        <f ca="1">IFERROR(__xludf.DUMMYFUNCTION("""COMPUTED_VALUE"""),"two birds seen. very obvious differences in sizes. one flushed from river edge the other unknown. they flew together for a time before 1 landing in this location the other flying further into reserve. ")</f>
        <v xml:space="preserve">two birds seen. very obvious differences in sizes. one flushed from river edge the other unknown. they flew together for a time before 1 landing in this location the other flying further into reserve. </v>
      </c>
      <c r="V129" s="2" t="str">
        <f ca="1">IFERROR(__xludf.DUMMYFUNCTION("""COMPUTED_VALUE"""),"")</f>
        <v/>
      </c>
      <c r="W129" s="2" t="str">
        <f ca="1">IFERROR(__xludf.DUMMYFUNCTION("""COMPUTED_VALUE"""),"")</f>
        <v/>
      </c>
      <c r="X129" s="2" t="str">
        <f ca="1">IFERROR(__xludf.DUMMYFUNCTION("""COMPUTED_VALUE"""),"")</f>
        <v/>
      </c>
      <c r="Y129" s="2" t="str">
        <f ca="1">IFERROR(__xludf.DUMMYFUNCTION("""COMPUTED_VALUE"""),"")</f>
        <v/>
      </c>
      <c r="Z129" s="2" t="str">
        <f ca="1">IFERROR(__xludf.DUMMYFUNCTION("""COMPUTED_VALUE"""),"")</f>
        <v/>
      </c>
      <c r="AA129" s="2" t="str">
        <f ca="1">IFERROR(__xludf.DUMMYFUNCTION("""COMPUTED_VALUE"""),"")</f>
        <v/>
      </c>
      <c r="AB129" s="2" t="str">
        <f ca="1">IFERROR(__xludf.DUMMYFUNCTION("""COMPUTED_VALUE"""),"")</f>
        <v/>
      </c>
      <c r="AC129" s="2" t="str">
        <f ca="1">IFERROR(__xludf.DUMMYFUNCTION("""COMPUTED_VALUE"""),"")</f>
        <v/>
      </c>
      <c r="AD129" s="2" t="str">
        <f ca="1">IFERROR(__xludf.DUMMYFUNCTION("""COMPUTED_VALUE"""),"")</f>
        <v/>
      </c>
      <c r="AE129" s="2" t="str">
        <f ca="1">IFERROR(__xludf.DUMMYFUNCTION("""COMPUTED_VALUE"""),"")</f>
        <v/>
      </c>
      <c r="AF129" s="2" t="str">
        <f ca="1">IFERROR(__xludf.DUMMYFUNCTION("""COMPUTED_VALUE"""),"")</f>
        <v/>
      </c>
      <c r="AG129" s="2" t="str">
        <f ca="1">IFERROR(__xludf.DUMMYFUNCTION("""COMPUTED_VALUE"""),"")</f>
        <v/>
      </c>
      <c r="AH129" s="2" t="str">
        <f ca="1">IFERROR(__xludf.DUMMYFUNCTION("""COMPUTED_VALUE"""),"")</f>
        <v/>
      </c>
      <c r="AI129" s="2" t="str">
        <f ca="1">IFERROR(__xludf.DUMMYFUNCTION("""COMPUTED_VALUE"""),"")</f>
        <v/>
      </c>
      <c r="AJ129" s="2" t="str">
        <f ca="1">IFERROR(__xludf.DUMMYFUNCTION("""COMPUTED_VALUE"""),"")</f>
        <v/>
      </c>
      <c r="AK129" s="2" t="str">
        <f ca="1">IFERROR(__xludf.DUMMYFUNCTION("""COMPUTED_VALUE"""),"")</f>
        <v/>
      </c>
      <c r="AL129" s="2" t="str">
        <f ca="1">IFERROR(__xludf.DUMMYFUNCTION("""COMPUTED_VALUE"""),"")</f>
        <v/>
      </c>
      <c r="AM129" s="2" t="str">
        <f ca="1">IFERROR(__xludf.DUMMYFUNCTION("""COMPUTED_VALUE"""),"")</f>
        <v/>
      </c>
      <c r="AN129" s="2" t="str">
        <f ca="1">IFERROR(__xludf.DUMMYFUNCTION("""COMPUTED_VALUE"""),"")</f>
        <v/>
      </c>
      <c r="AO129" s="2" t="str">
        <f ca="1">IFERROR(__xludf.DUMMYFUNCTION("""COMPUTED_VALUE"""),"")</f>
        <v/>
      </c>
      <c r="AP129" s="2" t="str">
        <f ca="1">IFERROR(__xludf.DUMMYFUNCTION("""COMPUTED_VALUE"""),"")</f>
        <v/>
      </c>
      <c r="AQ129" s="2" t="str">
        <f ca="1">IFERROR(__xludf.DUMMYFUNCTION("""COMPUTED_VALUE"""),"")</f>
        <v/>
      </c>
      <c r="AR129" s="2" t="str">
        <f ca="1">IFERROR(__xludf.DUMMYFUNCTION("""COMPUTED_VALUE"""),"")</f>
        <v/>
      </c>
      <c r="AS129" s="2" t="str">
        <f ca="1">IFERROR(__xludf.DUMMYFUNCTION("""COMPUTED_VALUE"""),"")</f>
        <v/>
      </c>
      <c r="AT129" s="2" t="str">
        <f ca="1">IFERROR(__xludf.DUMMYFUNCTION("""COMPUTED_VALUE"""),"")</f>
        <v/>
      </c>
      <c r="AU129" s="2" t="str">
        <f ca="1">IFERROR(__xludf.DUMMYFUNCTION("""COMPUTED_VALUE"""),"")</f>
        <v/>
      </c>
      <c r="AV129" s="2" t="str">
        <f ca="1">IFERROR(__xludf.DUMMYFUNCTION("""COMPUTED_VALUE"""),"")</f>
        <v/>
      </c>
      <c r="AW129" s="2" t="str">
        <f ca="1">IFERROR(__xludf.DUMMYFUNCTION("""COMPUTED_VALUE"""),"")</f>
        <v/>
      </c>
      <c r="AX129" s="2" t="str">
        <f ca="1">IFERROR(__xludf.DUMMYFUNCTION("""COMPUTED_VALUE"""),"")</f>
        <v/>
      </c>
      <c r="AY129" s="2" t="str">
        <f ca="1">IFERROR(__xludf.DUMMYFUNCTION("""COMPUTED_VALUE"""),"")</f>
        <v/>
      </c>
      <c r="AZ129" s="2" t="str">
        <f ca="1">IFERROR(__xludf.DUMMYFUNCTION("""COMPUTED_VALUE"""),"")</f>
        <v/>
      </c>
      <c r="BA129" s="2" t="str">
        <f ca="1">IFERROR(__xludf.DUMMYFUNCTION("""COMPUTED_VALUE"""),"")</f>
        <v/>
      </c>
      <c r="BB129" s="2" t="str">
        <f ca="1">IFERROR(__xludf.DUMMYFUNCTION("""COMPUTED_VALUE"""),"")</f>
        <v/>
      </c>
      <c r="BC129" s="2" t="str">
        <f ca="1">IFERROR(__xludf.DUMMYFUNCTION("""COMPUTED_VALUE"""),"")</f>
        <v/>
      </c>
      <c r="BD129" s="2" t="str">
        <f ca="1">IFERROR(__xludf.DUMMYFUNCTION("""COMPUTED_VALUE"""),"")</f>
        <v/>
      </c>
      <c r="BE129" s="2" t="str">
        <f ca="1">IFERROR(__xludf.DUMMYFUNCTION("""COMPUTED_VALUE"""),"")</f>
        <v/>
      </c>
      <c r="BF129" t="str">
        <f ca="1">IFERROR(__xludf.DUMMYFUNCTION("""COMPUTED_VALUE"""),"")</f>
        <v/>
      </c>
      <c r="BG129" t="str">
        <f ca="1">IFERROR(__xludf.DUMMYFUNCTION("""COMPUTED_VALUE"""),"")</f>
        <v/>
      </c>
      <c r="BH129" t="str">
        <f ca="1">IFERROR(__xludf.DUMMYFUNCTION("""COMPUTED_VALUE"""),"")</f>
        <v/>
      </c>
      <c r="BI129" t="str">
        <f ca="1">IFERROR(__xludf.DUMMYFUNCTION("""COMPUTED_VALUE"""),"")</f>
        <v/>
      </c>
      <c r="BJ129" s="3" t="str">
        <f ca="1">IFERROR(__xludf.DUMMYFUNCTION("""COMPUTED_VALUE"""),"")</f>
        <v/>
      </c>
    </row>
    <row r="130" spans="1:62" ht="12.5" x14ac:dyDescent="0.25">
      <c r="A130" s="6">
        <f ca="1">IFERROR(__xludf.DUMMYFUNCTION("""COMPUTED_VALUE"""),43437.8541399421)</f>
        <v>43437.854139942101</v>
      </c>
      <c r="B130" s="2" t="str">
        <f ca="1">IFERROR(__xludf.DUMMYFUNCTION("""COMPUTED_VALUE"""),"Bay of Plenty")</f>
        <v>Bay of Plenty</v>
      </c>
      <c r="C130" s="2" t="str">
        <f ca="1">IFERROR(__xludf.DUMMYFUNCTION("""COMPUTED_VALUE"""),"Tx 38 - Pearl")</f>
        <v>Tx 38 - Pearl</v>
      </c>
      <c r="D130" s="10">
        <f ca="1">IFERROR(__xludf.DUMMYFUNCTION("""COMPUTED_VALUE"""),42756)</f>
        <v>42756</v>
      </c>
      <c r="E130" s="4">
        <f ca="1">IFERROR(__xludf.DUMMYFUNCTION("""COMPUTED_VALUE"""),0.75)</f>
        <v>0.75</v>
      </c>
      <c r="F130" s="2" t="str">
        <f ca="1">IFERROR(__xludf.DUMMYFUNCTION("""COMPUTED_VALUE"""),"Cutwater rd farmland")</f>
        <v>Cutwater rd farmland</v>
      </c>
      <c r="G130" s="2" t="str">
        <f ca="1">IFERROR(__xludf.DUMMYFUNCTION("""COMPUTED_VALUE"""),"VHF (close approach): I followed the signal until I got within 50 m of the bird")</f>
        <v>VHF (close approach): I followed the signal until I got within 50 m of the bird</v>
      </c>
      <c r="H130" s="2" t="str">
        <f ca="1">IFERROR(__xludf.DUMMYFUNCTION("""COMPUTED_VALUE"""),"")</f>
        <v/>
      </c>
      <c r="I130" s="2" t="str">
        <f ca="1">IFERROR(__xludf.DUMMYFUNCTION("""COMPUTED_VALUE"""),"")</f>
        <v/>
      </c>
      <c r="J130" s="2" t="str">
        <f ca="1">IFERROR(__xludf.DUMMYFUNCTION("""COMPUTED_VALUE"""),"")</f>
        <v/>
      </c>
      <c r="K130" s="2" t="str">
        <f ca="1">IFERROR(__xludf.DUMMYFUNCTION("""COMPUTED_VALUE"""),"")</f>
        <v/>
      </c>
      <c r="L130" s="2" t="str">
        <f ca="1">IFERROR(__xludf.DUMMYFUNCTION("""COMPUTED_VALUE"""),"No - I got very close to the bird but it was well hidden in the vegetation")</f>
        <v>No - I got very close to the bird but it was well hidden in the vegetation</v>
      </c>
      <c r="M130" s="5">
        <f ca="1">IFERROR(__xludf.DUMMYFUNCTION("""COMPUTED_VALUE"""),1906503)</f>
        <v>1906503</v>
      </c>
      <c r="N130" s="5">
        <f ca="1">IFERROR(__xludf.DUMMYFUNCTION("""COMPUTED_VALUE"""),5812807)</f>
        <v>5812807</v>
      </c>
      <c r="O130" s="2" t="str">
        <f ca="1">IFERROR(__xludf.DUMMYFUNCTION("""COMPUTED_VALUE"""),"")</f>
        <v/>
      </c>
      <c r="P130" s="2" t="str">
        <f ca="1">IFERROR(__xludf.DUMMYFUNCTION("""COMPUTED_VALUE"""),"No")</f>
        <v>No</v>
      </c>
      <c r="Q130" s="2" t="str">
        <f ca="1">IFERROR(__xludf.DUMMYFUNCTION("""COMPUTED_VALUE"""),"Dry")</f>
        <v>Dry</v>
      </c>
      <c r="R130" s="2" t="str">
        <f ca="1">IFERROR(__xludf.DUMMYFUNCTION("""COMPUTED_VALUE"""),"dont know")</f>
        <v>dont know</v>
      </c>
      <c r="S130" s="2" t="str">
        <f ca="1">IFERROR(__xludf.DUMMYFUNCTION("""COMPUTED_VALUE"""),"dont know")</f>
        <v>dont know</v>
      </c>
      <c r="T130" s="2" t="str">
        <f ca="1">IFERROR(__xludf.DUMMYFUNCTION("""COMPUTED_VALUE"""),"farmland")</f>
        <v>farmland</v>
      </c>
      <c r="U130" s="2" t="str">
        <f ca="1">IFERROR(__xludf.DUMMYFUNCTION("""COMPUTED_VALUE"""),"Recent rain but stll dry. Grass browned off. Ground very hard. Some water in nearby drains. ")</f>
        <v xml:space="preserve">Recent rain but stll dry. Grass browned off. Ground very hard. Some water in nearby drains. </v>
      </c>
      <c r="V130" s="2" t="str">
        <f ca="1">IFERROR(__xludf.DUMMYFUNCTION("""COMPUTED_VALUE"""),"")</f>
        <v/>
      </c>
      <c r="W130" s="2" t="str">
        <f ca="1">IFERROR(__xludf.DUMMYFUNCTION("""COMPUTED_VALUE"""),"")</f>
        <v/>
      </c>
      <c r="X130" s="2" t="str">
        <f ca="1">IFERROR(__xludf.DUMMYFUNCTION("""COMPUTED_VALUE"""),"")</f>
        <v/>
      </c>
      <c r="Y130" s="2" t="str">
        <f ca="1">IFERROR(__xludf.DUMMYFUNCTION("""COMPUTED_VALUE"""),"")</f>
        <v/>
      </c>
      <c r="Z130" s="2" t="str">
        <f ca="1">IFERROR(__xludf.DUMMYFUNCTION("""COMPUTED_VALUE"""),"")</f>
        <v/>
      </c>
      <c r="AA130" s="2" t="str">
        <f ca="1">IFERROR(__xludf.DUMMYFUNCTION("""COMPUTED_VALUE"""),"")</f>
        <v/>
      </c>
      <c r="AB130" s="2" t="str">
        <f ca="1">IFERROR(__xludf.DUMMYFUNCTION("""COMPUTED_VALUE"""),"")</f>
        <v/>
      </c>
      <c r="AC130" s="2" t="str">
        <f ca="1">IFERROR(__xludf.DUMMYFUNCTION("""COMPUTED_VALUE"""),"")</f>
        <v/>
      </c>
      <c r="AD130" s="2" t="str">
        <f ca="1">IFERROR(__xludf.DUMMYFUNCTION("""COMPUTED_VALUE"""),"")</f>
        <v/>
      </c>
      <c r="AE130" s="2" t="str">
        <f ca="1">IFERROR(__xludf.DUMMYFUNCTION("""COMPUTED_VALUE"""),"")</f>
        <v/>
      </c>
      <c r="AF130" s="2" t="str">
        <f ca="1">IFERROR(__xludf.DUMMYFUNCTION("""COMPUTED_VALUE"""),"")</f>
        <v/>
      </c>
      <c r="AG130" s="2" t="str">
        <f ca="1">IFERROR(__xludf.DUMMYFUNCTION("""COMPUTED_VALUE"""),"")</f>
        <v/>
      </c>
      <c r="AH130" s="2" t="str">
        <f ca="1">IFERROR(__xludf.DUMMYFUNCTION("""COMPUTED_VALUE"""),"")</f>
        <v/>
      </c>
      <c r="AI130" s="2" t="str">
        <f ca="1">IFERROR(__xludf.DUMMYFUNCTION("""COMPUTED_VALUE"""),"")</f>
        <v/>
      </c>
      <c r="AJ130" s="2" t="str">
        <f ca="1">IFERROR(__xludf.DUMMYFUNCTION("""COMPUTED_VALUE"""),"")</f>
        <v/>
      </c>
      <c r="AK130" s="2" t="str">
        <f ca="1">IFERROR(__xludf.DUMMYFUNCTION("""COMPUTED_VALUE"""),"")</f>
        <v/>
      </c>
      <c r="AL130" s="2" t="str">
        <f ca="1">IFERROR(__xludf.DUMMYFUNCTION("""COMPUTED_VALUE"""),"")</f>
        <v/>
      </c>
      <c r="AM130" s="2" t="str">
        <f ca="1">IFERROR(__xludf.DUMMYFUNCTION("""COMPUTED_VALUE"""),"")</f>
        <v/>
      </c>
      <c r="AN130" s="2" t="str">
        <f ca="1">IFERROR(__xludf.DUMMYFUNCTION("""COMPUTED_VALUE"""),"")</f>
        <v/>
      </c>
      <c r="AO130" s="2" t="str">
        <f ca="1">IFERROR(__xludf.DUMMYFUNCTION("""COMPUTED_VALUE"""),"")</f>
        <v/>
      </c>
      <c r="AP130" s="2" t="str">
        <f ca="1">IFERROR(__xludf.DUMMYFUNCTION("""COMPUTED_VALUE"""),"")</f>
        <v/>
      </c>
      <c r="AQ130" s="2" t="str">
        <f ca="1">IFERROR(__xludf.DUMMYFUNCTION("""COMPUTED_VALUE"""),"")</f>
        <v/>
      </c>
      <c r="AR130" s="2" t="str">
        <f ca="1">IFERROR(__xludf.DUMMYFUNCTION("""COMPUTED_VALUE"""),"")</f>
        <v/>
      </c>
      <c r="AS130" s="2" t="str">
        <f ca="1">IFERROR(__xludf.DUMMYFUNCTION("""COMPUTED_VALUE"""),"")</f>
        <v/>
      </c>
      <c r="AT130" s="2" t="str">
        <f ca="1">IFERROR(__xludf.DUMMYFUNCTION("""COMPUTED_VALUE"""),"")</f>
        <v/>
      </c>
      <c r="AU130" s="2" t="str">
        <f ca="1">IFERROR(__xludf.DUMMYFUNCTION("""COMPUTED_VALUE"""),"")</f>
        <v/>
      </c>
      <c r="AV130" s="2" t="str">
        <f ca="1">IFERROR(__xludf.DUMMYFUNCTION("""COMPUTED_VALUE"""),"")</f>
        <v/>
      </c>
      <c r="AW130" s="2" t="str">
        <f ca="1">IFERROR(__xludf.DUMMYFUNCTION("""COMPUTED_VALUE"""),"")</f>
        <v/>
      </c>
      <c r="AX130" s="2" t="str">
        <f ca="1">IFERROR(__xludf.DUMMYFUNCTION("""COMPUTED_VALUE"""),"")</f>
        <v/>
      </c>
      <c r="AY130" s="2" t="str">
        <f ca="1">IFERROR(__xludf.DUMMYFUNCTION("""COMPUTED_VALUE"""),"")</f>
        <v/>
      </c>
      <c r="AZ130" s="2" t="str">
        <f ca="1">IFERROR(__xludf.DUMMYFUNCTION("""COMPUTED_VALUE"""),"")</f>
        <v/>
      </c>
      <c r="BA130" s="2" t="str">
        <f ca="1">IFERROR(__xludf.DUMMYFUNCTION("""COMPUTED_VALUE"""),"")</f>
        <v/>
      </c>
      <c r="BB130" s="2" t="str">
        <f ca="1">IFERROR(__xludf.DUMMYFUNCTION("""COMPUTED_VALUE"""),"")</f>
        <v/>
      </c>
      <c r="BC130" s="2" t="str">
        <f ca="1">IFERROR(__xludf.DUMMYFUNCTION("""COMPUTED_VALUE"""),"")</f>
        <v/>
      </c>
      <c r="BD130" s="2" t="str">
        <f ca="1">IFERROR(__xludf.DUMMYFUNCTION("""COMPUTED_VALUE"""),"")</f>
        <v/>
      </c>
      <c r="BE130" s="2" t="str">
        <f ca="1">IFERROR(__xludf.DUMMYFUNCTION("""COMPUTED_VALUE"""),"")</f>
        <v/>
      </c>
      <c r="BF130" t="str">
        <f ca="1">IFERROR(__xludf.DUMMYFUNCTION("""COMPUTED_VALUE"""),"")</f>
        <v/>
      </c>
      <c r="BG130" t="str">
        <f ca="1">IFERROR(__xludf.DUMMYFUNCTION("""COMPUTED_VALUE"""),"")</f>
        <v/>
      </c>
      <c r="BH130" t="str">
        <f ca="1">IFERROR(__xludf.DUMMYFUNCTION("""COMPUTED_VALUE"""),"")</f>
        <v/>
      </c>
      <c r="BI130" t="str">
        <f ca="1">IFERROR(__xludf.DUMMYFUNCTION("""COMPUTED_VALUE"""),"")</f>
        <v/>
      </c>
      <c r="BJ130" s="3" t="str">
        <f ca="1">IFERROR(__xludf.DUMMYFUNCTION("""COMPUTED_VALUE"""),"")</f>
        <v/>
      </c>
    </row>
    <row r="131" spans="1:62" ht="12.5" x14ac:dyDescent="0.25">
      <c r="A131" s="6">
        <f ca="1">IFERROR(__xludf.DUMMYFUNCTION("""COMPUTED_VALUE"""),43437.8576639467)</f>
        <v>43437.857663946699</v>
      </c>
      <c r="B131" s="2" t="str">
        <f ca="1">IFERROR(__xludf.DUMMYFUNCTION("""COMPUTED_VALUE"""),"Bay of Plenty")</f>
        <v>Bay of Plenty</v>
      </c>
      <c r="C131" s="2" t="str">
        <f ca="1">IFERROR(__xludf.DUMMYFUNCTION("""COMPUTED_VALUE"""),"Tx 38 - Pearl")</f>
        <v>Tx 38 - Pearl</v>
      </c>
      <c r="D131" s="10">
        <f ca="1">IFERROR(__xludf.DUMMYFUNCTION("""COMPUTED_VALUE"""),42808)</f>
        <v>42808</v>
      </c>
      <c r="E131" s="4">
        <f ca="1">IFERROR(__xludf.DUMMYFUNCTION("""COMPUTED_VALUE"""),0.666666666667879)</f>
        <v>0.66666666666787899</v>
      </c>
      <c r="F131" s="2" t="str">
        <f ca="1">IFERROR(__xludf.DUMMYFUNCTION("""COMPUTED_VALUE"""),"Farmland wetland.. ")</f>
        <v xml:space="preserve">Farmland wetland.. </v>
      </c>
      <c r="G131" s="2" t="str">
        <f ca="1">IFERROR(__xludf.DUMMYFUNCTION("""COMPUTED_VALUE"""),"VHF (close approach): I followed the signal until I got within 50 m of the bird")</f>
        <v>VHF (close approach): I followed the signal until I got within 50 m of the bird</v>
      </c>
      <c r="H131" s="2" t="str">
        <f ca="1">IFERROR(__xludf.DUMMYFUNCTION("""COMPUTED_VALUE"""),"")</f>
        <v/>
      </c>
      <c r="I131" s="2" t="str">
        <f ca="1">IFERROR(__xludf.DUMMYFUNCTION("""COMPUTED_VALUE"""),"")</f>
        <v/>
      </c>
      <c r="J131" s="2" t="str">
        <f ca="1">IFERROR(__xludf.DUMMYFUNCTION("""COMPUTED_VALUE"""),"")</f>
        <v/>
      </c>
      <c r="K131" s="2" t="str">
        <f ca="1">IFERROR(__xludf.DUMMYFUNCTION("""COMPUTED_VALUE"""),"")</f>
        <v/>
      </c>
      <c r="L131" s="2" t="str">
        <f ca="1">IFERROR(__xludf.DUMMYFUNCTION("""COMPUTED_VALUE"""),"No - I got very close to the bird but it was well hidden in the vegetation")</f>
        <v>No - I got very close to the bird but it was well hidden in the vegetation</v>
      </c>
      <c r="M131" s="5">
        <f ca="1">IFERROR(__xludf.DUMMYFUNCTION("""COMPUTED_VALUE"""),1907136)</f>
        <v>1907136</v>
      </c>
      <c r="N131" s="5">
        <f ca="1">IFERROR(__xludf.DUMMYFUNCTION("""COMPUTED_VALUE"""),5811893)</f>
        <v>5811893</v>
      </c>
      <c r="O131" s="2" t="str">
        <f ca="1">IFERROR(__xludf.DUMMYFUNCTION("""COMPUTED_VALUE"""),"")</f>
        <v/>
      </c>
      <c r="P131" s="2" t="str">
        <f ca="1">IFERROR(__xludf.DUMMYFUNCTION("""COMPUTED_VALUE"""),"Don't know")</f>
        <v>Don't know</v>
      </c>
      <c r="Q131" s="2" t="str">
        <f ca="1">IFERROR(__xludf.DUMMYFUNCTION("""COMPUTED_VALUE"""),"Don't know")</f>
        <v>Don't know</v>
      </c>
      <c r="R131" s="2" t="str">
        <f ca="1">IFERROR(__xludf.DUMMYFUNCTION("""COMPUTED_VALUE"""),"dont know")</f>
        <v>dont know</v>
      </c>
      <c r="S131" s="2" t="str">
        <f ca="1">IFERROR(__xludf.DUMMYFUNCTION("""COMPUTED_VALUE"""),"dont know")</f>
        <v>dont know</v>
      </c>
      <c r="T131" s="2" t="str">
        <f ca="1">IFERROR(__xludf.DUMMYFUNCTION("""COMPUTED_VALUE"""),"Raupo patch on Farmland - vacinity of small pond - ")</f>
        <v xml:space="preserve">Raupo patch on Farmland - vacinity of small pond - </v>
      </c>
      <c r="U131" s="2" t="str">
        <f ca="1">IFERROR(__xludf.DUMMYFUNCTION("""COMPUTED_VALUE"""),"Picked up weak signal from cutwater road. Signal was weaker from wharere road end but got much stronger once on the banks of Pongakawa. Strongest signal from dog leg in farm race towards patch of Raupo. Ran out of time to explore further but satisfied the"&amp;" bird was in close proximity of small pond area. ")</f>
        <v xml:space="preserve">Picked up weak signal from cutwater road. Signal was weaker from wharere road end but got much stronger once on the banks of Pongakawa. Strongest signal from dog leg in farm race towards patch of Raupo. Ran out of time to explore further but satisfied the bird was in close proximity of small pond area. </v>
      </c>
      <c r="V131" s="2" t="str">
        <f ca="1">IFERROR(__xludf.DUMMYFUNCTION("""COMPUTED_VALUE"""),"")</f>
        <v/>
      </c>
      <c r="W131" s="2" t="str">
        <f ca="1">IFERROR(__xludf.DUMMYFUNCTION("""COMPUTED_VALUE"""),"")</f>
        <v/>
      </c>
      <c r="X131" s="2" t="str">
        <f ca="1">IFERROR(__xludf.DUMMYFUNCTION("""COMPUTED_VALUE"""),"")</f>
        <v/>
      </c>
      <c r="Y131" s="2" t="str">
        <f ca="1">IFERROR(__xludf.DUMMYFUNCTION("""COMPUTED_VALUE"""),"")</f>
        <v/>
      </c>
      <c r="Z131" s="2" t="str">
        <f ca="1">IFERROR(__xludf.DUMMYFUNCTION("""COMPUTED_VALUE"""),"")</f>
        <v/>
      </c>
      <c r="AA131" s="2" t="str">
        <f ca="1">IFERROR(__xludf.DUMMYFUNCTION("""COMPUTED_VALUE"""),"")</f>
        <v/>
      </c>
      <c r="AB131" s="2" t="str">
        <f ca="1">IFERROR(__xludf.DUMMYFUNCTION("""COMPUTED_VALUE"""),"")</f>
        <v/>
      </c>
      <c r="AC131" s="2" t="str">
        <f ca="1">IFERROR(__xludf.DUMMYFUNCTION("""COMPUTED_VALUE"""),"")</f>
        <v/>
      </c>
      <c r="AD131" s="2" t="str">
        <f ca="1">IFERROR(__xludf.DUMMYFUNCTION("""COMPUTED_VALUE"""),"")</f>
        <v/>
      </c>
      <c r="AE131" s="2" t="str">
        <f ca="1">IFERROR(__xludf.DUMMYFUNCTION("""COMPUTED_VALUE"""),"")</f>
        <v/>
      </c>
      <c r="AF131" s="2" t="str">
        <f ca="1">IFERROR(__xludf.DUMMYFUNCTION("""COMPUTED_VALUE"""),"")</f>
        <v/>
      </c>
      <c r="AG131" s="2" t="str">
        <f ca="1">IFERROR(__xludf.DUMMYFUNCTION("""COMPUTED_VALUE"""),"")</f>
        <v/>
      </c>
      <c r="AH131" s="2" t="str">
        <f ca="1">IFERROR(__xludf.DUMMYFUNCTION("""COMPUTED_VALUE"""),"")</f>
        <v/>
      </c>
      <c r="AI131" s="2" t="str">
        <f ca="1">IFERROR(__xludf.DUMMYFUNCTION("""COMPUTED_VALUE"""),"")</f>
        <v/>
      </c>
      <c r="AJ131" s="2" t="str">
        <f ca="1">IFERROR(__xludf.DUMMYFUNCTION("""COMPUTED_VALUE"""),"")</f>
        <v/>
      </c>
      <c r="AK131" s="2" t="str">
        <f ca="1">IFERROR(__xludf.DUMMYFUNCTION("""COMPUTED_VALUE"""),"")</f>
        <v/>
      </c>
      <c r="AL131" s="2" t="str">
        <f ca="1">IFERROR(__xludf.DUMMYFUNCTION("""COMPUTED_VALUE"""),"")</f>
        <v/>
      </c>
      <c r="AM131" s="2" t="str">
        <f ca="1">IFERROR(__xludf.DUMMYFUNCTION("""COMPUTED_VALUE"""),"")</f>
        <v/>
      </c>
      <c r="AN131" s="2" t="str">
        <f ca="1">IFERROR(__xludf.DUMMYFUNCTION("""COMPUTED_VALUE"""),"")</f>
        <v/>
      </c>
      <c r="AO131" s="2" t="str">
        <f ca="1">IFERROR(__xludf.DUMMYFUNCTION("""COMPUTED_VALUE"""),"")</f>
        <v/>
      </c>
      <c r="AP131" s="2" t="str">
        <f ca="1">IFERROR(__xludf.DUMMYFUNCTION("""COMPUTED_VALUE"""),"")</f>
        <v/>
      </c>
      <c r="AQ131" s="2" t="str">
        <f ca="1">IFERROR(__xludf.DUMMYFUNCTION("""COMPUTED_VALUE"""),"")</f>
        <v/>
      </c>
      <c r="AR131" s="2" t="str">
        <f ca="1">IFERROR(__xludf.DUMMYFUNCTION("""COMPUTED_VALUE"""),"")</f>
        <v/>
      </c>
      <c r="AS131" s="2" t="str">
        <f ca="1">IFERROR(__xludf.DUMMYFUNCTION("""COMPUTED_VALUE"""),"")</f>
        <v/>
      </c>
      <c r="AT131" s="2" t="str">
        <f ca="1">IFERROR(__xludf.DUMMYFUNCTION("""COMPUTED_VALUE"""),"")</f>
        <v/>
      </c>
      <c r="AU131" s="2" t="str">
        <f ca="1">IFERROR(__xludf.DUMMYFUNCTION("""COMPUTED_VALUE"""),"")</f>
        <v/>
      </c>
      <c r="AV131" s="2" t="str">
        <f ca="1">IFERROR(__xludf.DUMMYFUNCTION("""COMPUTED_VALUE"""),"")</f>
        <v/>
      </c>
      <c r="AW131" s="2" t="str">
        <f ca="1">IFERROR(__xludf.DUMMYFUNCTION("""COMPUTED_VALUE"""),"")</f>
        <v/>
      </c>
      <c r="AX131" s="2" t="str">
        <f ca="1">IFERROR(__xludf.DUMMYFUNCTION("""COMPUTED_VALUE"""),"")</f>
        <v/>
      </c>
      <c r="AY131" s="2" t="str">
        <f ca="1">IFERROR(__xludf.DUMMYFUNCTION("""COMPUTED_VALUE"""),"")</f>
        <v/>
      </c>
      <c r="AZ131" s="2" t="str">
        <f ca="1">IFERROR(__xludf.DUMMYFUNCTION("""COMPUTED_VALUE"""),"")</f>
        <v/>
      </c>
      <c r="BA131" s="2" t="str">
        <f ca="1">IFERROR(__xludf.DUMMYFUNCTION("""COMPUTED_VALUE"""),"")</f>
        <v/>
      </c>
      <c r="BB131" s="2" t="str">
        <f ca="1">IFERROR(__xludf.DUMMYFUNCTION("""COMPUTED_VALUE"""),"")</f>
        <v/>
      </c>
      <c r="BC131" s="2" t="str">
        <f ca="1">IFERROR(__xludf.DUMMYFUNCTION("""COMPUTED_VALUE"""),"")</f>
        <v/>
      </c>
      <c r="BD131" s="2" t="str">
        <f ca="1">IFERROR(__xludf.DUMMYFUNCTION("""COMPUTED_VALUE"""),"")</f>
        <v/>
      </c>
      <c r="BE131" s="2" t="str">
        <f ca="1">IFERROR(__xludf.DUMMYFUNCTION("""COMPUTED_VALUE"""),"")</f>
        <v/>
      </c>
      <c r="BF131" t="str">
        <f ca="1">IFERROR(__xludf.DUMMYFUNCTION("""COMPUTED_VALUE"""),"")</f>
        <v/>
      </c>
      <c r="BG131" t="str">
        <f ca="1">IFERROR(__xludf.DUMMYFUNCTION("""COMPUTED_VALUE"""),"")</f>
        <v/>
      </c>
      <c r="BH131" t="str">
        <f ca="1">IFERROR(__xludf.DUMMYFUNCTION("""COMPUTED_VALUE"""),"")</f>
        <v/>
      </c>
      <c r="BI131" t="str">
        <f ca="1">IFERROR(__xludf.DUMMYFUNCTION("""COMPUTED_VALUE"""),"")</f>
        <v/>
      </c>
      <c r="BJ131" s="3" t="str">
        <f ca="1">IFERROR(__xludf.DUMMYFUNCTION("""COMPUTED_VALUE"""),"")</f>
        <v/>
      </c>
    </row>
    <row r="132" spans="1:62" ht="12.5" x14ac:dyDescent="0.25">
      <c r="A132" s="6">
        <f ca="1">IFERROR(__xludf.DUMMYFUNCTION("""COMPUTED_VALUE"""),43438.6199261458)</f>
        <v>43438.619926145802</v>
      </c>
      <c r="B132" s="2" t="str">
        <f ca="1">IFERROR(__xludf.DUMMYFUNCTION("""COMPUTED_VALUE"""),"Bay of Plenty")</f>
        <v>Bay of Plenty</v>
      </c>
      <c r="C132" s="2" t="str">
        <f ca="1">IFERROR(__xludf.DUMMYFUNCTION("""COMPUTED_VALUE"""),"Tx 38 - Pearl")</f>
        <v>Tx 38 - Pearl</v>
      </c>
      <c r="D132" s="10">
        <f ca="1">IFERROR(__xludf.DUMMYFUNCTION("""COMPUTED_VALUE"""),42757)</f>
        <v>42757</v>
      </c>
      <c r="E132" s="4">
        <f ca="1">IFERROR(__xludf.DUMMYFUNCTION("""COMPUTED_VALUE"""),0.45833333333212)</f>
        <v>0.45833333333212001</v>
      </c>
      <c r="F132" s="2" t="str">
        <f ca="1">IFERROR(__xludf.DUMMYFUNCTION("""COMPUTED_VALUE"""),"Cutwater rd paddocks")</f>
        <v>Cutwater rd paddocks</v>
      </c>
      <c r="G132" s="2" t="str">
        <f ca="1">IFERROR(__xludf.DUMMYFUNCTION("""COMPUTED_VALUE"""),"VHF (close approach): I followed the signal until I got within 50 m of the bird")</f>
        <v>VHF (close approach): I followed the signal until I got within 50 m of the bird</v>
      </c>
      <c r="H132" s="2" t="str">
        <f ca="1">IFERROR(__xludf.DUMMYFUNCTION("""COMPUTED_VALUE"""),"")</f>
        <v/>
      </c>
      <c r="I132" s="2" t="str">
        <f ca="1">IFERROR(__xludf.DUMMYFUNCTION("""COMPUTED_VALUE"""),"")</f>
        <v/>
      </c>
      <c r="J132" s="2" t="str">
        <f ca="1">IFERROR(__xludf.DUMMYFUNCTION("""COMPUTED_VALUE"""),"")</f>
        <v/>
      </c>
      <c r="K132" s="2" t="str">
        <f ca="1">IFERROR(__xludf.DUMMYFUNCTION("""COMPUTED_VALUE"""),"")</f>
        <v/>
      </c>
      <c r="L132" s="2" t="str">
        <f ca="1">IFERROR(__xludf.DUMMYFUNCTION("""COMPUTED_VALUE"""),"No - I got very close to the bird but it was well hidden in the vegetation")</f>
        <v>No - I got very close to the bird but it was well hidden in the vegetation</v>
      </c>
      <c r="M132" s="5">
        <f ca="1">IFERROR(__xludf.DUMMYFUNCTION("""COMPUTED_VALUE"""),1907215)</f>
        <v>1907215</v>
      </c>
      <c r="N132" s="5">
        <f ca="1">IFERROR(__xludf.DUMMYFUNCTION("""COMPUTED_VALUE"""),5812802)</f>
        <v>5812802</v>
      </c>
      <c r="O132" s="2" t="str">
        <f ca="1">IFERROR(__xludf.DUMMYFUNCTION("""COMPUTED_VALUE"""),"")</f>
        <v/>
      </c>
      <c r="P132" s="2" t="str">
        <f ca="1">IFERROR(__xludf.DUMMYFUNCTION("""COMPUTED_VALUE"""),"No")</f>
        <v>No</v>
      </c>
      <c r="Q132" s="2" t="str">
        <f ca="1">IFERROR(__xludf.DUMMYFUNCTION("""COMPUTED_VALUE"""),"Don't know")</f>
        <v>Don't know</v>
      </c>
      <c r="R132" s="2" t="str">
        <f ca="1">IFERROR(__xludf.DUMMYFUNCTION("""COMPUTED_VALUE"""),"dont know")</f>
        <v>dont know</v>
      </c>
      <c r="S132" s="2" t="str">
        <f ca="1">IFERROR(__xludf.DUMMYFUNCTION("""COMPUTED_VALUE"""),"dont know")</f>
        <v>dont know</v>
      </c>
      <c r="T132" s="2" t="str">
        <f ca="1">IFERROR(__xludf.DUMMYFUNCTION("""COMPUTED_VALUE"""),"farmland - possible old river bed")</f>
        <v>farmland - possible old river bed</v>
      </c>
      <c r="U132" s="2" t="str">
        <f ca="1">IFERROR(__xludf.DUMMYFUNCTION("""COMPUTED_VALUE"""),"WAMS guess +-100 ")</f>
        <v xml:space="preserve">WAMS guess +-100 </v>
      </c>
      <c r="V132" s="2" t="str">
        <f ca="1">IFERROR(__xludf.DUMMYFUNCTION("""COMPUTED_VALUE"""),"")</f>
        <v/>
      </c>
      <c r="W132" s="2" t="str">
        <f ca="1">IFERROR(__xludf.DUMMYFUNCTION("""COMPUTED_VALUE"""),"")</f>
        <v/>
      </c>
      <c r="X132" s="2" t="str">
        <f ca="1">IFERROR(__xludf.DUMMYFUNCTION("""COMPUTED_VALUE"""),"")</f>
        <v/>
      </c>
      <c r="Y132" s="2" t="str">
        <f ca="1">IFERROR(__xludf.DUMMYFUNCTION("""COMPUTED_VALUE"""),"")</f>
        <v/>
      </c>
      <c r="Z132" s="2" t="str">
        <f ca="1">IFERROR(__xludf.DUMMYFUNCTION("""COMPUTED_VALUE"""),"")</f>
        <v/>
      </c>
      <c r="AA132" s="2" t="str">
        <f ca="1">IFERROR(__xludf.DUMMYFUNCTION("""COMPUTED_VALUE"""),"")</f>
        <v/>
      </c>
      <c r="AB132" s="2" t="str">
        <f ca="1">IFERROR(__xludf.DUMMYFUNCTION("""COMPUTED_VALUE"""),"")</f>
        <v/>
      </c>
      <c r="AC132" s="2" t="str">
        <f ca="1">IFERROR(__xludf.DUMMYFUNCTION("""COMPUTED_VALUE"""),"")</f>
        <v/>
      </c>
      <c r="AD132" s="2" t="str">
        <f ca="1">IFERROR(__xludf.DUMMYFUNCTION("""COMPUTED_VALUE"""),"")</f>
        <v/>
      </c>
      <c r="AE132" s="2" t="str">
        <f ca="1">IFERROR(__xludf.DUMMYFUNCTION("""COMPUTED_VALUE"""),"")</f>
        <v/>
      </c>
      <c r="AF132" s="2" t="str">
        <f ca="1">IFERROR(__xludf.DUMMYFUNCTION("""COMPUTED_VALUE"""),"")</f>
        <v/>
      </c>
      <c r="AG132" s="2" t="str">
        <f ca="1">IFERROR(__xludf.DUMMYFUNCTION("""COMPUTED_VALUE"""),"")</f>
        <v/>
      </c>
      <c r="AH132" s="2" t="str">
        <f ca="1">IFERROR(__xludf.DUMMYFUNCTION("""COMPUTED_VALUE"""),"")</f>
        <v/>
      </c>
      <c r="AI132" s="2" t="str">
        <f ca="1">IFERROR(__xludf.DUMMYFUNCTION("""COMPUTED_VALUE"""),"")</f>
        <v/>
      </c>
      <c r="AJ132" s="2" t="str">
        <f ca="1">IFERROR(__xludf.DUMMYFUNCTION("""COMPUTED_VALUE"""),"")</f>
        <v/>
      </c>
      <c r="AK132" s="2" t="str">
        <f ca="1">IFERROR(__xludf.DUMMYFUNCTION("""COMPUTED_VALUE"""),"")</f>
        <v/>
      </c>
      <c r="AL132" s="2" t="str">
        <f ca="1">IFERROR(__xludf.DUMMYFUNCTION("""COMPUTED_VALUE"""),"")</f>
        <v/>
      </c>
      <c r="AM132" s="2" t="str">
        <f ca="1">IFERROR(__xludf.DUMMYFUNCTION("""COMPUTED_VALUE"""),"")</f>
        <v/>
      </c>
      <c r="AN132" s="2" t="str">
        <f ca="1">IFERROR(__xludf.DUMMYFUNCTION("""COMPUTED_VALUE"""),"")</f>
        <v/>
      </c>
      <c r="AO132" s="2" t="str">
        <f ca="1">IFERROR(__xludf.DUMMYFUNCTION("""COMPUTED_VALUE"""),"")</f>
        <v/>
      </c>
      <c r="AP132" s="2" t="str">
        <f ca="1">IFERROR(__xludf.DUMMYFUNCTION("""COMPUTED_VALUE"""),"")</f>
        <v/>
      </c>
      <c r="AQ132" s="2" t="str">
        <f ca="1">IFERROR(__xludf.DUMMYFUNCTION("""COMPUTED_VALUE"""),"")</f>
        <v/>
      </c>
      <c r="AR132" s="2" t="str">
        <f ca="1">IFERROR(__xludf.DUMMYFUNCTION("""COMPUTED_VALUE"""),"")</f>
        <v/>
      </c>
      <c r="AS132" s="2" t="str">
        <f ca="1">IFERROR(__xludf.DUMMYFUNCTION("""COMPUTED_VALUE"""),"")</f>
        <v/>
      </c>
      <c r="AT132" s="2" t="str">
        <f ca="1">IFERROR(__xludf.DUMMYFUNCTION("""COMPUTED_VALUE"""),"")</f>
        <v/>
      </c>
      <c r="AU132" s="2" t="str">
        <f ca="1">IFERROR(__xludf.DUMMYFUNCTION("""COMPUTED_VALUE"""),"")</f>
        <v/>
      </c>
      <c r="AV132" s="2" t="str">
        <f ca="1">IFERROR(__xludf.DUMMYFUNCTION("""COMPUTED_VALUE"""),"")</f>
        <v/>
      </c>
      <c r="AW132" s="2" t="str">
        <f ca="1">IFERROR(__xludf.DUMMYFUNCTION("""COMPUTED_VALUE"""),"")</f>
        <v/>
      </c>
      <c r="AX132" s="2" t="str">
        <f ca="1">IFERROR(__xludf.DUMMYFUNCTION("""COMPUTED_VALUE"""),"")</f>
        <v/>
      </c>
      <c r="AY132" s="2" t="str">
        <f ca="1">IFERROR(__xludf.DUMMYFUNCTION("""COMPUTED_VALUE"""),"")</f>
        <v/>
      </c>
      <c r="AZ132" s="2" t="str">
        <f ca="1">IFERROR(__xludf.DUMMYFUNCTION("""COMPUTED_VALUE"""),"")</f>
        <v/>
      </c>
      <c r="BA132" s="2" t="str">
        <f ca="1">IFERROR(__xludf.DUMMYFUNCTION("""COMPUTED_VALUE"""),"")</f>
        <v/>
      </c>
      <c r="BB132" s="2" t="str">
        <f ca="1">IFERROR(__xludf.DUMMYFUNCTION("""COMPUTED_VALUE"""),"")</f>
        <v/>
      </c>
      <c r="BC132" s="2" t="str">
        <f ca="1">IFERROR(__xludf.DUMMYFUNCTION("""COMPUTED_VALUE"""),"")</f>
        <v/>
      </c>
      <c r="BD132" s="2" t="str">
        <f ca="1">IFERROR(__xludf.DUMMYFUNCTION("""COMPUTED_VALUE"""),"")</f>
        <v/>
      </c>
      <c r="BE132" s="2" t="str">
        <f ca="1">IFERROR(__xludf.DUMMYFUNCTION("""COMPUTED_VALUE"""),"")</f>
        <v/>
      </c>
      <c r="BF132" t="str">
        <f ca="1">IFERROR(__xludf.DUMMYFUNCTION("""COMPUTED_VALUE"""),"")</f>
        <v/>
      </c>
      <c r="BG132" t="str">
        <f ca="1">IFERROR(__xludf.DUMMYFUNCTION("""COMPUTED_VALUE"""),"")</f>
        <v/>
      </c>
      <c r="BH132" t="str">
        <f ca="1">IFERROR(__xludf.DUMMYFUNCTION("""COMPUTED_VALUE"""),"")</f>
        <v/>
      </c>
      <c r="BI132" t="str">
        <f ca="1">IFERROR(__xludf.DUMMYFUNCTION("""COMPUTED_VALUE"""),"")</f>
        <v/>
      </c>
      <c r="BJ132" s="3" t="str">
        <f ca="1">IFERROR(__xludf.DUMMYFUNCTION("""COMPUTED_VALUE"""),"")</f>
        <v/>
      </c>
    </row>
    <row r="133" spans="1:62" ht="12.5" x14ac:dyDescent="0.25">
      <c r="A133" s="6">
        <f ca="1">IFERROR(__xludf.DUMMYFUNCTION("""COMPUTED_VALUE"""),43438.6256810185)</f>
        <v>43438.6256810185</v>
      </c>
      <c r="B133" s="2" t="str">
        <f ca="1">IFERROR(__xludf.DUMMYFUNCTION("""COMPUTED_VALUE"""),"Bay of Plenty")</f>
        <v>Bay of Plenty</v>
      </c>
      <c r="C133" s="2" t="str">
        <f ca="1">IFERROR(__xludf.DUMMYFUNCTION("""COMPUTED_VALUE"""),"Tx 38 - Pearl")</f>
        <v>Tx 38 - Pearl</v>
      </c>
      <c r="D133" s="10">
        <f ca="1">IFERROR(__xludf.DUMMYFUNCTION("""COMPUTED_VALUE"""),42764)</f>
        <v>42764</v>
      </c>
      <c r="E133" s="4">
        <f ca="1">IFERROR(__xludf.DUMMYFUNCTION("""COMPUTED_VALUE"""),0.77083333333212)</f>
        <v>0.77083333333212001</v>
      </c>
      <c r="F133" s="2" t="str">
        <f ca="1">IFERROR(__xludf.DUMMYFUNCTION("""COMPUTED_VALUE"""),"Cutwater rd padocks")</f>
        <v>Cutwater rd padocks</v>
      </c>
      <c r="G133" s="2" t="str">
        <f ca="1">IFERROR(__xludf.DUMMYFUNCTION("""COMPUTED_VALUE"""),"VHF (close approach): I followed the signal until I got within 50 m of the bird")</f>
        <v>VHF (close approach): I followed the signal until I got within 50 m of the bird</v>
      </c>
      <c r="H133" s="2" t="str">
        <f ca="1">IFERROR(__xludf.DUMMYFUNCTION("""COMPUTED_VALUE"""),"")</f>
        <v/>
      </c>
      <c r="I133" s="2" t="str">
        <f ca="1">IFERROR(__xludf.DUMMYFUNCTION("""COMPUTED_VALUE"""),"")</f>
        <v/>
      </c>
      <c r="J133" s="2" t="str">
        <f ca="1">IFERROR(__xludf.DUMMYFUNCTION("""COMPUTED_VALUE"""),"")</f>
        <v/>
      </c>
      <c r="K133" s="2" t="str">
        <f ca="1">IFERROR(__xludf.DUMMYFUNCTION("""COMPUTED_VALUE"""),"")</f>
        <v/>
      </c>
      <c r="L133" s="2" t="str">
        <f ca="1">IFERROR(__xludf.DUMMYFUNCTION("""COMPUTED_VALUE"""),"No - I got very close to the bird but it was well hidden in the vegetation")</f>
        <v>No - I got very close to the bird but it was well hidden in the vegetation</v>
      </c>
      <c r="M133" s="5">
        <f ca="1">IFERROR(__xludf.DUMMYFUNCTION("""COMPUTED_VALUE"""),1907339)</f>
        <v>1907339</v>
      </c>
      <c r="N133" s="5">
        <f ca="1">IFERROR(__xludf.DUMMYFUNCTION("""COMPUTED_VALUE"""),812099)</f>
        <v>812099</v>
      </c>
      <c r="O133" s="2" t="str">
        <f ca="1">IFERROR(__xludf.DUMMYFUNCTION("""COMPUTED_VALUE"""),"")</f>
        <v/>
      </c>
      <c r="P133" s="2" t="str">
        <f ca="1">IFERROR(__xludf.DUMMYFUNCTION("""COMPUTED_VALUE"""),"No")</f>
        <v>No</v>
      </c>
      <c r="Q133" s="2" t="str">
        <f ca="1">IFERROR(__xludf.DUMMYFUNCTION("""COMPUTED_VALUE"""),"Dry")</f>
        <v>Dry</v>
      </c>
      <c r="R133" s="2" t="str">
        <f ca="1">IFERROR(__xludf.DUMMYFUNCTION("""COMPUTED_VALUE"""),"dont know")</f>
        <v>dont know</v>
      </c>
      <c r="S133" s="2" t="str">
        <f ca="1">IFERROR(__xludf.DUMMYFUNCTION("""COMPUTED_VALUE"""),"dont know")</f>
        <v>dont know</v>
      </c>
      <c r="T133" s="2" t="str">
        <f ca="1">IFERROR(__xludf.DUMMYFUNCTION("""COMPUTED_VALUE"""),"Farmland - Paddocks,drains,canal edge?")</f>
        <v>Farmland - Paddocks,drains,canal edge?</v>
      </c>
      <c r="U133" s="2" t="str">
        <f ca="1">IFERROR(__xludf.DUMMYFUNCTION("""COMPUTED_VALUE"""),"no")</f>
        <v>no</v>
      </c>
      <c r="V133" s="2" t="str">
        <f ca="1">IFERROR(__xludf.DUMMYFUNCTION("""COMPUTED_VALUE"""),"")</f>
        <v/>
      </c>
      <c r="W133" s="2" t="str">
        <f ca="1">IFERROR(__xludf.DUMMYFUNCTION("""COMPUTED_VALUE"""),"")</f>
        <v/>
      </c>
      <c r="X133" s="2" t="str">
        <f ca="1">IFERROR(__xludf.DUMMYFUNCTION("""COMPUTED_VALUE"""),"")</f>
        <v/>
      </c>
      <c r="Y133" s="2" t="str">
        <f ca="1">IFERROR(__xludf.DUMMYFUNCTION("""COMPUTED_VALUE"""),"")</f>
        <v/>
      </c>
      <c r="Z133" s="2" t="str">
        <f ca="1">IFERROR(__xludf.DUMMYFUNCTION("""COMPUTED_VALUE"""),"")</f>
        <v/>
      </c>
      <c r="AA133" s="2" t="str">
        <f ca="1">IFERROR(__xludf.DUMMYFUNCTION("""COMPUTED_VALUE"""),"")</f>
        <v/>
      </c>
      <c r="AB133" s="2" t="str">
        <f ca="1">IFERROR(__xludf.DUMMYFUNCTION("""COMPUTED_VALUE"""),"")</f>
        <v/>
      </c>
      <c r="AC133" s="2" t="str">
        <f ca="1">IFERROR(__xludf.DUMMYFUNCTION("""COMPUTED_VALUE"""),"")</f>
        <v/>
      </c>
      <c r="AD133" s="2" t="str">
        <f ca="1">IFERROR(__xludf.DUMMYFUNCTION("""COMPUTED_VALUE"""),"")</f>
        <v/>
      </c>
      <c r="AE133" s="2" t="str">
        <f ca="1">IFERROR(__xludf.DUMMYFUNCTION("""COMPUTED_VALUE"""),"")</f>
        <v/>
      </c>
      <c r="AF133" s="2" t="str">
        <f ca="1">IFERROR(__xludf.DUMMYFUNCTION("""COMPUTED_VALUE"""),"")</f>
        <v/>
      </c>
      <c r="AG133" s="2" t="str">
        <f ca="1">IFERROR(__xludf.DUMMYFUNCTION("""COMPUTED_VALUE"""),"")</f>
        <v/>
      </c>
      <c r="AH133" s="2" t="str">
        <f ca="1">IFERROR(__xludf.DUMMYFUNCTION("""COMPUTED_VALUE"""),"")</f>
        <v/>
      </c>
      <c r="AI133" s="2" t="str">
        <f ca="1">IFERROR(__xludf.DUMMYFUNCTION("""COMPUTED_VALUE"""),"")</f>
        <v/>
      </c>
      <c r="AJ133" s="2" t="str">
        <f ca="1">IFERROR(__xludf.DUMMYFUNCTION("""COMPUTED_VALUE"""),"")</f>
        <v/>
      </c>
      <c r="AK133" s="2" t="str">
        <f ca="1">IFERROR(__xludf.DUMMYFUNCTION("""COMPUTED_VALUE"""),"")</f>
        <v/>
      </c>
      <c r="AL133" s="2" t="str">
        <f ca="1">IFERROR(__xludf.DUMMYFUNCTION("""COMPUTED_VALUE"""),"")</f>
        <v/>
      </c>
      <c r="AM133" s="2" t="str">
        <f ca="1">IFERROR(__xludf.DUMMYFUNCTION("""COMPUTED_VALUE"""),"")</f>
        <v/>
      </c>
      <c r="AN133" s="2" t="str">
        <f ca="1">IFERROR(__xludf.DUMMYFUNCTION("""COMPUTED_VALUE"""),"")</f>
        <v/>
      </c>
      <c r="AO133" s="2" t="str">
        <f ca="1">IFERROR(__xludf.DUMMYFUNCTION("""COMPUTED_VALUE"""),"")</f>
        <v/>
      </c>
      <c r="AP133" s="2" t="str">
        <f ca="1">IFERROR(__xludf.DUMMYFUNCTION("""COMPUTED_VALUE"""),"")</f>
        <v/>
      </c>
      <c r="AQ133" s="2" t="str">
        <f ca="1">IFERROR(__xludf.DUMMYFUNCTION("""COMPUTED_VALUE"""),"")</f>
        <v/>
      </c>
      <c r="AR133" s="2" t="str">
        <f ca="1">IFERROR(__xludf.DUMMYFUNCTION("""COMPUTED_VALUE"""),"")</f>
        <v/>
      </c>
      <c r="AS133" s="2" t="str">
        <f ca="1">IFERROR(__xludf.DUMMYFUNCTION("""COMPUTED_VALUE"""),"")</f>
        <v/>
      </c>
      <c r="AT133" s="2" t="str">
        <f ca="1">IFERROR(__xludf.DUMMYFUNCTION("""COMPUTED_VALUE"""),"")</f>
        <v/>
      </c>
      <c r="AU133" s="2" t="str">
        <f ca="1">IFERROR(__xludf.DUMMYFUNCTION("""COMPUTED_VALUE"""),"")</f>
        <v/>
      </c>
      <c r="AV133" s="2" t="str">
        <f ca="1">IFERROR(__xludf.DUMMYFUNCTION("""COMPUTED_VALUE"""),"")</f>
        <v/>
      </c>
      <c r="AW133" s="2" t="str">
        <f ca="1">IFERROR(__xludf.DUMMYFUNCTION("""COMPUTED_VALUE"""),"")</f>
        <v/>
      </c>
      <c r="AX133" s="2" t="str">
        <f ca="1">IFERROR(__xludf.DUMMYFUNCTION("""COMPUTED_VALUE"""),"")</f>
        <v/>
      </c>
      <c r="AY133" s="2" t="str">
        <f ca="1">IFERROR(__xludf.DUMMYFUNCTION("""COMPUTED_VALUE"""),"")</f>
        <v/>
      </c>
      <c r="AZ133" s="2" t="str">
        <f ca="1">IFERROR(__xludf.DUMMYFUNCTION("""COMPUTED_VALUE"""),"")</f>
        <v/>
      </c>
      <c r="BA133" s="2" t="str">
        <f ca="1">IFERROR(__xludf.DUMMYFUNCTION("""COMPUTED_VALUE"""),"")</f>
        <v/>
      </c>
      <c r="BB133" s="2" t="str">
        <f ca="1">IFERROR(__xludf.DUMMYFUNCTION("""COMPUTED_VALUE"""),"")</f>
        <v/>
      </c>
      <c r="BC133" s="2" t="str">
        <f ca="1">IFERROR(__xludf.DUMMYFUNCTION("""COMPUTED_VALUE"""),"")</f>
        <v/>
      </c>
      <c r="BD133" s="2" t="str">
        <f ca="1">IFERROR(__xludf.DUMMYFUNCTION("""COMPUTED_VALUE"""),"")</f>
        <v/>
      </c>
      <c r="BE133" s="2" t="str">
        <f ca="1">IFERROR(__xludf.DUMMYFUNCTION("""COMPUTED_VALUE"""),"")</f>
        <v/>
      </c>
      <c r="BF133" t="str">
        <f ca="1">IFERROR(__xludf.DUMMYFUNCTION("""COMPUTED_VALUE"""),"")</f>
        <v/>
      </c>
      <c r="BG133" t="str">
        <f ca="1">IFERROR(__xludf.DUMMYFUNCTION("""COMPUTED_VALUE"""),"")</f>
        <v/>
      </c>
      <c r="BH133" t="str">
        <f ca="1">IFERROR(__xludf.DUMMYFUNCTION("""COMPUTED_VALUE"""),"")</f>
        <v/>
      </c>
      <c r="BI133" t="str">
        <f ca="1">IFERROR(__xludf.DUMMYFUNCTION("""COMPUTED_VALUE"""),"")</f>
        <v/>
      </c>
      <c r="BJ133" s="3" t="str">
        <f ca="1">IFERROR(__xludf.DUMMYFUNCTION("""COMPUTED_VALUE"""),"")</f>
        <v/>
      </c>
    </row>
    <row r="134" spans="1:62" ht="12.5" x14ac:dyDescent="0.25">
      <c r="A134" s="6">
        <f ca="1">IFERROR(__xludf.DUMMYFUNCTION("""COMPUTED_VALUE"""),43452.4639425924)</f>
        <v>43452.463942592403</v>
      </c>
      <c r="B134" s="2" t="str">
        <f ca="1">IFERROR(__xludf.DUMMYFUNCTION("""COMPUTED_VALUE"""),"Bay of Plenty")</f>
        <v>Bay of Plenty</v>
      </c>
      <c r="C134" s="2" t="str">
        <f ca="1">IFERROR(__xludf.DUMMYFUNCTION("""COMPUTED_VALUE"""),"Tx 54")</f>
        <v>Tx 54</v>
      </c>
      <c r="D134" s="10">
        <f ca="1">IFERROR(__xludf.DUMMYFUNCTION("""COMPUTED_VALUE"""),43448)</f>
        <v>43448</v>
      </c>
      <c r="E134" s="4">
        <f ca="1">IFERROR(__xludf.DUMMYFUNCTION("""COMPUTED_VALUE"""),0.541666666667879)</f>
        <v>0.54166666666787899</v>
      </c>
      <c r="F134" s="2" t="str">
        <f ca="1">IFERROR(__xludf.DUMMYFUNCTION("""COMPUTED_VALUE"""),"Little Waihi")</f>
        <v>Little Waihi</v>
      </c>
      <c r="G134" s="2" t="str">
        <f ca="1">IFERROR(__xludf.DUMMYFUNCTION("""COMPUTED_VALUE"""),"VHF (Mortality): I just listened to see if the signal was on mortality")</f>
        <v>VHF (Mortality): I just listened to see if the signal was on mortality</v>
      </c>
      <c r="H134" s="2" t="str">
        <f ca="1">IFERROR(__xludf.DUMMYFUNCTION("""COMPUTED_VALUE"""),"")</f>
        <v/>
      </c>
      <c r="I134" s="2" t="str">
        <f ca="1">IFERROR(__xludf.DUMMYFUNCTION("""COMPUTED_VALUE"""),"")</f>
        <v/>
      </c>
      <c r="J134" s="2" t="str">
        <f ca="1">IFERROR(__xludf.DUMMYFUNCTION("""COMPUTED_VALUE"""),"")</f>
        <v/>
      </c>
      <c r="K134" s="2" t="str">
        <f ca="1">IFERROR(__xludf.DUMMYFUNCTION("""COMPUTED_VALUE"""),"")</f>
        <v/>
      </c>
      <c r="L134" s="2" t="str">
        <f ca="1">IFERROR(__xludf.DUMMYFUNCTION("""COMPUTED_VALUE"""),"")</f>
        <v/>
      </c>
      <c r="M134" s="5" t="str">
        <f ca="1">IFERROR(__xludf.DUMMYFUNCTION("""COMPUTED_VALUE"""),"")</f>
        <v/>
      </c>
      <c r="N134" s="5" t="str">
        <f ca="1">IFERROR(__xludf.DUMMYFUNCTION("""COMPUTED_VALUE"""),"")</f>
        <v/>
      </c>
      <c r="O134" s="2" t="str">
        <f ca="1">IFERROR(__xludf.DUMMYFUNCTION("""COMPUTED_VALUE"""),"")</f>
        <v/>
      </c>
      <c r="P134" s="2" t="str">
        <f ca="1">IFERROR(__xludf.DUMMYFUNCTION("""COMPUTED_VALUE"""),"")</f>
        <v/>
      </c>
      <c r="Q134" s="2" t="str">
        <f ca="1">IFERROR(__xludf.DUMMYFUNCTION("""COMPUTED_VALUE"""),"")</f>
        <v/>
      </c>
      <c r="R134" s="2" t="str">
        <f ca="1">IFERROR(__xludf.DUMMYFUNCTION("""COMPUTED_VALUE"""),"")</f>
        <v/>
      </c>
      <c r="S134" s="2" t="str">
        <f ca="1">IFERROR(__xludf.DUMMYFUNCTION("""COMPUTED_VALUE"""),"")</f>
        <v/>
      </c>
      <c r="T134" s="2" t="str">
        <f ca="1">IFERROR(__xludf.DUMMYFUNCTION("""COMPUTED_VALUE"""),"")</f>
        <v/>
      </c>
      <c r="U134" s="2" t="str">
        <f ca="1">IFERROR(__xludf.DUMMYFUNCTION("""COMPUTED_VALUE"""),"")</f>
        <v/>
      </c>
      <c r="V134" s="2" t="str">
        <f ca="1">IFERROR(__xludf.DUMMYFUNCTION("""COMPUTED_VALUE"""),"")</f>
        <v/>
      </c>
      <c r="W134" s="2" t="str">
        <f ca="1">IFERROR(__xludf.DUMMYFUNCTION("""COMPUTED_VALUE"""),"")</f>
        <v/>
      </c>
      <c r="X134" s="2" t="str">
        <f ca="1">IFERROR(__xludf.DUMMYFUNCTION("""COMPUTED_VALUE"""),"")</f>
        <v/>
      </c>
      <c r="Y134" s="2" t="str">
        <f ca="1">IFERROR(__xludf.DUMMYFUNCTION("""COMPUTED_VALUE"""),"")</f>
        <v/>
      </c>
      <c r="Z134" s="2" t="str">
        <f ca="1">IFERROR(__xludf.DUMMYFUNCTION("""COMPUTED_VALUE"""),"")</f>
        <v/>
      </c>
      <c r="AA134" s="2" t="str">
        <f ca="1">IFERROR(__xludf.DUMMYFUNCTION("""COMPUTED_VALUE"""),"")</f>
        <v/>
      </c>
      <c r="AB134" s="2" t="str">
        <f ca="1">IFERROR(__xludf.DUMMYFUNCTION("""COMPUTED_VALUE"""),"")</f>
        <v/>
      </c>
      <c r="AC134" s="2" t="str">
        <f ca="1">IFERROR(__xludf.DUMMYFUNCTION("""COMPUTED_VALUE"""),"")</f>
        <v/>
      </c>
      <c r="AD134" s="2" t="str">
        <f ca="1">IFERROR(__xludf.DUMMYFUNCTION("""COMPUTED_VALUE"""),"")</f>
        <v/>
      </c>
      <c r="AE134" s="2" t="str">
        <f ca="1">IFERROR(__xludf.DUMMYFUNCTION("""COMPUTED_VALUE"""),"")</f>
        <v/>
      </c>
      <c r="AF134" s="2" t="str">
        <f ca="1">IFERROR(__xludf.DUMMYFUNCTION("""COMPUTED_VALUE"""),"")</f>
        <v/>
      </c>
      <c r="AG134" s="2" t="str">
        <f ca="1">IFERROR(__xludf.DUMMYFUNCTION("""COMPUTED_VALUE"""),"")</f>
        <v/>
      </c>
      <c r="AH134" s="2" t="str">
        <f ca="1">IFERROR(__xludf.DUMMYFUNCTION("""COMPUTED_VALUE"""),"")</f>
        <v/>
      </c>
      <c r="AI134" s="2" t="str">
        <f ca="1">IFERROR(__xludf.DUMMYFUNCTION("""COMPUTED_VALUE"""),"")</f>
        <v/>
      </c>
      <c r="AJ134" s="2" t="str">
        <f ca="1">IFERROR(__xludf.DUMMYFUNCTION("""COMPUTED_VALUE"""),"")</f>
        <v/>
      </c>
      <c r="AK134" s="2" t="str">
        <f ca="1">IFERROR(__xludf.DUMMYFUNCTION("""COMPUTED_VALUE"""),"")</f>
        <v/>
      </c>
      <c r="AL134" s="2" t="str">
        <f ca="1">IFERROR(__xludf.DUMMYFUNCTION("""COMPUTED_VALUE"""),"")</f>
        <v/>
      </c>
      <c r="AM134" s="2" t="str">
        <f ca="1">IFERROR(__xludf.DUMMYFUNCTION("""COMPUTED_VALUE"""),"")</f>
        <v/>
      </c>
      <c r="AN134" s="2" t="str">
        <f ca="1">IFERROR(__xludf.DUMMYFUNCTION("""COMPUTED_VALUE"""),"")</f>
        <v/>
      </c>
      <c r="AO134" s="2" t="str">
        <f ca="1">IFERROR(__xludf.DUMMYFUNCTION("""COMPUTED_VALUE"""),"")</f>
        <v/>
      </c>
      <c r="AP134" s="2" t="str">
        <f ca="1">IFERROR(__xludf.DUMMYFUNCTION("""COMPUTED_VALUE"""),"")</f>
        <v/>
      </c>
      <c r="AQ134" s="2" t="str">
        <f ca="1">IFERROR(__xludf.DUMMYFUNCTION("""COMPUTED_VALUE"""),"")</f>
        <v/>
      </c>
      <c r="AR134" s="2" t="str">
        <f ca="1">IFERROR(__xludf.DUMMYFUNCTION("""COMPUTED_VALUE"""),"")</f>
        <v/>
      </c>
      <c r="AS134" s="2" t="str">
        <f ca="1">IFERROR(__xludf.DUMMYFUNCTION("""COMPUTED_VALUE"""),"")</f>
        <v/>
      </c>
      <c r="AT134" s="2" t="str">
        <f ca="1">IFERROR(__xludf.DUMMYFUNCTION("""COMPUTED_VALUE"""),"")</f>
        <v/>
      </c>
      <c r="AU134" s="2" t="str">
        <f ca="1">IFERROR(__xludf.DUMMYFUNCTION("""COMPUTED_VALUE"""),"")</f>
        <v/>
      </c>
      <c r="AV134" s="2" t="str">
        <f ca="1">IFERROR(__xludf.DUMMYFUNCTION("""COMPUTED_VALUE"""),"30 pulses per minute - great all is well")</f>
        <v>30 pulses per minute - great all is well</v>
      </c>
      <c r="AW134" s="2">
        <f ca="1">IFERROR(__xludf.DUMMYFUNCTION("""COMPUTED_VALUE"""),1906502)</f>
        <v>1906502</v>
      </c>
      <c r="AX134" s="2">
        <f ca="1">IFERROR(__xludf.DUMMYFUNCTION("""COMPUTED_VALUE"""),5812039)</f>
        <v>5812039</v>
      </c>
      <c r="AY134" s="2" t="str">
        <f ca="1">IFERROR(__xludf.DUMMYFUNCTION("""COMPUTED_VALUE"""),"Bird was virtually due north, apparently in the WMR/near paddock")</f>
        <v>Bird was virtually due north, apparently in the WMR/near paddock</v>
      </c>
      <c r="AZ134" s="2" t="str">
        <f ca="1">IFERROR(__xludf.DUMMYFUNCTION("""COMPUTED_VALUE"""),"")</f>
        <v/>
      </c>
      <c r="BA134" s="2" t="str">
        <f ca="1">IFERROR(__xludf.DUMMYFUNCTION("""COMPUTED_VALUE"""),"")</f>
        <v/>
      </c>
      <c r="BB134" s="2" t="str">
        <f ca="1">IFERROR(__xludf.DUMMYFUNCTION("""COMPUTED_VALUE"""),"")</f>
        <v/>
      </c>
      <c r="BC134" s="2" t="str">
        <f ca="1">IFERROR(__xludf.DUMMYFUNCTION("""COMPUTED_VALUE"""),"")</f>
        <v/>
      </c>
      <c r="BD134" s="2" t="str">
        <f ca="1">IFERROR(__xludf.DUMMYFUNCTION("""COMPUTED_VALUE"""),"")</f>
        <v/>
      </c>
      <c r="BE134" s="2" t="str">
        <f ca="1">IFERROR(__xludf.DUMMYFUNCTION("""COMPUTED_VALUE"""),"")</f>
        <v/>
      </c>
      <c r="BF134" t="str">
        <f ca="1">IFERROR(__xludf.DUMMYFUNCTION("""COMPUTED_VALUE"""),"")</f>
        <v/>
      </c>
      <c r="BG134" t="str">
        <f ca="1">IFERROR(__xludf.DUMMYFUNCTION("""COMPUTED_VALUE"""),"")</f>
        <v/>
      </c>
      <c r="BH134" t="str">
        <f ca="1">IFERROR(__xludf.DUMMYFUNCTION("""COMPUTED_VALUE"""),"")</f>
        <v/>
      </c>
      <c r="BI134" t="str">
        <f ca="1">IFERROR(__xludf.DUMMYFUNCTION("""COMPUTED_VALUE"""),"")</f>
        <v/>
      </c>
      <c r="BJ134" s="3" t="str">
        <f ca="1">IFERROR(__xludf.DUMMYFUNCTION("""COMPUTED_VALUE"""),"")</f>
        <v/>
      </c>
    </row>
    <row r="135" spans="1:62" ht="12.5" x14ac:dyDescent="0.25">
      <c r="A135" s="6">
        <f ca="1">IFERROR(__xludf.DUMMYFUNCTION("""COMPUTED_VALUE"""),43453.840445706)</f>
        <v>43453.840445706002</v>
      </c>
      <c r="B135" s="2" t="str">
        <f ca="1">IFERROR(__xludf.DUMMYFUNCTION("""COMPUTED_VALUE"""),"Bay of Plenty")</f>
        <v>Bay of Plenty</v>
      </c>
      <c r="C135" s="2" t="str">
        <f ca="1">IFERROR(__xludf.DUMMYFUNCTION("""COMPUTED_VALUE"""),"Tx 54")</f>
        <v>Tx 54</v>
      </c>
      <c r="D135" s="10">
        <f ca="1">IFERROR(__xludf.DUMMYFUNCTION("""COMPUTED_VALUE"""),43439)</f>
        <v>43439</v>
      </c>
      <c r="E135" s="4">
        <f ca="1">IFERROR(__xludf.DUMMYFUNCTION("""COMPUTED_VALUE"""),0.58333333333212)</f>
        <v>0.58333333333212001</v>
      </c>
      <c r="F135" s="2" t="str">
        <f ca="1">IFERROR(__xludf.DUMMYFUNCTION("""COMPUTED_VALUE"""),"Cutwater road")</f>
        <v>Cutwater road</v>
      </c>
      <c r="G135" s="2" t="str">
        <f ca="1">IFERROR(__xludf.DUMMYFUNCTION("""COMPUTED_VALUE"""),"VHF (close approach): I followed the signal until I got within 50 m of the bird")</f>
        <v>VHF (close approach): I followed the signal until I got within 50 m of the bird</v>
      </c>
      <c r="H135" s="2" t="str">
        <f ca="1">IFERROR(__xludf.DUMMYFUNCTION("""COMPUTED_VALUE"""),"")</f>
        <v/>
      </c>
      <c r="I135" s="2" t="str">
        <f ca="1">IFERROR(__xludf.DUMMYFUNCTION("""COMPUTED_VALUE"""),"")</f>
        <v/>
      </c>
      <c r="J135" s="2" t="str">
        <f ca="1">IFERROR(__xludf.DUMMYFUNCTION("""COMPUTED_VALUE"""),"")</f>
        <v/>
      </c>
      <c r="K135" s="2" t="str">
        <f ca="1">IFERROR(__xludf.DUMMYFUNCTION("""COMPUTED_VALUE"""),"")</f>
        <v/>
      </c>
      <c r="L135" s="2" t="str">
        <f ca="1">IFERROR(__xludf.DUMMYFUNCTION("""COMPUTED_VALUE"""),"No - I got very close to the bird but it was well hidden in the vegetation")</f>
        <v>No - I got very close to the bird but it was well hidden in the vegetation</v>
      </c>
      <c r="M135" s="5">
        <f ca="1">IFERROR(__xludf.DUMMYFUNCTION("""COMPUTED_VALUE"""),1907404)</f>
        <v>1907404</v>
      </c>
      <c r="N135" s="5">
        <f ca="1">IFERROR(__xludf.DUMMYFUNCTION("""COMPUTED_VALUE"""),5813037)</f>
        <v>5813037</v>
      </c>
      <c r="O135" s="2" t="str">
        <f ca="1">IFERROR(__xludf.DUMMYFUNCTION("""COMPUTED_VALUE"""),"")</f>
        <v/>
      </c>
      <c r="P135" s="2" t="str">
        <f ca="1">IFERROR(__xludf.DUMMYFUNCTION("""COMPUTED_VALUE"""),"N/A - not grazed")</f>
        <v>N/A - not grazed</v>
      </c>
      <c r="Q135" s="2" t="str">
        <f ca="1">IFERROR(__xludf.DUMMYFUNCTION("""COMPUTED_VALUE"""),"Don't know")</f>
        <v>Don't know</v>
      </c>
      <c r="R135" s="2" t="str">
        <f ca="1">IFERROR(__xludf.DUMMYFUNCTION("""COMPUTED_VALUE"""),"dont know")</f>
        <v>dont know</v>
      </c>
      <c r="S135" s="2" t="str">
        <f ca="1">IFERROR(__xludf.DUMMYFUNCTION("""COMPUTED_VALUE"""),"dont know")</f>
        <v>dont know</v>
      </c>
      <c r="T135" s="2" t="str">
        <f ca="1">IFERROR(__xludf.DUMMYFUNCTION("""COMPUTED_VALUE"""),"salt marsh")</f>
        <v>salt marsh</v>
      </c>
      <c r="U135" s="2" t="str">
        <f ca="1">IFERROR(__xludf.DUMMYFUNCTION("""COMPUTED_VALUE"""),"Day with Melv, Roponi, Te Awhi, Thomas and Wendy ")</f>
        <v xml:space="preserve">Day with Melv, Roponi, Te Awhi, Thomas and Wendy </v>
      </c>
      <c r="V135" s="2" t="str">
        <f ca="1">IFERROR(__xludf.DUMMYFUNCTION("""COMPUTED_VALUE"""),"")</f>
        <v/>
      </c>
      <c r="W135" s="2" t="str">
        <f ca="1">IFERROR(__xludf.DUMMYFUNCTION("""COMPUTED_VALUE"""),"")</f>
        <v/>
      </c>
      <c r="X135" s="2" t="str">
        <f ca="1">IFERROR(__xludf.DUMMYFUNCTION("""COMPUTED_VALUE"""),"")</f>
        <v/>
      </c>
      <c r="Y135" s="2" t="str">
        <f ca="1">IFERROR(__xludf.DUMMYFUNCTION("""COMPUTED_VALUE"""),"")</f>
        <v/>
      </c>
      <c r="Z135" s="2" t="str">
        <f ca="1">IFERROR(__xludf.DUMMYFUNCTION("""COMPUTED_VALUE"""),"")</f>
        <v/>
      </c>
      <c r="AA135" s="2" t="str">
        <f ca="1">IFERROR(__xludf.DUMMYFUNCTION("""COMPUTED_VALUE"""),"")</f>
        <v/>
      </c>
      <c r="AB135" s="2" t="str">
        <f ca="1">IFERROR(__xludf.DUMMYFUNCTION("""COMPUTED_VALUE"""),"")</f>
        <v/>
      </c>
      <c r="AC135" s="2" t="str">
        <f ca="1">IFERROR(__xludf.DUMMYFUNCTION("""COMPUTED_VALUE"""),"")</f>
        <v/>
      </c>
      <c r="AD135" s="2" t="str">
        <f ca="1">IFERROR(__xludf.DUMMYFUNCTION("""COMPUTED_VALUE"""),"")</f>
        <v/>
      </c>
      <c r="AE135" s="2" t="str">
        <f ca="1">IFERROR(__xludf.DUMMYFUNCTION("""COMPUTED_VALUE"""),"")</f>
        <v/>
      </c>
      <c r="AF135" s="2" t="str">
        <f ca="1">IFERROR(__xludf.DUMMYFUNCTION("""COMPUTED_VALUE"""),"")</f>
        <v/>
      </c>
      <c r="AG135" s="2" t="str">
        <f ca="1">IFERROR(__xludf.DUMMYFUNCTION("""COMPUTED_VALUE"""),"")</f>
        <v/>
      </c>
      <c r="AH135" s="2" t="str">
        <f ca="1">IFERROR(__xludf.DUMMYFUNCTION("""COMPUTED_VALUE"""),"")</f>
        <v/>
      </c>
      <c r="AI135" s="2" t="str">
        <f ca="1">IFERROR(__xludf.DUMMYFUNCTION("""COMPUTED_VALUE"""),"")</f>
        <v/>
      </c>
      <c r="AJ135" s="2" t="str">
        <f ca="1">IFERROR(__xludf.DUMMYFUNCTION("""COMPUTED_VALUE"""),"")</f>
        <v/>
      </c>
      <c r="AK135" s="2" t="str">
        <f ca="1">IFERROR(__xludf.DUMMYFUNCTION("""COMPUTED_VALUE"""),"")</f>
        <v/>
      </c>
      <c r="AL135" s="2" t="str">
        <f ca="1">IFERROR(__xludf.DUMMYFUNCTION("""COMPUTED_VALUE"""),"")</f>
        <v/>
      </c>
      <c r="AM135" s="2" t="str">
        <f ca="1">IFERROR(__xludf.DUMMYFUNCTION("""COMPUTED_VALUE"""),"")</f>
        <v/>
      </c>
      <c r="AN135" s="2" t="str">
        <f ca="1">IFERROR(__xludf.DUMMYFUNCTION("""COMPUTED_VALUE"""),"")</f>
        <v/>
      </c>
      <c r="AO135" s="2" t="str">
        <f ca="1">IFERROR(__xludf.DUMMYFUNCTION("""COMPUTED_VALUE"""),"")</f>
        <v/>
      </c>
      <c r="AP135" s="2" t="str">
        <f ca="1">IFERROR(__xludf.DUMMYFUNCTION("""COMPUTED_VALUE"""),"")</f>
        <v/>
      </c>
      <c r="AQ135" s="2" t="str">
        <f ca="1">IFERROR(__xludf.DUMMYFUNCTION("""COMPUTED_VALUE"""),"")</f>
        <v/>
      </c>
      <c r="AR135" s="2" t="str">
        <f ca="1">IFERROR(__xludf.DUMMYFUNCTION("""COMPUTED_VALUE"""),"")</f>
        <v/>
      </c>
      <c r="AS135" s="2" t="str">
        <f ca="1">IFERROR(__xludf.DUMMYFUNCTION("""COMPUTED_VALUE"""),"")</f>
        <v/>
      </c>
      <c r="AT135" s="2" t="str">
        <f ca="1">IFERROR(__xludf.DUMMYFUNCTION("""COMPUTED_VALUE"""),"")</f>
        <v/>
      </c>
      <c r="AU135" s="2" t="str">
        <f ca="1">IFERROR(__xludf.DUMMYFUNCTION("""COMPUTED_VALUE"""),"")</f>
        <v/>
      </c>
      <c r="AV135" s="2" t="str">
        <f ca="1">IFERROR(__xludf.DUMMYFUNCTION("""COMPUTED_VALUE"""),"")</f>
        <v/>
      </c>
      <c r="AW135" s="2" t="str">
        <f ca="1">IFERROR(__xludf.DUMMYFUNCTION("""COMPUTED_VALUE"""),"")</f>
        <v/>
      </c>
      <c r="AX135" s="2" t="str">
        <f ca="1">IFERROR(__xludf.DUMMYFUNCTION("""COMPUTED_VALUE"""),"")</f>
        <v/>
      </c>
      <c r="AY135" s="2" t="str">
        <f ca="1">IFERROR(__xludf.DUMMYFUNCTION("""COMPUTED_VALUE"""),"")</f>
        <v/>
      </c>
      <c r="AZ135" s="2" t="str">
        <f ca="1">IFERROR(__xludf.DUMMYFUNCTION("""COMPUTED_VALUE"""),"")</f>
        <v/>
      </c>
      <c r="BA135" s="2" t="str">
        <f ca="1">IFERROR(__xludf.DUMMYFUNCTION("""COMPUTED_VALUE"""),"")</f>
        <v/>
      </c>
      <c r="BB135" s="2" t="str">
        <f ca="1">IFERROR(__xludf.DUMMYFUNCTION("""COMPUTED_VALUE"""),"")</f>
        <v/>
      </c>
      <c r="BC135" s="2" t="str">
        <f ca="1">IFERROR(__xludf.DUMMYFUNCTION("""COMPUTED_VALUE"""),"")</f>
        <v/>
      </c>
      <c r="BD135" s="2" t="str">
        <f ca="1">IFERROR(__xludf.DUMMYFUNCTION("""COMPUTED_VALUE"""),"")</f>
        <v/>
      </c>
      <c r="BE135" s="2" t="str">
        <f ca="1">IFERROR(__xludf.DUMMYFUNCTION("""COMPUTED_VALUE"""),"")</f>
        <v/>
      </c>
      <c r="BF135" t="str">
        <f ca="1">IFERROR(__xludf.DUMMYFUNCTION("""COMPUTED_VALUE"""),"")</f>
        <v/>
      </c>
      <c r="BG135" t="str">
        <f ca="1">IFERROR(__xludf.DUMMYFUNCTION("""COMPUTED_VALUE"""),"")</f>
        <v/>
      </c>
      <c r="BH135" t="str">
        <f ca="1">IFERROR(__xludf.DUMMYFUNCTION("""COMPUTED_VALUE"""),"")</f>
        <v/>
      </c>
      <c r="BI135" t="str">
        <f ca="1">IFERROR(__xludf.DUMMYFUNCTION("""COMPUTED_VALUE"""),"")</f>
        <v/>
      </c>
      <c r="BJ135" s="3" t="str">
        <f ca="1">IFERROR(__xludf.DUMMYFUNCTION("""COMPUTED_VALUE"""),"")</f>
        <v/>
      </c>
    </row>
    <row r="136" spans="1:62" ht="12.5" x14ac:dyDescent="0.25">
      <c r="A136" s="6">
        <f ca="1">IFERROR(__xludf.DUMMYFUNCTION("""COMPUTED_VALUE"""),43453.8457160185)</f>
        <v>43453.845716018499</v>
      </c>
      <c r="B136" s="2" t="str">
        <f ca="1">IFERROR(__xludf.DUMMYFUNCTION("""COMPUTED_VALUE"""),"Bay of Plenty")</f>
        <v>Bay of Plenty</v>
      </c>
      <c r="C136" s="2" t="str">
        <f ca="1">IFERROR(__xludf.DUMMYFUNCTION("""COMPUTED_VALUE"""),"Tx 54")</f>
        <v>Tx 54</v>
      </c>
      <c r="D136" s="10">
        <f ca="1">IFERROR(__xludf.DUMMYFUNCTION("""COMPUTED_VALUE"""),43440)</f>
        <v>43440</v>
      </c>
      <c r="E136" s="4">
        <f ca="1">IFERROR(__xludf.DUMMYFUNCTION("""COMPUTED_VALUE"""),0)</f>
        <v>0</v>
      </c>
      <c r="F136" s="2" t="str">
        <f ca="1">IFERROR(__xludf.DUMMYFUNCTION("""COMPUTED_VALUE"""),"cut water rd - salt marsh WMR E ")</f>
        <v xml:space="preserve">cut water rd - salt marsh WMR E </v>
      </c>
      <c r="G136" s="2" t="str">
        <f ca="1">IFERROR(__xludf.DUMMYFUNCTION("""COMPUTED_VALUE"""),"VHF (close approach): I followed the signal until I got within 50 m of the bird")</f>
        <v>VHF (close approach): I followed the signal until I got within 50 m of the bird</v>
      </c>
      <c r="H136" s="2" t="str">
        <f ca="1">IFERROR(__xludf.DUMMYFUNCTION("""COMPUTED_VALUE"""),"")</f>
        <v/>
      </c>
      <c r="I136" s="2" t="str">
        <f ca="1">IFERROR(__xludf.DUMMYFUNCTION("""COMPUTED_VALUE"""),"")</f>
        <v/>
      </c>
      <c r="J136" s="2" t="str">
        <f ca="1">IFERROR(__xludf.DUMMYFUNCTION("""COMPUTED_VALUE"""),"")</f>
        <v/>
      </c>
      <c r="K136" s="2" t="str">
        <f ca="1">IFERROR(__xludf.DUMMYFUNCTION("""COMPUTED_VALUE"""),"")</f>
        <v/>
      </c>
      <c r="L136" s="2" t="str">
        <f ca="1">IFERROR(__xludf.DUMMYFUNCTION("""COMPUTED_VALUE"""),"No - I got very close to the bird but it was well hidden in the vegetation")</f>
        <v>No - I got very close to the bird but it was well hidden in the vegetation</v>
      </c>
      <c r="M136" s="5">
        <f ca="1">IFERROR(__xludf.DUMMYFUNCTION("""COMPUTED_VALUE"""),1907617)</f>
        <v>1907617</v>
      </c>
      <c r="N136" s="5">
        <f ca="1">IFERROR(__xludf.DUMMYFUNCTION("""COMPUTED_VALUE"""),5813200)</f>
        <v>5813200</v>
      </c>
      <c r="O136" s="2" t="str">
        <f ca="1">IFERROR(__xludf.DUMMYFUNCTION("""COMPUTED_VALUE"""),"")</f>
        <v/>
      </c>
      <c r="P136" s="2" t="str">
        <f ca="1">IFERROR(__xludf.DUMMYFUNCTION("""COMPUTED_VALUE"""),"N/A - not grazed")</f>
        <v>N/A - not grazed</v>
      </c>
      <c r="Q136" s="2" t="str">
        <f ca="1">IFERROR(__xludf.DUMMYFUNCTION("""COMPUTED_VALUE"""),"Don't know")</f>
        <v>Don't know</v>
      </c>
      <c r="R136" s="2" t="str">
        <f ca="1">IFERROR(__xludf.DUMMYFUNCTION("""COMPUTED_VALUE"""),"dont know")</f>
        <v>dont know</v>
      </c>
      <c r="S136" s="2" t="str">
        <f ca="1">IFERROR(__xludf.DUMMYFUNCTION("""COMPUTED_VALUE"""),"dont know")</f>
        <v>dont know</v>
      </c>
      <c r="T136" s="2" t="str">
        <f ca="1">IFERROR(__xludf.DUMMYFUNCTION("""COMPUTED_VALUE"""),"salt marsh")</f>
        <v>salt marsh</v>
      </c>
      <c r="U136" s="2" t="str">
        <f ca="1">IFERROR(__xludf.DUMMYFUNCTION("""COMPUTED_VALUE"""),"entered by Karl for Melv note only time provided as AM")</f>
        <v>entered by Karl for Melv note only time provided as AM</v>
      </c>
      <c r="V136" s="2" t="str">
        <f ca="1">IFERROR(__xludf.DUMMYFUNCTION("""COMPUTED_VALUE"""),"")</f>
        <v/>
      </c>
      <c r="W136" s="2" t="str">
        <f ca="1">IFERROR(__xludf.DUMMYFUNCTION("""COMPUTED_VALUE"""),"")</f>
        <v/>
      </c>
      <c r="X136" s="2" t="str">
        <f ca="1">IFERROR(__xludf.DUMMYFUNCTION("""COMPUTED_VALUE"""),"")</f>
        <v/>
      </c>
      <c r="Y136" s="2" t="str">
        <f ca="1">IFERROR(__xludf.DUMMYFUNCTION("""COMPUTED_VALUE"""),"")</f>
        <v/>
      </c>
      <c r="Z136" s="2" t="str">
        <f ca="1">IFERROR(__xludf.DUMMYFUNCTION("""COMPUTED_VALUE"""),"")</f>
        <v/>
      </c>
      <c r="AA136" s="2" t="str">
        <f ca="1">IFERROR(__xludf.DUMMYFUNCTION("""COMPUTED_VALUE"""),"")</f>
        <v/>
      </c>
      <c r="AB136" s="2" t="str">
        <f ca="1">IFERROR(__xludf.DUMMYFUNCTION("""COMPUTED_VALUE"""),"")</f>
        <v/>
      </c>
      <c r="AC136" s="2" t="str">
        <f ca="1">IFERROR(__xludf.DUMMYFUNCTION("""COMPUTED_VALUE"""),"")</f>
        <v/>
      </c>
      <c r="AD136" s="2" t="str">
        <f ca="1">IFERROR(__xludf.DUMMYFUNCTION("""COMPUTED_VALUE"""),"")</f>
        <v/>
      </c>
      <c r="AE136" s="2" t="str">
        <f ca="1">IFERROR(__xludf.DUMMYFUNCTION("""COMPUTED_VALUE"""),"")</f>
        <v/>
      </c>
      <c r="AF136" s="2" t="str">
        <f ca="1">IFERROR(__xludf.DUMMYFUNCTION("""COMPUTED_VALUE"""),"")</f>
        <v/>
      </c>
      <c r="AG136" s="2" t="str">
        <f ca="1">IFERROR(__xludf.DUMMYFUNCTION("""COMPUTED_VALUE"""),"")</f>
        <v/>
      </c>
      <c r="AH136" s="2" t="str">
        <f ca="1">IFERROR(__xludf.DUMMYFUNCTION("""COMPUTED_VALUE"""),"")</f>
        <v/>
      </c>
      <c r="AI136" s="2" t="str">
        <f ca="1">IFERROR(__xludf.DUMMYFUNCTION("""COMPUTED_VALUE"""),"")</f>
        <v/>
      </c>
      <c r="AJ136" s="2" t="str">
        <f ca="1">IFERROR(__xludf.DUMMYFUNCTION("""COMPUTED_VALUE"""),"")</f>
        <v/>
      </c>
      <c r="AK136" s="2" t="str">
        <f ca="1">IFERROR(__xludf.DUMMYFUNCTION("""COMPUTED_VALUE"""),"")</f>
        <v/>
      </c>
      <c r="AL136" s="2" t="str">
        <f ca="1">IFERROR(__xludf.DUMMYFUNCTION("""COMPUTED_VALUE"""),"")</f>
        <v/>
      </c>
      <c r="AM136" s="2" t="str">
        <f ca="1">IFERROR(__xludf.DUMMYFUNCTION("""COMPUTED_VALUE"""),"")</f>
        <v/>
      </c>
      <c r="AN136" s="2" t="str">
        <f ca="1">IFERROR(__xludf.DUMMYFUNCTION("""COMPUTED_VALUE"""),"")</f>
        <v/>
      </c>
      <c r="AO136" s="2" t="str">
        <f ca="1">IFERROR(__xludf.DUMMYFUNCTION("""COMPUTED_VALUE"""),"")</f>
        <v/>
      </c>
      <c r="AP136" s="2" t="str">
        <f ca="1">IFERROR(__xludf.DUMMYFUNCTION("""COMPUTED_VALUE"""),"")</f>
        <v/>
      </c>
      <c r="AQ136" s="2" t="str">
        <f ca="1">IFERROR(__xludf.DUMMYFUNCTION("""COMPUTED_VALUE"""),"")</f>
        <v/>
      </c>
      <c r="AR136" s="2" t="str">
        <f ca="1">IFERROR(__xludf.DUMMYFUNCTION("""COMPUTED_VALUE"""),"")</f>
        <v/>
      </c>
      <c r="AS136" s="2" t="str">
        <f ca="1">IFERROR(__xludf.DUMMYFUNCTION("""COMPUTED_VALUE"""),"")</f>
        <v/>
      </c>
      <c r="AT136" s="2" t="str">
        <f ca="1">IFERROR(__xludf.DUMMYFUNCTION("""COMPUTED_VALUE"""),"")</f>
        <v/>
      </c>
      <c r="AU136" s="2" t="str">
        <f ca="1">IFERROR(__xludf.DUMMYFUNCTION("""COMPUTED_VALUE"""),"")</f>
        <v/>
      </c>
      <c r="AV136" s="2" t="str">
        <f ca="1">IFERROR(__xludf.DUMMYFUNCTION("""COMPUTED_VALUE"""),"")</f>
        <v/>
      </c>
      <c r="AW136" s="2" t="str">
        <f ca="1">IFERROR(__xludf.DUMMYFUNCTION("""COMPUTED_VALUE"""),"")</f>
        <v/>
      </c>
      <c r="AX136" s="2" t="str">
        <f ca="1">IFERROR(__xludf.DUMMYFUNCTION("""COMPUTED_VALUE"""),"")</f>
        <v/>
      </c>
      <c r="AY136" s="2" t="str">
        <f ca="1">IFERROR(__xludf.DUMMYFUNCTION("""COMPUTED_VALUE"""),"")</f>
        <v/>
      </c>
      <c r="AZ136" s="2" t="str">
        <f ca="1">IFERROR(__xludf.DUMMYFUNCTION("""COMPUTED_VALUE"""),"")</f>
        <v/>
      </c>
      <c r="BA136" s="2" t="str">
        <f ca="1">IFERROR(__xludf.DUMMYFUNCTION("""COMPUTED_VALUE"""),"")</f>
        <v/>
      </c>
      <c r="BB136" s="2" t="str">
        <f ca="1">IFERROR(__xludf.DUMMYFUNCTION("""COMPUTED_VALUE"""),"")</f>
        <v/>
      </c>
      <c r="BC136" s="2" t="str">
        <f ca="1">IFERROR(__xludf.DUMMYFUNCTION("""COMPUTED_VALUE"""),"")</f>
        <v/>
      </c>
      <c r="BD136" s="2" t="str">
        <f ca="1">IFERROR(__xludf.DUMMYFUNCTION("""COMPUTED_VALUE"""),"")</f>
        <v/>
      </c>
      <c r="BE136" s="2" t="str">
        <f ca="1">IFERROR(__xludf.DUMMYFUNCTION("""COMPUTED_VALUE"""),"")</f>
        <v/>
      </c>
      <c r="BF136" t="str">
        <f ca="1">IFERROR(__xludf.DUMMYFUNCTION("""COMPUTED_VALUE"""),"")</f>
        <v/>
      </c>
      <c r="BG136" t="str">
        <f ca="1">IFERROR(__xludf.DUMMYFUNCTION("""COMPUTED_VALUE"""),"")</f>
        <v/>
      </c>
      <c r="BH136" t="str">
        <f ca="1">IFERROR(__xludf.DUMMYFUNCTION("""COMPUTED_VALUE"""),"")</f>
        <v/>
      </c>
      <c r="BI136" t="str">
        <f ca="1">IFERROR(__xludf.DUMMYFUNCTION("""COMPUTED_VALUE"""),"")</f>
        <v/>
      </c>
      <c r="BJ136" s="3" t="str">
        <f ca="1">IFERROR(__xludf.DUMMYFUNCTION("""COMPUTED_VALUE"""),"")</f>
        <v/>
      </c>
    </row>
    <row r="137" spans="1:62" ht="12.5" x14ac:dyDescent="0.25">
      <c r="A137" s="6">
        <f ca="1">IFERROR(__xludf.DUMMYFUNCTION("""COMPUTED_VALUE"""),43454.8940344097)</f>
        <v>43454.894034409699</v>
      </c>
      <c r="B137" s="2" t="str">
        <f ca="1">IFERROR(__xludf.DUMMYFUNCTION("""COMPUTED_VALUE"""),"Bay of Plenty")</f>
        <v>Bay of Plenty</v>
      </c>
      <c r="C137" s="2" t="str">
        <f ca="1">IFERROR(__xludf.DUMMYFUNCTION("""COMPUTED_VALUE"""),"Tx 38 - Pearl")</f>
        <v>Tx 38 - Pearl</v>
      </c>
      <c r="D137" s="10">
        <f ca="1">IFERROR(__xludf.DUMMYFUNCTION("""COMPUTED_VALUE"""),42773)</f>
        <v>42773</v>
      </c>
      <c r="E137" s="4">
        <f ca="1">IFERROR(__xludf.DUMMYFUNCTION("""COMPUTED_VALUE"""),0.861111111109494)</f>
        <v>0.86111111110949401</v>
      </c>
      <c r="F137" s="2" t="str">
        <f ca="1">IFERROR(__xludf.DUMMYFUNCTION("""COMPUTED_VALUE"""),"Cutwater rd - Farmland")</f>
        <v>Cutwater rd - Farmland</v>
      </c>
      <c r="G137" s="2" t="str">
        <f ca="1">IFERROR(__xludf.DUMMYFUNCTION("""COMPUTED_VALUE"""),"VHF (close approach): I followed the signal until I got within 50 m of the bird")</f>
        <v>VHF (close approach): I followed the signal until I got within 50 m of the bird</v>
      </c>
      <c r="H137" s="2" t="str">
        <f ca="1">IFERROR(__xludf.DUMMYFUNCTION("""COMPUTED_VALUE"""),"")</f>
        <v/>
      </c>
      <c r="I137" s="2" t="str">
        <f ca="1">IFERROR(__xludf.DUMMYFUNCTION("""COMPUTED_VALUE"""),"")</f>
        <v/>
      </c>
      <c r="J137" s="2" t="str">
        <f ca="1">IFERROR(__xludf.DUMMYFUNCTION("""COMPUTED_VALUE"""),"")</f>
        <v/>
      </c>
      <c r="K137" s="2" t="str">
        <f ca="1">IFERROR(__xludf.DUMMYFUNCTION("""COMPUTED_VALUE"""),"")</f>
        <v/>
      </c>
      <c r="L137" s="2" t="str">
        <f ca="1">IFERROR(__xludf.DUMMYFUNCTION("""COMPUTED_VALUE"""),"No - I got very close to the bird but it was well hidden in the vegetation")</f>
        <v>No - I got very close to the bird but it was well hidden in the vegetation</v>
      </c>
      <c r="M137" s="5">
        <f ca="1">IFERROR(__xludf.DUMMYFUNCTION("""COMPUTED_VALUE"""),1907339)</f>
        <v>1907339</v>
      </c>
      <c r="N137" s="5">
        <f ca="1">IFERROR(__xludf.DUMMYFUNCTION("""COMPUTED_VALUE"""),5812099)</f>
        <v>5812099</v>
      </c>
      <c r="O137" s="2" t="str">
        <f ca="1">IFERROR(__xludf.DUMMYFUNCTION("""COMPUTED_VALUE"""),"")</f>
        <v/>
      </c>
      <c r="P137" s="2" t="str">
        <f ca="1">IFERROR(__xludf.DUMMYFUNCTION("""COMPUTED_VALUE"""),"No")</f>
        <v>No</v>
      </c>
      <c r="Q137" s="2" t="str">
        <f ca="1">IFERROR(__xludf.DUMMYFUNCTION("""COMPUTED_VALUE"""),"Dry")</f>
        <v>Dry</v>
      </c>
      <c r="R137" s="2" t="str">
        <f ca="1">IFERROR(__xludf.DUMMYFUNCTION("""COMPUTED_VALUE"""),"dont know")</f>
        <v>dont know</v>
      </c>
      <c r="S137" s="2" t="str">
        <f ca="1">IFERROR(__xludf.DUMMYFUNCTION("""COMPUTED_VALUE"""),"dont know")</f>
        <v>dont know</v>
      </c>
      <c r="T137" s="2" t="str">
        <f ca="1">IFERROR(__xludf.DUMMYFUNCTION("""COMPUTED_VALUE"""),"farmland - possible drain or canal")</f>
        <v>farmland - possible drain or canal</v>
      </c>
      <c r="U137" s="2" t="str">
        <f ca="1">IFERROR(__xludf.DUMMYFUNCTION("""COMPUTED_VALUE"""),"very dry. entered by karl ")</f>
        <v xml:space="preserve">very dry. entered by karl </v>
      </c>
      <c r="V137" s="2" t="str">
        <f ca="1">IFERROR(__xludf.DUMMYFUNCTION("""COMPUTED_VALUE"""),"")</f>
        <v/>
      </c>
      <c r="W137" s="2" t="str">
        <f ca="1">IFERROR(__xludf.DUMMYFUNCTION("""COMPUTED_VALUE"""),"")</f>
        <v/>
      </c>
      <c r="X137" s="2" t="str">
        <f ca="1">IFERROR(__xludf.DUMMYFUNCTION("""COMPUTED_VALUE"""),"")</f>
        <v/>
      </c>
      <c r="Y137" s="2" t="str">
        <f ca="1">IFERROR(__xludf.DUMMYFUNCTION("""COMPUTED_VALUE"""),"")</f>
        <v/>
      </c>
      <c r="Z137" s="2" t="str">
        <f ca="1">IFERROR(__xludf.DUMMYFUNCTION("""COMPUTED_VALUE"""),"")</f>
        <v/>
      </c>
      <c r="AA137" s="2" t="str">
        <f ca="1">IFERROR(__xludf.DUMMYFUNCTION("""COMPUTED_VALUE"""),"")</f>
        <v/>
      </c>
      <c r="AB137" s="2" t="str">
        <f ca="1">IFERROR(__xludf.DUMMYFUNCTION("""COMPUTED_VALUE"""),"")</f>
        <v/>
      </c>
      <c r="AC137" s="2" t="str">
        <f ca="1">IFERROR(__xludf.DUMMYFUNCTION("""COMPUTED_VALUE"""),"")</f>
        <v/>
      </c>
      <c r="AD137" s="2" t="str">
        <f ca="1">IFERROR(__xludf.DUMMYFUNCTION("""COMPUTED_VALUE"""),"")</f>
        <v/>
      </c>
      <c r="AE137" s="2" t="str">
        <f ca="1">IFERROR(__xludf.DUMMYFUNCTION("""COMPUTED_VALUE"""),"")</f>
        <v/>
      </c>
      <c r="AF137" s="2" t="str">
        <f ca="1">IFERROR(__xludf.DUMMYFUNCTION("""COMPUTED_VALUE"""),"")</f>
        <v/>
      </c>
      <c r="AG137" s="2" t="str">
        <f ca="1">IFERROR(__xludf.DUMMYFUNCTION("""COMPUTED_VALUE"""),"")</f>
        <v/>
      </c>
      <c r="AH137" s="2" t="str">
        <f ca="1">IFERROR(__xludf.DUMMYFUNCTION("""COMPUTED_VALUE"""),"")</f>
        <v/>
      </c>
      <c r="AI137" s="2" t="str">
        <f ca="1">IFERROR(__xludf.DUMMYFUNCTION("""COMPUTED_VALUE"""),"")</f>
        <v/>
      </c>
      <c r="AJ137" s="2" t="str">
        <f ca="1">IFERROR(__xludf.DUMMYFUNCTION("""COMPUTED_VALUE"""),"")</f>
        <v/>
      </c>
      <c r="AK137" s="2" t="str">
        <f ca="1">IFERROR(__xludf.DUMMYFUNCTION("""COMPUTED_VALUE"""),"")</f>
        <v/>
      </c>
      <c r="AL137" s="2" t="str">
        <f ca="1">IFERROR(__xludf.DUMMYFUNCTION("""COMPUTED_VALUE"""),"")</f>
        <v/>
      </c>
      <c r="AM137" s="2" t="str">
        <f ca="1">IFERROR(__xludf.DUMMYFUNCTION("""COMPUTED_VALUE"""),"")</f>
        <v/>
      </c>
      <c r="AN137" s="2" t="str">
        <f ca="1">IFERROR(__xludf.DUMMYFUNCTION("""COMPUTED_VALUE"""),"")</f>
        <v/>
      </c>
      <c r="AO137" s="2" t="str">
        <f ca="1">IFERROR(__xludf.DUMMYFUNCTION("""COMPUTED_VALUE"""),"")</f>
        <v/>
      </c>
      <c r="AP137" s="2" t="str">
        <f ca="1">IFERROR(__xludf.DUMMYFUNCTION("""COMPUTED_VALUE"""),"")</f>
        <v/>
      </c>
      <c r="AQ137" s="2" t="str">
        <f ca="1">IFERROR(__xludf.DUMMYFUNCTION("""COMPUTED_VALUE"""),"")</f>
        <v/>
      </c>
      <c r="AR137" s="2" t="str">
        <f ca="1">IFERROR(__xludf.DUMMYFUNCTION("""COMPUTED_VALUE"""),"")</f>
        <v/>
      </c>
      <c r="AS137" s="2" t="str">
        <f ca="1">IFERROR(__xludf.DUMMYFUNCTION("""COMPUTED_VALUE"""),"")</f>
        <v/>
      </c>
      <c r="AT137" s="2" t="str">
        <f ca="1">IFERROR(__xludf.DUMMYFUNCTION("""COMPUTED_VALUE"""),"")</f>
        <v/>
      </c>
      <c r="AU137" s="2" t="str">
        <f ca="1">IFERROR(__xludf.DUMMYFUNCTION("""COMPUTED_VALUE"""),"")</f>
        <v/>
      </c>
      <c r="AV137" s="2" t="str">
        <f ca="1">IFERROR(__xludf.DUMMYFUNCTION("""COMPUTED_VALUE"""),"")</f>
        <v/>
      </c>
      <c r="AW137" s="2" t="str">
        <f ca="1">IFERROR(__xludf.DUMMYFUNCTION("""COMPUTED_VALUE"""),"")</f>
        <v/>
      </c>
      <c r="AX137" s="2" t="str">
        <f ca="1">IFERROR(__xludf.DUMMYFUNCTION("""COMPUTED_VALUE"""),"")</f>
        <v/>
      </c>
      <c r="AY137" s="2" t="str">
        <f ca="1">IFERROR(__xludf.DUMMYFUNCTION("""COMPUTED_VALUE"""),"")</f>
        <v/>
      </c>
      <c r="AZ137" s="2" t="str">
        <f ca="1">IFERROR(__xludf.DUMMYFUNCTION("""COMPUTED_VALUE"""),"")</f>
        <v/>
      </c>
      <c r="BA137" s="2" t="str">
        <f ca="1">IFERROR(__xludf.DUMMYFUNCTION("""COMPUTED_VALUE"""),"")</f>
        <v/>
      </c>
      <c r="BB137" s="2" t="str">
        <f ca="1">IFERROR(__xludf.DUMMYFUNCTION("""COMPUTED_VALUE"""),"")</f>
        <v/>
      </c>
      <c r="BC137" s="2" t="str">
        <f ca="1">IFERROR(__xludf.DUMMYFUNCTION("""COMPUTED_VALUE"""),"")</f>
        <v/>
      </c>
      <c r="BD137" s="2" t="str">
        <f ca="1">IFERROR(__xludf.DUMMYFUNCTION("""COMPUTED_VALUE"""),"")</f>
        <v/>
      </c>
      <c r="BE137" s="2" t="str">
        <f ca="1">IFERROR(__xludf.DUMMYFUNCTION("""COMPUTED_VALUE"""),"")</f>
        <v/>
      </c>
      <c r="BF137" t="str">
        <f ca="1">IFERROR(__xludf.DUMMYFUNCTION("""COMPUTED_VALUE"""),"")</f>
        <v/>
      </c>
      <c r="BG137" t="str">
        <f ca="1">IFERROR(__xludf.DUMMYFUNCTION("""COMPUTED_VALUE"""),"")</f>
        <v/>
      </c>
      <c r="BH137" t="str">
        <f ca="1">IFERROR(__xludf.DUMMYFUNCTION("""COMPUTED_VALUE"""),"")</f>
        <v/>
      </c>
      <c r="BI137" t="str">
        <f ca="1">IFERROR(__xludf.DUMMYFUNCTION("""COMPUTED_VALUE"""),"")</f>
        <v/>
      </c>
      <c r="BJ137" s="3" t="str">
        <f ca="1">IFERROR(__xludf.DUMMYFUNCTION("""COMPUTED_VALUE"""),"")</f>
        <v/>
      </c>
    </row>
    <row r="138" spans="1:62" ht="12.5" x14ac:dyDescent="0.25">
      <c r="A138" s="6">
        <f ca="1">IFERROR(__xludf.DUMMYFUNCTION("""COMPUTED_VALUE"""),43454.8968610069)</f>
        <v>43454.896861006899</v>
      </c>
      <c r="B138" s="2" t="str">
        <f ca="1">IFERROR(__xludf.DUMMYFUNCTION("""COMPUTED_VALUE"""),"Bay of Plenty")</f>
        <v>Bay of Plenty</v>
      </c>
      <c r="C138" s="2" t="str">
        <f ca="1">IFERROR(__xludf.DUMMYFUNCTION("""COMPUTED_VALUE"""),"Tx 38 - Pearl")</f>
        <v>Tx 38 - Pearl</v>
      </c>
      <c r="D138" s="10">
        <f ca="1">IFERROR(__xludf.DUMMYFUNCTION("""COMPUTED_VALUE"""),42781)</f>
        <v>42781</v>
      </c>
      <c r="E138" s="4">
        <f ca="1">IFERROR(__xludf.DUMMYFUNCTION("""COMPUTED_VALUE"""),0.45833333333212)</f>
        <v>0.45833333333212001</v>
      </c>
      <c r="F138" s="2" t="str">
        <f ca="1">IFERROR(__xludf.DUMMYFUNCTION("""COMPUTED_VALUE"""),"not found")</f>
        <v>not found</v>
      </c>
      <c r="G138" s="2" t="str">
        <f ca="1">IFERROR(__xludf.DUMMYFUNCTION("""COMPUTED_VALUE"""),"None: I listened for the bird but was unable to find it")</f>
        <v>None: I listened for the bird but was unable to find it</v>
      </c>
      <c r="H138" s="2" t="str">
        <f ca="1">IFERROR(__xludf.DUMMYFUNCTION("""COMPUTED_VALUE"""),"")</f>
        <v/>
      </c>
      <c r="I138" s="2" t="str">
        <f ca="1">IFERROR(__xludf.DUMMYFUNCTION("""COMPUTED_VALUE"""),"")</f>
        <v/>
      </c>
      <c r="J138" s="2" t="str">
        <f ca="1">IFERROR(__xludf.DUMMYFUNCTION("""COMPUTED_VALUE"""),"")</f>
        <v/>
      </c>
      <c r="K138" s="2" t="str">
        <f ca="1">IFERROR(__xludf.DUMMYFUNCTION("""COMPUTED_VALUE"""),"")</f>
        <v/>
      </c>
      <c r="L138" s="2" t="str">
        <f ca="1">IFERROR(__xludf.DUMMYFUNCTION("""COMPUTED_VALUE"""),"")</f>
        <v/>
      </c>
      <c r="M138" s="5" t="str">
        <f ca="1">IFERROR(__xludf.DUMMYFUNCTION("""COMPUTED_VALUE"""),"")</f>
        <v/>
      </c>
      <c r="N138" s="5" t="str">
        <f ca="1">IFERROR(__xludf.DUMMYFUNCTION("""COMPUTED_VALUE"""),"")</f>
        <v/>
      </c>
      <c r="O138" s="2" t="str">
        <f ca="1">IFERROR(__xludf.DUMMYFUNCTION("""COMPUTED_VALUE"""),"")</f>
        <v/>
      </c>
      <c r="P138" s="2" t="str">
        <f ca="1">IFERROR(__xludf.DUMMYFUNCTION("""COMPUTED_VALUE"""),"")</f>
        <v/>
      </c>
      <c r="Q138" s="2" t="str">
        <f ca="1">IFERROR(__xludf.DUMMYFUNCTION("""COMPUTED_VALUE"""),"")</f>
        <v/>
      </c>
      <c r="R138" s="2" t="str">
        <f ca="1">IFERROR(__xludf.DUMMYFUNCTION("""COMPUTED_VALUE"""),"")</f>
        <v/>
      </c>
      <c r="S138" s="2" t="str">
        <f ca="1">IFERROR(__xludf.DUMMYFUNCTION("""COMPUTED_VALUE"""),"")</f>
        <v/>
      </c>
      <c r="T138" s="2" t="str">
        <f ca="1">IFERROR(__xludf.DUMMYFUNCTION("""COMPUTED_VALUE"""),"")</f>
        <v/>
      </c>
      <c r="U138" s="2" t="str">
        <f ca="1">IFERROR(__xludf.DUMMYFUNCTION("""COMPUTED_VALUE"""),"")</f>
        <v/>
      </c>
      <c r="V138" s="2" t="str">
        <f ca="1">IFERROR(__xludf.DUMMYFUNCTION("""COMPUTED_VALUE"""),"")</f>
        <v/>
      </c>
      <c r="W138" s="2" t="str">
        <f ca="1">IFERROR(__xludf.DUMMYFUNCTION("""COMPUTED_VALUE"""),"")</f>
        <v/>
      </c>
      <c r="X138" s="2" t="str">
        <f ca="1">IFERROR(__xludf.DUMMYFUNCTION("""COMPUTED_VALUE"""),"")</f>
        <v/>
      </c>
      <c r="Y138" s="2" t="str">
        <f ca="1">IFERROR(__xludf.DUMMYFUNCTION("""COMPUTED_VALUE"""),"")</f>
        <v/>
      </c>
      <c r="Z138" s="2" t="str">
        <f ca="1">IFERROR(__xludf.DUMMYFUNCTION("""COMPUTED_VALUE"""),"")</f>
        <v/>
      </c>
      <c r="AA138" s="2" t="str">
        <f ca="1">IFERROR(__xludf.DUMMYFUNCTION("""COMPUTED_VALUE"""),"")</f>
        <v/>
      </c>
      <c r="AB138" s="2" t="str">
        <f ca="1">IFERROR(__xludf.DUMMYFUNCTION("""COMPUTED_VALUE"""),"")</f>
        <v/>
      </c>
      <c r="AC138" s="2" t="str">
        <f ca="1">IFERROR(__xludf.DUMMYFUNCTION("""COMPUTED_VALUE"""),"")</f>
        <v/>
      </c>
      <c r="AD138" s="2" t="str">
        <f ca="1">IFERROR(__xludf.DUMMYFUNCTION("""COMPUTED_VALUE"""),"")</f>
        <v/>
      </c>
      <c r="AE138" s="2" t="str">
        <f ca="1">IFERROR(__xludf.DUMMYFUNCTION("""COMPUTED_VALUE"""),"")</f>
        <v/>
      </c>
      <c r="AF138" s="2" t="str">
        <f ca="1">IFERROR(__xludf.DUMMYFUNCTION("""COMPUTED_VALUE"""),"")</f>
        <v/>
      </c>
      <c r="AG138" s="2" t="str">
        <f ca="1">IFERROR(__xludf.DUMMYFUNCTION("""COMPUTED_VALUE"""),"")</f>
        <v/>
      </c>
      <c r="AH138" s="2" t="str">
        <f ca="1">IFERROR(__xludf.DUMMYFUNCTION("""COMPUTED_VALUE"""),"")</f>
        <v/>
      </c>
      <c r="AI138" s="2" t="str">
        <f ca="1">IFERROR(__xludf.DUMMYFUNCTION("""COMPUTED_VALUE"""),"")</f>
        <v/>
      </c>
      <c r="AJ138" s="2" t="str">
        <f ca="1">IFERROR(__xludf.DUMMYFUNCTION("""COMPUTED_VALUE"""),"")</f>
        <v/>
      </c>
      <c r="AK138" s="2" t="str">
        <f ca="1">IFERROR(__xludf.DUMMYFUNCTION("""COMPUTED_VALUE"""),"")</f>
        <v/>
      </c>
      <c r="AL138" s="2" t="str">
        <f ca="1">IFERROR(__xludf.DUMMYFUNCTION("""COMPUTED_VALUE"""),"")</f>
        <v/>
      </c>
      <c r="AM138" s="2" t="str">
        <f ca="1">IFERROR(__xludf.DUMMYFUNCTION("""COMPUTED_VALUE"""),"")</f>
        <v/>
      </c>
      <c r="AN138" s="2" t="str">
        <f ca="1">IFERROR(__xludf.DUMMYFUNCTION("""COMPUTED_VALUE"""),"")</f>
        <v/>
      </c>
      <c r="AO138" s="2" t="str">
        <f ca="1">IFERROR(__xludf.DUMMYFUNCTION("""COMPUTED_VALUE"""),"")</f>
        <v/>
      </c>
      <c r="AP138" s="2" t="str">
        <f ca="1">IFERROR(__xludf.DUMMYFUNCTION("""COMPUTED_VALUE"""),"")</f>
        <v/>
      </c>
      <c r="AQ138" s="2" t="str">
        <f ca="1">IFERROR(__xludf.DUMMYFUNCTION("""COMPUTED_VALUE"""),"")</f>
        <v/>
      </c>
      <c r="AR138" s="2" t="str">
        <f ca="1">IFERROR(__xludf.DUMMYFUNCTION("""COMPUTED_VALUE"""),"")</f>
        <v/>
      </c>
      <c r="AS138" s="2" t="str">
        <f ca="1">IFERROR(__xludf.DUMMYFUNCTION("""COMPUTED_VALUE"""),"")</f>
        <v/>
      </c>
      <c r="AT138" s="2" t="str">
        <f ca="1">IFERROR(__xludf.DUMMYFUNCTION("""COMPUTED_VALUE"""),"")</f>
        <v/>
      </c>
      <c r="AU138" s="2" t="str">
        <f ca="1">IFERROR(__xludf.DUMMYFUNCTION("""COMPUTED_VALUE"""),"")</f>
        <v/>
      </c>
      <c r="AV138" s="2" t="str">
        <f ca="1">IFERROR(__xludf.DUMMYFUNCTION("""COMPUTED_VALUE"""),"")</f>
        <v/>
      </c>
      <c r="AW138" s="2" t="str">
        <f ca="1">IFERROR(__xludf.DUMMYFUNCTION("""COMPUTED_VALUE"""),"")</f>
        <v/>
      </c>
      <c r="AX138" s="2" t="str">
        <f ca="1">IFERROR(__xludf.DUMMYFUNCTION("""COMPUTED_VALUE"""),"")</f>
        <v/>
      </c>
      <c r="AY138" s="2" t="str">
        <f ca="1">IFERROR(__xludf.DUMMYFUNCTION("""COMPUTED_VALUE"""),"")</f>
        <v/>
      </c>
      <c r="AZ138" s="2" t="str">
        <f ca="1">IFERROR(__xludf.DUMMYFUNCTION("""COMPUTED_VALUE"""),"")</f>
        <v/>
      </c>
      <c r="BA138" s="2" t="str">
        <f ca="1">IFERROR(__xludf.DUMMYFUNCTION("""COMPUTED_VALUE"""),"")</f>
        <v/>
      </c>
      <c r="BB138" s="2" t="str">
        <f ca="1">IFERROR(__xludf.DUMMYFUNCTION("""COMPUTED_VALUE"""),"")</f>
        <v/>
      </c>
      <c r="BC138" s="2" t="str">
        <f ca="1">IFERROR(__xludf.DUMMYFUNCTION("""COMPUTED_VALUE"""),"")</f>
        <v/>
      </c>
      <c r="BD138" s="2" t="str">
        <f ca="1">IFERROR(__xludf.DUMMYFUNCTION("""COMPUTED_VALUE"""),"from 580 Pukehina Pde, ")</f>
        <v xml:space="preserve">from 580 Pukehina Pde, </v>
      </c>
      <c r="BE138" s="2" t="str">
        <f ca="1">IFERROR(__xludf.DUMMYFUNCTION("""COMPUTED_VALUE"""),"not heard for a week - bevs notes entered by Karl ")</f>
        <v xml:space="preserve">not heard for a week - bevs notes entered by Karl </v>
      </c>
      <c r="BF138" t="str">
        <f ca="1">IFERROR(__xludf.DUMMYFUNCTION("""COMPUTED_VALUE"""),"")</f>
        <v/>
      </c>
      <c r="BG138" t="str">
        <f ca="1">IFERROR(__xludf.DUMMYFUNCTION("""COMPUTED_VALUE"""),"")</f>
        <v/>
      </c>
      <c r="BH138" t="str">
        <f ca="1">IFERROR(__xludf.DUMMYFUNCTION("""COMPUTED_VALUE"""),"")</f>
        <v/>
      </c>
      <c r="BI138" t="str">
        <f ca="1">IFERROR(__xludf.DUMMYFUNCTION("""COMPUTED_VALUE"""),"")</f>
        <v/>
      </c>
      <c r="BJ138" s="3" t="str">
        <f ca="1">IFERROR(__xludf.DUMMYFUNCTION("""COMPUTED_VALUE"""),"")</f>
        <v/>
      </c>
    </row>
    <row r="139" spans="1:62" ht="12.5" x14ac:dyDescent="0.25">
      <c r="A139" s="6">
        <f ca="1">IFERROR(__xludf.DUMMYFUNCTION("""COMPUTED_VALUE"""),43454.9015719213)</f>
        <v>43454.901571921298</v>
      </c>
      <c r="B139" s="2" t="str">
        <f ca="1">IFERROR(__xludf.DUMMYFUNCTION("""COMPUTED_VALUE"""),"Bay of Plenty")</f>
        <v>Bay of Plenty</v>
      </c>
      <c r="C139" s="2" t="str">
        <f ca="1">IFERROR(__xludf.DUMMYFUNCTION("""COMPUTED_VALUE"""),"Tx 38 - Pearl")</f>
        <v>Tx 38 - Pearl</v>
      </c>
      <c r="D139" s="10">
        <f ca="1">IFERROR(__xludf.DUMMYFUNCTION("""COMPUTED_VALUE"""),42781)</f>
        <v>42781</v>
      </c>
      <c r="E139" s="4">
        <f ca="1">IFERROR(__xludf.DUMMYFUNCTION("""COMPUTED_VALUE"""),0.479166666667879)</f>
        <v>0.47916666666787899</v>
      </c>
      <c r="F139" s="2" t="str">
        <f ca="1">IFERROR(__xludf.DUMMYFUNCTION("""COMPUTED_VALUE"""),"Cutwater rd - farmland")</f>
        <v>Cutwater rd - farmland</v>
      </c>
      <c r="G139" s="2" t="str">
        <f ca="1">IFERROR(__xludf.DUMMYFUNCTION("""COMPUTED_VALUE"""),"VHF (close approach): I followed the signal until I got within 50 m of the bird")</f>
        <v>VHF (close approach): I followed the signal until I got within 50 m of the bird</v>
      </c>
      <c r="H139" s="2" t="str">
        <f ca="1">IFERROR(__xludf.DUMMYFUNCTION("""COMPUTED_VALUE"""),"")</f>
        <v/>
      </c>
      <c r="I139" s="2" t="str">
        <f ca="1">IFERROR(__xludf.DUMMYFUNCTION("""COMPUTED_VALUE"""),"")</f>
        <v/>
      </c>
      <c r="J139" s="2" t="str">
        <f ca="1">IFERROR(__xludf.DUMMYFUNCTION("""COMPUTED_VALUE"""),"")</f>
        <v/>
      </c>
      <c r="K139" s="2" t="str">
        <f ca="1">IFERROR(__xludf.DUMMYFUNCTION("""COMPUTED_VALUE"""),"")</f>
        <v/>
      </c>
      <c r="L139" s="2" t="str">
        <f ca="1">IFERROR(__xludf.DUMMYFUNCTION("""COMPUTED_VALUE"""),"No - I got very close to the bird but it was well hidden in the vegetation")</f>
        <v>No - I got very close to the bird but it was well hidden in the vegetation</v>
      </c>
      <c r="M139" s="5">
        <f ca="1">IFERROR(__xludf.DUMMYFUNCTION("""COMPUTED_VALUE"""),1907192)</f>
        <v>1907192</v>
      </c>
      <c r="N139" s="5">
        <f ca="1">IFERROR(__xludf.DUMMYFUNCTION("""COMPUTED_VALUE"""),5811589)</f>
        <v>5811589</v>
      </c>
      <c r="O139" s="2" t="str">
        <f ca="1">IFERROR(__xludf.DUMMYFUNCTION("""COMPUTED_VALUE"""),"")</f>
        <v/>
      </c>
      <c r="P139" s="2" t="str">
        <f ca="1">IFERROR(__xludf.DUMMYFUNCTION("""COMPUTED_VALUE"""),"No")</f>
        <v>No</v>
      </c>
      <c r="Q139" s="2" t="str">
        <f ca="1">IFERROR(__xludf.DUMMYFUNCTION("""COMPUTED_VALUE"""),"Don't know")</f>
        <v>Don't know</v>
      </c>
      <c r="R139" s="2" t="str">
        <f ca="1">IFERROR(__xludf.DUMMYFUNCTION("""COMPUTED_VALUE"""),"dont know")</f>
        <v>dont know</v>
      </c>
      <c r="S139" s="2" t="str">
        <f ca="1">IFERROR(__xludf.DUMMYFUNCTION("""COMPUTED_VALUE"""),"dont know")</f>
        <v>dont know</v>
      </c>
      <c r="T139" s="2" t="str">
        <f ca="1">IFERROR(__xludf.DUMMYFUNCTION("""COMPUTED_VALUE"""),"farmland - drain or canal ")</f>
        <v xml:space="preserve">farmland - drain or canal </v>
      </c>
      <c r="U139" s="2" t="str">
        <f ca="1">IFERROR(__xludf.DUMMYFUNCTION("""COMPUTED_VALUE"""),"Rain this week. Bird moved west")</f>
        <v>Rain this week. Bird moved west</v>
      </c>
      <c r="V139" s="2" t="str">
        <f ca="1">IFERROR(__xludf.DUMMYFUNCTION("""COMPUTED_VALUE"""),"")</f>
        <v/>
      </c>
      <c r="W139" s="2" t="str">
        <f ca="1">IFERROR(__xludf.DUMMYFUNCTION("""COMPUTED_VALUE"""),"")</f>
        <v/>
      </c>
      <c r="X139" s="2" t="str">
        <f ca="1">IFERROR(__xludf.DUMMYFUNCTION("""COMPUTED_VALUE"""),"")</f>
        <v/>
      </c>
      <c r="Y139" s="2" t="str">
        <f ca="1">IFERROR(__xludf.DUMMYFUNCTION("""COMPUTED_VALUE"""),"")</f>
        <v/>
      </c>
      <c r="Z139" s="2" t="str">
        <f ca="1">IFERROR(__xludf.DUMMYFUNCTION("""COMPUTED_VALUE"""),"")</f>
        <v/>
      </c>
      <c r="AA139" s="2" t="str">
        <f ca="1">IFERROR(__xludf.DUMMYFUNCTION("""COMPUTED_VALUE"""),"")</f>
        <v/>
      </c>
      <c r="AB139" s="2" t="str">
        <f ca="1">IFERROR(__xludf.DUMMYFUNCTION("""COMPUTED_VALUE"""),"")</f>
        <v/>
      </c>
      <c r="AC139" s="2" t="str">
        <f ca="1">IFERROR(__xludf.DUMMYFUNCTION("""COMPUTED_VALUE"""),"")</f>
        <v/>
      </c>
      <c r="AD139" s="2" t="str">
        <f ca="1">IFERROR(__xludf.DUMMYFUNCTION("""COMPUTED_VALUE"""),"")</f>
        <v/>
      </c>
      <c r="AE139" s="2" t="str">
        <f ca="1">IFERROR(__xludf.DUMMYFUNCTION("""COMPUTED_VALUE"""),"")</f>
        <v/>
      </c>
      <c r="AF139" s="2" t="str">
        <f ca="1">IFERROR(__xludf.DUMMYFUNCTION("""COMPUTED_VALUE"""),"")</f>
        <v/>
      </c>
      <c r="AG139" s="2" t="str">
        <f ca="1">IFERROR(__xludf.DUMMYFUNCTION("""COMPUTED_VALUE"""),"")</f>
        <v/>
      </c>
      <c r="AH139" s="2" t="str">
        <f ca="1">IFERROR(__xludf.DUMMYFUNCTION("""COMPUTED_VALUE"""),"")</f>
        <v/>
      </c>
      <c r="AI139" s="2" t="str">
        <f ca="1">IFERROR(__xludf.DUMMYFUNCTION("""COMPUTED_VALUE"""),"")</f>
        <v/>
      </c>
      <c r="AJ139" s="2" t="str">
        <f ca="1">IFERROR(__xludf.DUMMYFUNCTION("""COMPUTED_VALUE"""),"")</f>
        <v/>
      </c>
      <c r="AK139" s="2" t="str">
        <f ca="1">IFERROR(__xludf.DUMMYFUNCTION("""COMPUTED_VALUE"""),"")</f>
        <v/>
      </c>
      <c r="AL139" s="2" t="str">
        <f ca="1">IFERROR(__xludf.DUMMYFUNCTION("""COMPUTED_VALUE"""),"")</f>
        <v/>
      </c>
      <c r="AM139" s="2" t="str">
        <f ca="1">IFERROR(__xludf.DUMMYFUNCTION("""COMPUTED_VALUE"""),"")</f>
        <v/>
      </c>
      <c r="AN139" s="2" t="str">
        <f ca="1">IFERROR(__xludf.DUMMYFUNCTION("""COMPUTED_VALUE"""),"")</f>
        <v/>
      </c>
      <c r="AO139" s="2" t="str">
        <f ca="1">IFERROR(__xludf.DUMMYFUNCTION("""COMPUTED_VALUE"""),"")</f>
        <v/>
      </c>
      <c r="AP139" s="2" t="str">
        <f ca="1">IFERROR(__xludf.DUMMYFUNCTION("""COMPUTED_VALUE"""),"")</f>
        <v/>
      </c>
      <c r="AQ139" s="2" t="str">
        <f ca="1">IFERROR(__xludf.DUMMYFUNCTION("""COMPUTED_VALUE"""),"")</f>
        <v/>
      </c>
      <c r="AR139" s="2" t="str">
        <f ca="1">IFERROR(__xludf.DUMMYFUNCTION("""COMPUTED_VALUE"""),"")</f>
        <v/>
      </c>
      <c r="AS139" s="2" t="str">
        <f ca="1">IFERROR(__xludf.DUMMYFUNCTION("""COMPUTED_VALUE"""),"")</f>
        <v/>
      </c>
      <c r="AT139" s="2" t="str">
        <f ca="1">IFERROR(__xludf.DUMMYFUNCTION("""COMPUTED_VALUE"""),"")</f>
        <v/>
      </c>
      <c r="AU139" s="2" t="str">
        <f ca="1">IFERROR(__xludf.DUMMYFUNCTION("""COMPUTED_VALUE"""),"")</f>
        <v/>
      </c>
      <c r="AV139" s="2" t="str">
        <f ca="1">IFERROR(__xludf.DUMMYFUNCTION("""COMPUTED_VALUE"""),"")</f>
        <v/>
      </c>
      <c r="AW139" s="2" t="str">
        <f ca="1">IFERROR(__xludf.DUMMYFUNCTION("""COMPUTED_VALUE"""),"")</f>
        <v/>
      </c>
      <c r="AX139" s="2" t="str">
        <f ca="1">IFERROR(__xludf.DUMMYFUNCTION("""COMPUTED_VALUE"""),"")</f>
        <v/>
      </c>
      <c r="AY139" s="2" t="str">
        <f ca="1">IFERROR(__xludf.DUMMYFUNCTION("""COMPUTED_VALUE"""),"")</f>
        <v/>
      </c>
      <c r="AZ139" s="2" t="str">
        <f ca="1">IFERROR(__xludf.DUMMYFUNCTION("""COMPUTED_VALUE"""),"")</f>
        <v/>
      </c>
      <c r="BA139" s="2" t="str">
        <f ca="1">IFERROR(__xludf.DUMMYFUNCTION("""COMPUTED_VALUE"""),"")</f>
        <v/>
      </c>
      <c r="BB139" s="2" t="str">
        <f ca="1">IFERROR(__xludf.DUMMYFUNCTION("""COMPUTED_VALUE"""),"")</f>
        <v/>
      </c>
      <c r="BC139" s="2" t="str">
        <f ca="1">IFERROR(__xludf.DUMMYFUNCTION("""COMPUTED_VALUE"""),"")</f>
        <v/>
      </c>
      <c r="BD139" s="2" t="str">
        <f ca="1">IFERROR(__xludf.DUMMYFUNCTION("""COMPUTED_VALUE"""),"")</f>
        <v/>
      </c>
      <c r="BE139" s="2" t="str">
        <f ca="1">IFERROR(__xludf.DUMMYFUNCTION("""COMPUTED_VALUE"""),"")</f>
        <v/>
      </c>
      <c r="BF139" t="str">
        <f ca="1">IFERROR(__xludf.DUMMYFUNCTION("""COMPUTED_VALUE"""),"")</f>
        <v/>
      </c>
      <c r="BG139" t="str">
        <f ca="1">IFERROR(__xludf.DUMMYFUNCTION("""COMPUTED_VALUE"""),"")</f>
        <v/>
      </c>
      <c r="BH139" t="str">
        <f ca="1">IFERROR(__xludf.DUMMYFUNCTION("""COMPUTED_VALUE"""),"")</f>
        <v/>
      </c>
      <c r="BI139" t="str">
        <f ca="1">IFERROR(__xludf.DUMMYFUNCTION("""COMPUTED_VALUE"""),"")</f>
        <v/>
      </c>
      <c r="BJ139" s="3" t="str">
        <f ca="1">IFERROR(__xludf.DUMMYFUNCTION("""COMPUTED_VALUE"""),"")</f>
        <v/>
      </c>
    </row>
    <row r="140" spans="1:62" ht="12.5" x14ac:dyDescent="0.25">
      <c r="A140" s="6">
        <f ca="1">IFERROR(__xludf.DUMMYFUNCTION("""COMPUTED_VALUE"""),43455.4542885532)</f>
        <v>43455.454288553199</v>
      </c>
      <c r="B140" s="2" t="str">
        <f ca="1">IFERROR(__xludf.DUMMYFUNCTION("""COMPUTED_VALUE"""),"Bay of Plenty")</f>
        <v>Bay of Plenty</v>
      </c>
      <c r="C140" s="2" t="str">
        <f ca="1">IFERROR(__xludf.DUMMYFUNCTION("""COMPUTED_VALUE"""),"Tx 38 - Pearl")</f>
        <v>Tx 38 - Pearl</v>
      </c>
      <c r="D140" s="10">
        <f ca="1">IFERROR(__xludf.DUMMYFUNCTION("""COMPUTED_VALUE"""),42789)</f>
        <v>42789</v>
      </c>
      <c r="E140" s="4">
        <f ca="1">IFERROR(__xludf.DUMMYFUNCTION("""COMPUTED_VALUE"""),0.694444444445252)</f>
        <v>0.694444444445252</v>
      </c>
      <c r="F140" s="2" t="str">
        <f ca="1">IFERROR(__xludf.DUMMYFUNCTION("""COMPUTED_VALUE"""),"Farmland")</f>
        <v>Farmland</v>
      </c>
      <c r="G140" s="2" t="str">
        <f ca="1">IFERROR(__xludf.DUMMYFUNCTION("""COMPUTED_VALUE"""),"VHF (close approach): I followed the signal until I got within 50 m of the bird")</f>
        <v>VHF (close approach): I followed the signal until I got within 50 m of the bird</v>
      </c>
      <c r="H140" s="2" t="str">
        <f ca="1">IFERROR(__xludf.DUMMYFUNCTION("""COMPUTED_VALUE"""),"")</f>
        <v/>
      </c>
      <c r="I140" s="2" t="str">
        <f ca="1">IFERROR(__xludf.DUMMYFUNCTION("""COMPUTED_VALUE"""),"")</f>
        <v/>
      </c>
      <c r="J140" s="2" t="str">
        <f ca="1">IFERROR(__xludf.DUMMYFUNCTION("""COMPUTED_VALUE"""),"")</f>
        <v/>
      </c>
      <c r="K140" s="2" t="str">
        <f ca="1">IFERROR(__xludf.DUMMYFUNCTION("""COMPUTED_VALUE"""),"")</f>
        <v/>
      </c>
      <c r="L140" s="2" t="str">
        <f ca="1">IFERROR(__xludf.DUMMYFUNCTION("""COMPUTED_VALUE"""),"No - I got very close to the bird but it was well hidden in the vegetation")</f>
        <v>No - I got very close to the bird but it was well hidden in the vegetation</v>
      </c>
      <c r="M140" s="5">
        <f ca="1">IFERROR(__xludf.DUMMYFUNCTION("""COMPUTED_VALUE"""),1906834)</f>
        <v>1906834</v>
      </c>
      <c r="N140" s="5">
        <f ca="1">IFERROR(__xludf.DUMMYFUNCTION("""COMPUTED_VALUE"""),5811345)</f>
        <v>5811345</v>
      </c>
      <c r="O140" s="2" t="str">
        <f ca="1">IFERROR(__xludf.DUMMYFUNCTION("""COMPUTED_VALUE"""),"")</f>
        <v/>
      </c>
      <c r="P140" s="2" t="str">
        <f ca="1">IFERROR(__xludf.DUMMYFUNCTION("""COMPUTED_VALUE"""),"No")</f>
        <v>No</v>
      </c>
      <c r="Q140" s="2" t="str">
        <f ca="1">IFERROR(__xludf.DUMMYFUNCTION("""COMPUTED_VALUE"""),"Don't know")</f>
        <v>Don't know</v>
      </c>
      <c r="R140" s="2" t="str">
        <f ca="1">IFERROR(__xludf.DUMMYFUNCTION("""COMPUTED_VALUE"""),"dont know")</f>
        <v>dont know</v>
      </c>
      <c r="S140" s="2" t="str">
        <f ca="1">IFERROR(__xludf.DUMMYFUNCTION("""COMPUTED_VALUE"""),"dont know")</f>
        <v>dont know</v>
      </c>
      <c r="T140" s="2" t="str">
        <f ca="1">IFERROR(__xludf.DUMMYFUNCTION("""COMPUTED_VALUE"""),"farmland ")</f>
        <v xml:space="preserve">farmland </v>
      </c>
      <c r="U140" s="2" t="str">
        <f ca="1">IFERROR(__xludf.DUMMYFUNCTION("""COMPUTED_VALUE"""),"WAMS guess, Heavy Rain this week. Bird moved south ? No signal from Pukehina parade  - entered by Karl ")</f>
        <v xml:space="preserve">WAMS guess, Heavy Rain this week. Bird moved south ? No signal from Pukehina parade  - entered by Karl </v>
      </c>
      <c r="V140" s="2" t="str">
        <f ca="1">IFERROR(__xludf.DUMMYFUNCTION("""COMPUTED_VALUE"""),"")</f>
        <v/>
      </c>
      <c r="W140" s="2" t="str">
        <f ca="1">IFERROR(__xludf.DUMMYFUNCTION("""COMPUTED_VALUE"""),"")</f>
        <v/>
      </c>
      <c r="X140" s="2" t="str">
        <f ca="1">IFERROR(__xludf.DUMMYFUNCTION("""COMPUTED_VALUE"""),"")</f>
        <v/>
      </c>
      <c r="Y140" s="2" t="str">
        <f ca="1">IFERROR(__xludf.DUMMYFUNCTION("""COMPUTED_VALUE"""),"")</f>
        <v/>
      </c>
      <c r="Z140" s="2" t="str">
        <f ca="1">IFERROR(__xludf.DUMMYFUNCTION("""COMPUTED_VALUE"""),"")</f>
        <v/>
      </c>
      <c r="AA140" s="2" t="str">
        <f ca="1">IFERROR(__xludf.DUMMYFUNCTION("""COMPUTED_VALUE"""),"")</f>
        <v/>
      </c>
      <c r="AB140" s="2" t="str">
        <f ca="1">IFERROR(__xludf.DUMMYFUNCTION("""COMPUTED_VALUE"""),"")</f>
        <v/>
      </c>
      <c r="AC140" s="2" t="str">
        <f ca="1">IFERROR(__xludf.DUMMYFUNCTION("""COMPUTED_VALUE"""),"")</f>
        <v/>
      </c>
      <c r="AD140" s="2" t="str">
        <f ca="1">IFERROR(__xludf.DUMMYFUNCTION("""COMPUTED_VALUE"""),"")</f>
        <v/>
      </c>
      <c r="AE140" s="2" t="str">
        <f ca="1">IFERROR(__xludf.DUMMYFUNCTION("""COMPUTED_VALUE"""),"")</f>
        <v/>
      </c>
      <c r="AF140" s="2" t="str">
        <f ca="1">IFERROR(__xludf.DUMMYFUNCTION("""COMPUTED_VALUE"""),"")</f>
        <v/>
      </c>
      <c r="AG140" s="2" t="str">
        <f ca="1">IFERROR(__xludf.DUMMYFUNCTION("""COMPUTED_VALUE"""),"")</f>
        <v/>
      </c>
      <c r="AH140" s="2" t="str">
        <f ca="1">IFERROR(__xludf.DUMMYFUNCTION("""COMPUTED_VALUE"""),"")</f>
        <v/>
      </c>
      <c r="AI140" s="2" t="str">
        <f ca="1">IFERROR(__xludf.DUMMYFUNCTION("""COMPUTED_VALUE"""),"")</f>
        <v/>
      </c>
      <c r="AJ140" s="2" t="str">
        <f ca="1">IFERROR(__xludf.DUMMYFUNCTION("""COMPUTED_VALUE"""),"")</f>
        <v/>
      </c>
      <c r="AK140" s="2" t="str">
        <f ca="1">IFERROR(__xludf.DUMMYFUNCTION("""COMPUTED_VALUE"""),"")</f>
        <v/>
      </c>
      <c r="AL140" s="2" t="str">
        <f ca="1">IFERROR(__xludf.DUMMYFUNCTION("""COMPUTED_VALUE"""),"")</f>
        <v/>
      </c>
      <c r="AM140" s="2" t="str">
        <f ca="1">IFERROR(__xludf.DUMMYFUNCTION("""COMPUTED_VALUE"""),"")</f>
        <v/>
      </c>
      <c r="AN140" s="2" t="str">
        <f ca="1">IFERROR(__xludf.DUMMYFUNCTION("""COMPUTED_VALUE"""),"")</f>
        <v/>
      </c>
      <c r="AO140" s="2" t="str">
        <f ca="1">IFERROR(__xludf.DUMMYFUNCTION("""COMPUTED_VALUE"""),"")</f>
        <v/>
      </c>
      <c r="AP140" s="2" t="str">
        <f ca="1">IFERROR(__xludf.DUMMYFUNCTION("""COMPUTED_VALUE"""),"")</f>
        <v/>
      </c>
      <c r="AQ140" s="2" t="str">
        <f ca="1">IFERROR(__xludf.DUMMYFUNCTION("""COMPUTED_VALUE"""),"")</f>
        <v/>
      </c>
      <c r="AR140" s="2" t="str">
        <f ca="1">IFERROR(__xludf.DUMMYFUNCTION("""COMPUTED_VALUE"""),"")</f>
        <v/>
      </c>
      <c r="AS140" s="2" t="str">
        <f ca="1">IFERROR(__xludf.DUMMYFUNCTION("""COMPUTED_VALUE"""),"")</f>
        <v/>
      </c>
      <c r="AT140" s="2" t="str">
        <f ca="1">IFERROR(__xludf.DUMMYFUNCTION("""COMPUTED_VALUE"""),"")</f>
        <v/>
      </c>
      <c r="AU140" s="2" t="str">
        <f ca="1">IFERROR(__xludf.DUMMYFUNCTION("""COMPUTED_VALUE"""),"")</f>
        <v/>
      </c>
      <c r="AV140" s="2" t="str">
        <f ca="1">IFERROR(__xludf.DUMMYFUNCTION("""COMPUTED_VALUE"""),"")</f>
        <v/>
      </c>
      <c r="AW140" s="2" t="str">
        <f ca="1">IFERROR(__xludf.DUMMYFUNCTION("""COMPUTED_VALUE"""),"")</f>
        <v/>
      </c>
      <c r="AX140" s="2" t="str">
        <f ca="1">IFERROR(__xludf.DUMMYFUNCTION("""COMPUTED_VALUE"""),"")</f>
        <v/>
      </c>
      <c r="AY140" s="2" t="str">
        <f ca="1">IFERROR(__xludf.DUMMYFUNCTION("""COMPUTED_VALUE"""),"")</f>
        <v/>
      </c>
      <c r="AZ140" s="2" t="str">
        <f ca="1">IFERROR(__xludf.DUMMYFUNCTION("""COMPUTED_VALUE"""),"")</f>
        <v/>
      </c>
      <c r="BA140" s="2" t="str">
        <f ca="1">IFERROR(__xludf.DUMMYFUNCTION("""COMPUTED_VALUE"""),"")</f>
        <v/>
      </c>
      <c r="BB140" s="2" t="str">
        <f ca="1">IFERROR(__xludf.DUMMYFUNCTION("""COMPUTED_VALUE"""),"")</f>
        <v/>
      </c>
      <c r="BC140" s="2" t="str">
        <f ca="1">IFERROR(__xludf.DUMMYFUNCTION("""COMPUTED_VALUE"""),"")</f>
        <v/>
      </c>
      <c r="BD140" s="2" t="str">
        <f ca="1">IFERROR(__xludf.DUMMYFUNCTION("""COMPUTED_VALUE"""),"")</f>
        <v/>
      </c>
      <c r="BE140" s="2" t="str">
        <f ca="1">IFERROR(__xludf.DUMMYFUNCTION("""COMPUTED_VALUE"""),"")</f>
        <v/>
      </c>
      <c r="BF140" t="str">
        <f ca="1">IFERROR(__xludf.DUMMYFUNCTION("""COMPUTED_VALUE"""),"")</f>
        <v/>
      </c>
      <c r="BG140" t="str">
        <f ca="1">IFERROR(__xludf.DUMMYFUNCTION("""COMPUTED_VALUE"""),"")</f>
        <v/>
      </c>
      <c r="BH140" t="str">
        <f ca="1">IFERROR(__xludf.DUMMYFUNCTION("""COMPUTED_VALUE"""),"")</f>
        <v/>
      </c>
      <c r="BI140" t="str">
        <f ca="1">IFERROR(__xludf.DUMMYFUNCTION("""COMPUTED_VALUE"""),"")</f>
        <v/>
      </c>
      <c r="BJ140" s="3" t="str">
        <f ca="1">IFERROR(__xludf.DUMMYFUNCTION("""COMPUTED_VALUE"""),"")</f>
        <v/>
      </c>
    </row>
    <row r="141" spans="1:62" ht="12.5" x14ac:dyDescent="0.25">
      <c r="A141" s="6">
        <f ca="1">IFERROR(__xludf.DUMMYFUNCTION("""COMPUTED_VALUE"""),43455.4666274652)</f>
        <v>43455.466627465197</v>
      </c>
      <c r="B141" s="2" t="str">
        <f ca="1">IFERROR(__xludf.DUMMYFUNCTION("""COMPUTED_VALUE"""),"Bay of Plenty")</f>
        <v>Bay of Plenty</v>
      </c>
      <c r="C141" s="2" t="str">
        <f ca="1">IFERROR(__xludf.DUMMYFUNCTION("""COMPUTED_VALUE"""),"Tx 38 - Pearl")</f>
        <v>Tx 38 - Pearl</v>
      </c>
      <c r="D141" s="10">
        <f ca="1">IFERROR(__xludf.DUMMYFUNCTION("""COMPUTED_VALUE"""),42799)</f>
        <v>42799</v>
      </c>
      <c r="E141" s="4">
        <f ca="1">IFERROR(__xludf.DUMMYFUNCTION("""COMPUTED_VALUE"""),0.506944444445252)</f>
        <v>0.506944444445252</v>
      </c>
      <c r="F141" s="2" t="str">
        <f ca="1">IFERROR(__xludf.DUMMYFUNCTION("""COMPUTED_VALUE"""),"Pongakawa banks ")</f>
        <v xml:space="preserve">Pongakawa banks </v>
      </c>
      <c r="G141" s="2" t="str">
        <f ca="1">IFERROR(__xludf.DUMMYFUNCTION("""COMPUTED_VALUE"""),"VHF (close approach): I followed the signal until I got within 50 m of the bird")</f>
        <v>VHF (close approach): I followed the signal until I got within 50 m of the bird</v>
      </c>
      <c r="H141" s="2" t="str">
        <f ca="1">IFERROR(__xludf.DUMMYFUNCTION("""COMPUTED_VALUE"""),"")</f>
        <v/>
      </c>
      <c r="I141" s="2" t="str">
        <f ca="1">IFERROR(__xludf.DUMMYFUNCTION("""COMPUTED_VALUE"""),"")</f>
        <v/>
      </c>
      <c r="J141" s="2" t="str">
        <f ca="1">IFERROR(__xludf.DUMMYFUNCTION("""COMPUTED_VALUE"""),"")</f>
        <v/>
      </c>
      <c r="K141" s="2" t="str">
        <f ca="1">IFERROR(__xludf.DUMMYFUNCTION("""COMPUTED_VALUE"""),"")</f>
        <v/>
      </c>
      <c r="L141" s="2" t="str">
        <f ca="1">IFERROR(__xludf.DUMMYFUNCTION("""COMPUTED_VALUE"""),"No - I got very close to the bird but it was well hidden in the vegetation")</f>
        <v>No - I got very close to the bird but it was well hidden in the vegetation</v>
      </c>
      <c r="M141" s="5">
        <f ca="1">IFERROR(__xludf.DUMMYFUNCTION("""COMPUTED_VALUE"""),1907298)</f>
        <v>1907298</v>
      </c>
      <c r="N141" s="5">
        <f ca="1">IFERROR(__xludf.DUMMYFUNCTION("""COMPUTED_VALUE"""),5812014)</f>
        <v>5812014</v>
      </c>
      <c r="O141" s="2" t="str">
        <f ca="1">IFERROR(__xludf.DUMMYFUNCTION("""COMPUTED_VALUE"""),"")</f>
        <v/>
      </c>
      <c r="P141" s="2" t="str">
        <f ca="1">IFERROR(__xludf.DUMMYFUNCTION("""COMPUTED_VALUE"""),"Don't know")</f>
        <v>Don't know</v>
      </c>
      <c r="Q141" s="2" t="str">
        <f ca="1">IFERROR(__xludf.DUMMYFUNCTION("""COMPUTED_VALUE"""),"Don't know")</f>
        <v>Don't know</v>
      </c>
      <c r="R141" s="2" t="str">
        <f ca="1">IFERROR(__xludf.DUMMYFUNCTION("""COMPUTED_VALUE"""),"dont know")</f>
        <v>dont know</v>
      </c>
      <c r="S141" s="2" t="str">
        <f ca="1">IFERROR(__xludf.DUMMYFUNCTION("""COMPUTED_VALUE"""),"dont know")</f>
        <v>dont know</v>
      </c>
      <c r="T141" s="2" t="str">
        <f ca="1">IFERROR(__xludf.DUMMYFUNCTION("""COMPUTED_VALUE"""),"canal bank or willow ")</f>
        <v xml:space="preserve">canal bank or willow </v>
      </c>
      <c r="U141" s="2" t="str">
        <f ca="1">IFERROR(__xludf.DUMMYFUNCTION("""COMPUTED_VALUE"""),"either canal banks or willows on canal edge. ")</f>
        <v xml:space="preserve">either canal banks or willows on canal edge. </v>
      </c>
      <c r="V141" s="2" t="str">
        <f ca="1">IFERROR(__xludf.DUMMYFUNCTION("""COMPUTED_VALUE"""),"")</f>
        <v/>
      </c>
      <c r="W141" s="2" t="str">
        <f ca="1">IFERROR(__xludf.DUMMYFUNCTION("""COMPUTED_VALUE"""),"")</f>
        <v/>
      </c>
      <c r="X141" s="2" t="str">
        <f ca="1">IFERROR(__xludf.DUMMYFUNCTION("""COMPUTED_VALUE"""),"")</f>
        <v/>
      </c>
      <c r="Y141" s="2" t="str">
        <f ca="1">IFERROR(__xludf.DUMMYFUNCTION("""COMPUTED_VALUE"""),"")</f>
        <v/>
      </c>
      <c r="Z141" s="2" t="str">
        <f ca="1">IFERROR(__xludf.DUMMYFUNCTION("""COMPUTED_VALUE"""),"")</f>
        <v/>
      </c>
      <c r="AA141" s="2" t="str">
        <f ca="1">IFERROR(__xludf.DUMMYFUNCTION("""COMPUTED_VALUE"""),"")</f>
        <v/>
      </c>
      <c r="AB141" s="2" t="str">
        <f ca="1">IFERROR(__xludf.DUMMYFUNCTION("""COMPUTED_VALUE"""),"")</f>
        <v/>
      </c>
      <c r="AC141" s="2" t="str">
        <f ca="1">IFERROR(__xludf.DUMMYFUNCTION("""COMPUTED_VALUE"""),"")</f>
        <v/>
      </c>
      <c r="AD141" s="2" t="str">
        <f ca="1">IFERROR(__xludf.DUMMYFUNCTION("""COMPUTED_VALUE"""),"")</f>
        <v/>
      </c>
      <c r="AE141" s="2" t="str">
        <f ca="1">IFERROR(__xludf.DUMMYFUNCTION("""COMPUTED_VALUE"""),"")</f>
        <v/>
      </c>
      <c r="AF141" s="2" t="str">
        <f ca="1">IFERROR(__xludf.DUMMYFUNCTION("""COMPUTED_VALUE"""),"")</f>
        <v/>
      </c>
      <c r="AG141" s="2" t="str">
        <f ca="1">IFERROR(__xludf.DUMMYFUNCTION("""COMPUTED_VALUE"""),"")</f>
        <v/>
      </c>
      <c r="AH141" s="2" t="str">
        <f ca="1">IFERROR(__xludf.DUMMYFUNCTION("""COMPUTED_VALUE"""),"")</f>
        <v/>
      </c>
      <c r="AI141" s="2" t="str">
        <f ca="1">IFERROR(__xludf.DUMMYFUNCTION("""COMPUTED_VALUE"""),"")</f>
        <v/>
      </c>
      <c r="AJ141" s="2" t="str">
        <f ca="1">IFERROR(__xludf.DUMMYFUNCTION("""COMPUTED_VALUE"""),"")</f>
        <v/>
      </c>
      <c r="AK141" s="2" t="str">
        <f ca="1">IFERROR(__xludf.DUMMYFUNCTION("""COMPUTED_VALUE"""),"")</f>
        <v/>
      </c>
      <c r="AL141" s="2" t="str">
        <f ca="1">IFERROR(__xludf.DUMMYFUNCTION("""COMPUTED_VALUE"""),"")</f>
        <v/>
      </c>
      <c r="AM141" s="2" t="str">
        <f ca="1">IFERROR(__xludf.DUMMYFUNCTION("""COMPUTED_VALUE"""),"")</f>
        <v/>
      </c>
      <c r="AN141" s="2" t="str">
        <f ca="1">IFERROR(__xludf.DUMMYFUNCTION("""COMPUTED_VALUE"""),"")</f>
        <v/>
      </c>
      <c r="AO141" s="2" t="str">
        <f ca="1">IFERROR(__xludf.DUMMYFUNCTION("""COMPUTED_VALUE"""),"")</f>
        <v/>
      </c>
      <c r="AP141" s="2" t="str">
        <f ca="1">IFERROR(__xludf.DUMMYFUNCTION("""COMPUTED_VALUE"""),"")</f>
        <v/>
      </c>
      <c r="AQ141" s="2" t="str">
        <f ca="1">IFERROR(__xludf.DUMMYFUNCTION("""COMPUTED_VALUE"""),"")</f>
        <v/>
      </c>
      <c r="AR141" s="2" t="str">
        <f ca="1">IFERROR(__xludf.DUMMYFUNCTION("""COMPUTED_VALUE"""),"")</f>
        <v/>
      </c>
      <c r="AS141" s="2" t="str">
        <f ca="1">IFERROR(__xludf.DUMMYFUNCTION("""COMPUTED_VALUE"""),"")</f>
        <v/>
      </c>
      <c r="AT141" s="2" t="str">
        <f ca="1">IFERROR(__xludf.DUMMYFUNCTION("""COMPUTED_VALUE"""),"")</f>
        <v/>
      </c>
      <c r="AU141" s="2" t="str">
        <f ca="1">IFERROR(__xludf.DUMMYFUNCTION("""COMPUTED_VALUE"""),"")</f>
        <v/>
      </c>
      <c r="AV141" s="2" t="str">
        <f ca="1">IFERROR(__xludf.DUMMYFUNCTION("""COMPUTED_VALUE"""),"")</f>
        <v/>
      </c>
      <c r="AW141" s="2" t="str">
        <f ca="1">IFERROR(__xludf.DUMMYFUNCTION("""COMPUTED_VALUE"""),"")</f>
        <v/>
      </c>
      <c r="AX141" s="2" t="str">
        <f ca="1">IFERROR(__xludf.DUMMYFUNCTION("""COMPUTED_VALUE"""),"")</f>
        <v/>
      </c>
      <c r="AY141" s="2" t="str">
        <f ca="1">IFERROR(__xludf.DUMMYFUNCTION("""COMPUTED_VALUE"""),"")</f>
        <v/>
      </c>
      <c r="AZ141" s="2" t="str">
        <f ca="1">IFERROR(__xludf.DUMMYFUNCTION("""COMPUTED_VALUE"""),"")</f>
        <v/>
      </c>
      <c r="BA141" s="2" t="str">
        <f ca="1">IFERROR(__xludf.DUMMYFUNCTION("""COMPUTED_VALUE"""),"")</f>
        <v/>
      </c>
      <c r="BB141" s="2" t="str">
        <f ca="1">IFERROR(__xludf.DUMMYFUNCTION("""COMPUTED_VALUE"""),"")</f>
        <v/>
      </c>
      <c r="BC141" s="2" t="str">
        <f ca="1">IFERROR(__xludf.DUMMYFUNCTION("""COMPUTED_VALUE"""),"")</f>
        <v/>
      </c>
      <c r="BD141" s="2" t="str">
        <f ca="1">IFERROR(__xludf.DUMMYFUNCTION("""COMPUTED_VALUE"""),"")</f>
        <v/>
      </c>
      <c r="BE141" s="2" t="str">
        <f ca="1">IFERROR(__xludf.DUMMYFUNCTION("""COMPUTED_VALUE"""),"")</f>
        <v/>
      </c>
      <c r="BF141" t="str">
        <f ca="1">IFERROR(__xludf.DUMMYFUNCTION("""COMPUTED_VALUE"""),"")</f>
        <v/>
      </c>
      <c r="BG141" t="str">
        <f ca="1">IFERROR(__xludf.DUMMYFUNCTION("""COMPUTED_VALUE"""),"")</f>
        <v/>
      </c>
      <c r="BH141" t="str">
        <f ca="1">IFERROR(__xludf.DUMMYFUNCTION("""COMPUTED_VALUE"""),"")</f>
        <v/>
      </c>
      <c r="BI141" t="str">
        <f ca="1">IFERROR(__xludf.DUMMYFUNCTION("""COMPUTED_VALUE"""),"")</f>
        <v/>
      </c>
      <c r="BJ141" s="3" t="str">
        <f ca="1">IFERROR(__xludf.DUMMYFUNCTION("""COMPUTED_VALUE"""),"")</f>
        <v/>
      </c>
    </row>
    <row r="142" spans="1:62" ht="12.5" x14ac:dyDescent="0.25">
      <c r="A142" s="6">
        <f ca="1">IFERROR(__xludf.DUMMYFUNCTION("""COMPUTED_VALUE"""),43455.4707473148)</f>
        <v>43455.470747314801</v>
      </c>
      <c r="B142" s="2" t="str">
        <f ca="1">IFERROR(__xludf.DUMMYFUNCTION("""COMPUTED_VALUE"""),"Bay of Plenty")</f>
        <v>Bay of Plenty</v>
      </c>
      <c r="C142" s="2" t="str">
        <f ca="1">IFERROR(__xludf.DUMMYFUNCTION("""COMPUTED_VALUE"""),"Tx 38 - Pearl")</f>
        <v>Tx 38 - Pearl</v>
      </c>
      <c r="D142" s="10">
        <f ca="1">IFERROR(__xludf.DUMMYFUNCTION("""COMPUTED_VALUE"""),42803)</f>
        <v>42803</v>
      </c>
      <c r="E142" s="4">
        <f ca="1">IFERROR(__xludf.DUMMYFUNCTION("""COMPUTED_VALUE"""),0.694444444445252)</f>
        <v>0.694444444445252</v>
      </c>
      <c r="F142" s="2" t="str">
        <f ca="1">IFERROR(__xludf.DUMMYFUNCTION("""COMPUTED_VALUE"""),"Farmland")</f>
        <v>Farmland</v>
      </c>
      <c r="G142" s="2" t="str">
        <f ca="1">IFERROR(__xludf.DUMMYFUNCTION("""COMPUTED_VALUE"""),"VHF (close approach): I followed the signal until I got within 50 m of the bird")</f>
        <v>VHF (close approach): I followed the signal until I got within 50 m of the bird</v>
      </c>
      <c r="H142" s="2" t="str">
        <f ca="1">IFERROR(__xludf.DUMMYFUNCTION("""COMPUTED_VALUE"""),"")</f>
        <v/>
      </c>
      <c r="I142" s="2" t="str">
        <f ca="1">IFERROR(__xludf.DUMMYFUNCTION("""COMPUTED_VALUE"""),"")</f>
        <v/>
      </c>
      <c r="J142" s="2" t="str">
        <f ca="1">IFERROR(__xludf.DUMMYFUNCTION("""COMPUTED_VALUE"""),"")</f>
        <v/>
      </c>
      <c r="K142" s="2" t="str">
        <f ca="1">IFERROR(__xludf.DUMMYFUNCTION("""COMPUTED_VALUE"""),"")</f>
        <v/>
      </c>
      <c r="L142" s="2" t="str">
        <f ca="1">IFERROR(__xludf.DUMMYFUNCTION("""COMPUTED_VALUE"""),"No - I got very close to the bird but it was well hidden in the vegetation")</f>
        <v>No - I got very close to the bird but it was well hidden in the vegetation</v>
      </c>
      <c r="M142" s="5">
        <f ca="1">IFERROR(__xludf.DUMMYFUNCTION("""COMPUTED_VALUE"""),1906866)</f>
        <v>1906866</v>
      </c>
      <c r="N142" s="5">
        <f ca="1">IFERROR(__xludf.DUMMYFUNCTION("""COMPUTED_VALUE"""),5811969)</f>
        <v>5811969</v>
      </c>
      <c r="O142" s="2" t="str">
        <f ca="1">IFERROR(__xludf.DUMMYFUNCTION("""COMPUTED_VALUE"""),"")</f>
        <v/>
      </c>
      <c r="P142" s="2" t="str">
        <f ca="1">IFERROR(__xludf.DUMMYFUNCTION("""COMPUTED_VALUE"""),"Don't know")</f>
        <v>Don't know</v>
      </c>
      <c r="Q142" s="2" t="str">
        <f ca="1">IFERROR(__xludf.DUMMYFUNCTION("""COMPUTED_VALUE"""),"Don't know")</f>
        <v>Don't know</v>
      </c>
      <c r="R142" s="2" t="str">
        <f ca="1">IFERROR(__xludf.DUMMYFUNCTION("""COMPUTED_VALUE"""),"dont know ")</f>
        <v xml:space="preserve">dont know </v>
      </c>
      <c r="S142" s="2" t="str">
        <f ca="1">IFERROR(__xludf.DUMMYFUNCTION("""COMPUTED_VALUE"""),"&lt;50m")</f>
        <v>&lt;50m</v>
      </c>
      <c r="T142" s="2" t="str">
        <f ca="1">IFERROR(__xludf.DUMMYFUNCTION("""COMPUTED_VALUE"""),"farmland ")</f>
        <v xml:space="preserve">farmland </v>
      </c>
      <c r="U142" s="2" t="str">
        <f ca="1">IFERROR(__xludf.DUMMYFUNCTION("""COMPUTED_VALUE"""),"Very Heavy Rain this week. Bird moved north? Good Signal heard from my house, 580 Pukehina parade")</f>
        <v>Very Heavy Rain this week. Bird moved north? Good Signal heard from my house, 580 Pukehina parade</v>
      </c>
      <c r="V142" s="2" t="str">
        <f ca="1">IFERROR(__xludf.DUMMYFUNCTION("""COMPUTED_VALUE"""),"")</f>
        <v/>
      </c>
      <c r="W142" s="2" t="str">
        <f ca="1">IFERROR(__xludf.DUMMYFUNCTION("""COMPUTED_VALUE"""),"")</f>
        <v/>
      </c>
      <c r="X142" s="2" t="str">
        <f ca="1">IFERROR(__xludf.DUMMYFUNCTION("""COMPUTED_VALUE"""),"")</f>
        <v/>
      </c>
      <c r="Y142" s="2" t="str">
        <f ca="1">IFERROR(__xludf.DUMMYFUNCTION("""COMPUTED_VALUE"""),"")</f>
        <v/>
      </c>
      <c r="Z142" s="2" t="str">
        <f ca="1">IFERROR(__xludf.DUMMYFUNCTION("""COMPUTED_VALUE"""),"")</f>
        <v/>
      </c>
      <c r="AA142" s="2" t="str">
        <f ca="1">IFERROR(__xludf.DUMMYFUNCTION("""COMPUTED_VALUE"""),"")</f>
        <v/>
      </c>
      <c r="AB142" s="2" t="str">
        <f ca="1">IFERROR(__xludf.DUMMYFUNCTION("""COMPUTED_VALUE"""),"")</f>
        <v/>
      </c>
      <c r="AC142" s="2" t="str">
        <f ca="1">IFERROR(__xludf.DUMMYFUNCTION("""COMPUTED_VALUE"""),"")</f>
        <v/>
      </c>
      <c r="AD142" s="2" t="str">
        <f ca="1">IFERROR(__xludf.DUMMYFUNCTION("""COMPUTED_VALUE"""),"")</f>
        <v/>
      </c>
      <c r="AE142" s="2" t="str">
        <f ca="1">IFERROR(__xludf.DUMMYFUNCTION("""COMPUTED_VALUE"""),"")</f>
        <v/>
      </c>
      <c r="AF142" s="2" t="str">
        <f ca="1">IFERROR(__xludf.DUMMYFUNCTION("""COMPUTED_VALUE"""),"")</f>
        <v/>
      </c>
      <c r="AG142" s="2" t="str">
        <f ca="1">IFERROR(__xludf.DUMMYFUNCTION("""COMPUTED_VALUE"""),"")</f>
        <v/>
      </c>
      <c r="AH142" s="2" t="str">
        <f ca="1">IFERROR(__xludf.DUMMYFUNCTION("""COMPUTED_VALUE"""),"")</f>
        <v/>
      </c>
      <c r="AI142" s="2" t="str">
        <f ca="1">IFERROR(__xludf.DUMMYFUNCTION("""COMPUTED_VALUE"""),"")</f>
        <v/>
      </c>
      <c r="AJ142" s="2" t="str">
        <f ca="1">IFERROR(__xludf.DUMMYFUNCTION("""COMPUTED_VALUE"""),"")</f>
        <v/>
      </c>
      <c r="AK142" s="2" t="str">
        <f ca="1">IFERROR(__xludf.DUMMYFUNCTION("""COMPUTED_VALUE"""),"")</f>
        <v/>
      </c>
      <c r="AL142" s="2" t="str">
        <f ca="1">IFERROR(__xludf.DUMMYFUNCTION("""COMPUTED_VALUE"""),"")</f>
        <v/>
      </c>
      <c r="AM142" s="2" t="str">
        <f ca="1">IFERROR(__xludf.DUMMYFUNCTION("""COMPUTED_VALUE"""),"")</f>
        <v/>
      </c>
      <c r="AN142" s="2" t="str">
        <f ca="1">IFERROR(__xludf.DUMMYFUNCTION("""COMPUTED_VALUE"""),"")</f>
        <v/>
      </c>
      <c r="AO142" s="2" t="str">
        <f ca="1">IFERROR(__xludf.DUMMYFUNCTION("""COMPUTED_VALUE"""),"")</f>
        <v/>
      </c>
      <c r="AP142" s="2" t="str">
        <f ca="1">IFERROR(__xludf.DUMMYFUNCTION("""COMPUTED_VALUE"""),"")</f>
        <v/>
      </c>
      <c r="AQ142" s="2" t="str">
        <f ca="1">IFERROR(__xludf.DUMMYFUNCTION("""COMPUTED_VALUE"""),"")</f>
        <v/>
      </c>
      <c r="AR142" s="2" t="str">
        <f ca="1">IFERROR(__xludf.DUMMYFUNCTION("""COMPUTED_VALUE"""),"")</f>
        <v/>
      </c>
      <c r="AS142" s="2" t="str">
        <f ca="1">IFERROR(__xludf.DUMMYFUNCTION("""COMPUTED_VALUE"""),"")</f>
        <v/>
      </c>
      <c r="AT142" s="2" t="str">
        <f ca="1">IFERROR(__xludf.DUMMYFUNCTION("""COMPUTED_VALUE"""),"")</f>
        <v/>
      </c>
      <c r="AU142" s="2" t="str">
        <f ca="1">IFERROR(__xludf.DUMMYFUNCTION("""COMPUTED_VALUE"""),"")</f>
        <v/>
      </c>
      <c r="AV142" s="2" t="str">
        <f ca="1">IFERROR(__xludf.DUMMYFUNCTION("""COMPUTED_VALUE"""),"")</f>
        <v/>
      </c>
      <c r="AW142" s="2" t="str">
        <f ca="1">IFERROR(__xludf.DUMMYFUNCTION("""COMPUTED_VALUE"""),"")</f>
        <v/>
      </c>
      <c r="AX142" s="2" t="str">
        <f ca="1">IFERROR(__xludf.DUMMYFUNCTION("""COMPUTED_VALUE"""),"")</f>
        <v/>
      </c>
      <c r="AY142" s="2" t="str">
        <f ca="1">IFERROR(__xludf.DUMMYFUNCTION("""COMPUTED_VALUE"""),"")</f>
        <v/>
      </c>
      <c r="AZ142" s="2" t="str">
        <f ca="1">IFERROR(__xludf.DUMMYFUNCTION("""COMPUTED_VALUE"""),"")</f>
        <v/>
      </c>
      <c r="BA142" s="2" t="str">
        <f ca="1">IFERROR(__xludf.DUMMYFUNCTION("""COMPUTED_VALUE"""),"")</f>
        <v/>
      </c>
      <c r="BB142" s="2" t="str">
        <f ca="1">IFERROR(__xludf.DUMMYFUNCTION("""COMPUTED_VALUE"""),"")</f>
        <v/>
      </c>
      <c r="BC142" s="2" t="str">
        <f ca="1">IFERROR(__xludf.DUMMYFUNCTION("""COMPUTED_VALUE"""),"")</f>
        <v/>
      </c>
      <c r="BD142" s="2" t="str">
        <f ca="1">IFERROR(__xludf.DUMMYFUNCTION("""COMPUTED_VALUE"""),"")</f>
        <v/>
      </c>
      <c r="BE142" s="2" t="str">
        <f ca="1">IFERROR(__xludf.DUMMYFUNCTION("""COMPUTED_VALUE"""),"")</f>
        <v/>
      </c>
      <c r="BF142" t="str">
        <f ca="1">IFERROR(__xludf.DUMMYFUNCTION("""COMPUTED_VALUE"""),"")</f>
        <v/>
      </c>
      <c r="BG142" t="str">
        <f ca="1">IFERROR(__xludf.DUMMYFUNCTION("""COMPUTED_VALUE"""),"")</f>
        <v/>
      </c>
      <c r="BH142" t="str">
        <f ca="1">IFERROR(__xludf.DUMMYFUNCTION("""COMPUTED_VALUE"""),"")</f>
        <v/>
      </c>
      <c r="BI142" t="str">
        <f ca="1">IFERROR(__xludf.DUMMYFUNCTION("""COMPUTED_VALUE"""),"")</f>
        <v/>
      </c>
      <c r="BJ142" s="3" t="str">
        <f ca="1">IFERROR(__xludf.DUMMYFUNCTION("""COMPUTED_VALUE"""),"")</f>
        <v/>
      </c>
    </row>
    <row r="143" spans="1:62" ht="12.5" x14ac:dyDescent="0.25">
      <c r="A143" s="6">
        <f ca="1">IFERROR(__xludf.DUMMYFUNCTION("""COMPUTED_VALUE"""),43455.4740362615)</f>
        <v>43455.474036261498</v>
      </c>
      <c r="B143" s="2" t="str">
        <f ca="1">IFERROR(__xludf.DUMMYFUNCTION("""COMPUTED_VALUE"""),"Bay of Plenty")</f>
        <v>Bay of Plenty</v>
      </c>
      <c r="C143" s="2" t="str">
        <f ca="1">IFERROR(__xludf.DUMMYFUNCTION("""COMPUTED_VALUE"""),"Tx 38 - Pearl")</f>
        <v>Tx 38 - Pearl</v>
      </c>
      <c r="D143" s="10">
        <f ca="1">IFERROR(__xludf.DUMMYFUNCTION("""COMPUTED_VALUE"""),42809)</f>
        <v>42809</v>
      </c>
      <c r="E143" s="4">
        <f ca="1">IFERROR(__xludf.DUMMYFUNCTION("""COMPUTED_VALUE"""),0.58333333333212)</f>
        <v>0.58333333333212001</v>
      </c>
      <c r="F143" s="2" t="str">
        <f ca="1">IFERROR(__xludf.DUMMYFUNCTION("""COMPUTED_VALUE"""),"Farmland - Wharere rd")</f>
        <v>Farmland - Wharere rd</v>
      </c>
      <c r="G143" s="2" t="str">
        <f ca="1">IFERROR(__xludf.DUMMYFUNCTION("""COMPUTED_VALUE"""),"VHF (close approach): I followed the signal until I got within 50 m of the bird")</f>
        <v>VHF (close approach): I followed the signal until I got within 50 m of the bird</v>
      </c>
      <c r="H143" s="2" t="str">
        <f ca="1">IFERROR(__xludf.DUMMYFUNCTION("""COMPUTED_VALUE"""),"")</f>
        <v/>
      </c>
      <c r="I143" s="2" t="str">
        <f ca="1">IFERROR(__xludf.DUMMYFUNCTION("""COMPUTED_VALUE"""),"")</f>
        <v/>
      </c>
      <c r="J143" s="2" t="str">
        <f ca="1">IFERROR(__xludf.DUMMYFUNCTION("""COMPUTED_VALUE"""),"")</f>
        <v/>
      </c>
      <c r="K143" s="2" t="str">
        <f ca="1">IFERROR(__xludf.DUMMYFUNCTION("""COMPUTED_VALUE"""),"")</f>
        <v/>
      </c>
      <c r="L143" s="2" t="str">
        <f ca="1">IFERROR(__xludf.DUMMYFUNCTION("""COMPUTED_VALUE"""),"No - I got very close to the bird but it was well hidden in the vegetation")</f>
        <v>No - I got very close to the bird but it was well hidden in the vegetation</v>
      </c>
      <c r="M143" s="5">
        <f ca="1">IFERROR(__xludf.DUMMYFUNCTION("""COMPUTED_VALUE"""),1906785)</f>
        <v>1906785</v>
      </c>
      <c r="N143" s="5">
        <f ca="1">IFERROR(__xludf.DUMMYFUNCTION("""COMPUTED_VALUE"""),5811589)</f>
        <v>5811589</v>
      </c>
      <c r="O143" s="2" t="str">
        <f ca="1">IFERROR(__xludf.DUMMYFUNCTION("""COMPUTED_VALUE"""),"")</f>
        <v/>
      </c>
      <c r="P143" s="2" t="str">
        <f ca="1">IFERROR(__xludf.DUMMYFUNCTION("""COMPUTED_VALUE"""),"Don't know")</f>
        <v>Don't know</v>
      </c>
      <c r="Q143" s="2" t="str">
        <f ca="1">IFERROR(__xludf.DUMMYFUNCTION("""COMPUTED_VALUE"""),"Don't know")</f>
        <v>Don't know</v>
      </c>
      <c r="R143" s="2" t="str">
        <f ca="1">IFERROR(__xludf.DUMMYFUNCTION("""COMPUTED_VALUE"""),"dont know")</f>
        <v>dont know</v>
      </c>
      <c r="S143" s="2" t="str">
        <f ca="1">IFERROR(__xludf.DUMMYFUNCTION("""COMPUTED_VALUE"""),"dont know")</f>
        <v>dont know</v>
      </c>
      <c r="T143" s="2" t="str">
        <f ca="1">IFERROR(__xludf.DUMMYFUNCTION("""COMPUTED_VALUE"""),"farmland")</f>
        <v>farmland</v>
      </c>
      <c r="U143" s="2" t="str">
        <f ca="1">IFERROR(__xludf.DUMMYFUNCTION("""COMPUTED_VALUE"""),"mark WAMs guess - Bird moved west ? Back hoe digging drains several days. No Signal heard from my house, Pukehina parade")</f>
        <v>mark WAMs guess - Bird moved west ? Back hoe digging drains several days. No Signal heard from my house, Pukehina parade</v>
      </c>
      <c r="V143" s="2" t="str">
        <f ca="1">IFERROR(__xludf.DUMMYFUNCTION("""COMPUTED_VALUE"""),"")</f>
        <v/>
      </c>
      <c r="W143" s="2" t="str">
        <f ca="1">IFERROR(__xludf.DUMMYFUNCTION("""COMPUTED_VALUE"""),"")</f>
        <v/>
      </c>
      <c r="X143" s="2" t="str">
        <f ca="1">IFERROR(__xludf.DUMMYFUNCTION("""COMPUTED_VALUE"""),"")</f>
        <v/>
      </c>
      <c r="Y143" s="2" t="str">
        <f ca="1">IFERROR(__xludf.DUMMYFUNCTION("""COMPUTED_VALUE"""),"")</f>
        <v/>
      </c>
      <c r="Z143" s="2" t="str">
        <f ca="1">IFERROR(__xludf.DUMMYFUNCTION("""COMPUTED_VALUE"""),"")</f>
        <v/>
      </c>
      <c r="AA143" s="2" t="str">
        <f ca="1">IFERROR(__xludf.DUMMYFUNCTION("""COMPUTED_VALUE"""),"")</f>
        <v/>
      </c>
      <c r="AB143" s="2" t="str">
        <f ca="1">IFERROR(__xludf.DUMMYFUNCTION("""COMPUTED_VALUE"""),"")</f>
        <v/>
      </c>
      <c r="AC143" s="2" t="str">
        <f ca="1">IFERROR(__xludf.DUMMYFUNCTION("""COMPUTED_VALUE"""),"")</f>
        <v/>
      </c>
      <c r="AD143" s="2" t="str">
        <f ca="1">IFERROR(__xludf.DUMMYFUNCTION("""COMPUTED_VALUE"""),"")</f>
        <v/>
      </c>
      <c r="AE143" s="2" t="str">
        <f ca="1">IFERROR(__xludf.DUMMYFUNCTION("""COMPUTED_VALUE"""),"")</f>
        <v/>
      </c>
      <c r="AF143" s="2" t="str">
        <f ca="1">IFERROR(__xludf.DUMMYFUNCTION("""COMPUTED_VALUE"""),"")</f>
        <v/>
      </c>
      <c r="AG143" s="2" t="str">
        <f ca="1">IFERROR(__xludf.DUMMYFUNCTION("""COMPUTED_VALUE"""),"")</f>
        <v/>
      </c>
      <c r="AH143" s="2" t="str">
        <f ca="1">IFERROR(__xludf.DUMMYFUNCTION("""COMPUTED_VALUE"""),"")</f>
        <v/>
      </c>
      <c r="AI143" s="2" t="str">
        <f ca="1">IFERROR(__xludf.DUMMYFUNCTION("""COMPUTED_VALUE"""),"")</f>
        <v/>
      </c>
      <c r="AJ143" s="2" t="str">
        <f ca="1">IFERROR(__xludf.DUMMYFUNCTION("""COMPUTED_VALUE"""),"")</f>
        <v/>
      </c>
      <c r="AK143" s="2" t="str">
        <f ca="1">IFERROR(__xludf.DUMMYFUNCTION("""COMPUTED_VALUE"""),"")</f>
        <v/>
      </c>
      <c r="AL143" s="2" t="str">
        <f ca="1">IFERROR(__xludf.DUMMYFUNCTION("""COMPUTED_VALUE"""),"")</f>
        <v/>
      </c>
      <c r="AM143" s="2" t="str">
        <f ca="1">IFERROR(__xludf.DUMMYFUNCTION("""COMPUTED_VALUE"""),"")</f>
        <v/>
      </c>
      <c r="AN143" s="2" t="str">
        <f ca="1">IFERROR(__xludf.DUMMYFUNCTION("""COMPUTED_VALUE"""),"")</f>
        <v/>
      </c>
      <c r="AO143" s="2" t="str">
        <f ca="1">IFERROR(__xludf.DUMMYFUNCTION("""COMPUTED_VALUE"""),"")</f>
        <v/>
      </c>
      <c r="AP143" s="2" t="str">
        <f ca="1">IFERROR(__xludf.DUMMYFUNCTION("""COMPUTED_VALUE"""),"")</f>
        <v/>
      </c>
      <c r="AQ143" s="2" t="str">
        <f ca="1">IFERROR(__xludf.DUMMYFUNCTION("""COMPUTED_VALUE"""),"")</f>
        <v/>
      </c>
      <c r="AR143" s="2" t="str">
        <f ca="1">IFERROR(__xludf.DUMMYFUNCTION("""COMPUTED_VALUE"""),"")</f>
        <v/>
      </c>
      <c r="AS143" s="2" t="str">
        <f ca="1">IFERROR(__xludf.DUMMYFUNCTION("""COMPUTED_VALUE"""),"")</f>
        <v/>
      </c>
      <c r="AT143" s="2" t="str">
        <f ca="1">IFERROR(__xludf.DUMMYFUNCTION("""COMPUTED_VALUE"""),"")</f>
        <v/>
      </c>
      <c r="AU143" s="2" t="str">
        <f ca="1">IFERROR(__xludf.DUMMYFUNCTION("""COMPUTED_VALUE"""),"")</f>
        <v/>
      </c>
      <c r="AV143" s="2" t="str">
        <f ca="1">IFERROR(__xludf.DUMMYFUNCTION("""COMPUTED_VALUE"""),"")</f>
        <v/>
      </c>
      <c r="AW143" s="2" t="str">
        <f ca="1">IFERROR(__xludf.DUMMYFUNCTION("""COMPUTED_VALUE"""),"")</f>
        <v/>
      </c>
      <c r="AX143" s="2" t="str">
        <f ca="1">IFERROR(__xludf.DUMMYFUNCTION("""COMPUTED_VALUE"""),"")</f>
        <v/>
      </c>
      <c r="AY143" s="2" t="str">
        <f ca="1">IFERROR(__xludf.DUMMYFUNCTION("""COMPUTED_VALUE"""),"")</f>
        <v/>
      </c>
      <c r="AZ143" s="2" t="str">
        <f ca="1">IFERROR(__xludf.DUMMYFUNCTION("""COMPUTED_VALUE"""),"")</f>
        <v/>
      </c>
      <c r="BA143" s="2" t="str">
        <f ca="1">IFERROR(__xludf.DUMMYFUNCTION("""COMPUTED_VALUE"""),"")</f>
        <v/>
      </c>
      <c r="BB143" s="2" t="str">
        <f ca="1">IFERROR(__xludf.DUMMYFUNCTION("""COMPUTED_VALUE"""),"")</f>
        <v/>
      </c>
      <c r="BC143" s="2" t="str">
        <f ca="1">IFERROR(__xludf.DUMMYFUNCTION("""COMPUTED_VALUE"""),"")</f>
        <v/>
      </c>
      <c r="BD143" s="2" t="str">
        <f ca="1">IFERROR(__xludf.DUMMYFUNCTION("""COMPUTED_VALUE"""),"")</f>
        <v/>
      </c>
      <c r="BE143" s="2" t="str">
        <f ca="1">IFERROR(__xludf.DUMMYFUNCTION("""COMPUTED_VALUE"""),"")</f>
        <v/>
      </c>
      <c r="BF143" t="str">
        <f ca="1">IFERROR(__xludf.DUMMYFUNCTION("""COMPUTED_VALUE"""),"")</f>
        <v/>
      </c>
      <c r="BG143" t="str">
        <f ca="1">IFERROR(__xludf.DUMMYFUNCTION("""COMPUTED_VALUE"""),"")</f>
        <v/>
      </c>
      <c r="BH143" t="str">
        <f ca="1">IFERROR(__xludf.DUMMYFUNCTION("""COMPUTED_VALUE"""),"")</f>
        <v/>
      </c>
      <c r="BI143" t="str">
        <f ca="1">IFERROR(__xludf.DUMMYFUNCTION("""COMPUTED_VALUE"""),"")</f>
        <v/>
      </c>
      <c r="BJ143" s="3" t="str">
        <f ca="1">IFERROR(__xludf.DUMMYFUNCTION("""COMPUTED_VALUE"""),"")</f>
        <v/>
      </c>
    </row>
    <row r="144" spans="1:62" ht="12.5" x14ac:dyDescent="0.25">
      <c r="A144" s="6">
        <f ca="1">IFERROR(__xludf.DUMMYFUNCTION("""COMPUTED_VALUE"""),43455.4771011921)</f>
        <v>43455.477101192097</v>
      </c>
      <c r="B144" s="2" t="str">
        <f ca="1">IFERROR(__xludf.DUMMYFUNCTION("""COMPUTED_VALUE"""),"Bay of Plenty")</f>
        <v>Bay of Plenty</v>
      </c>
      <c r="C144" s="2" t="str">
        <f ca="1">IFERROR(__xludf.DUMMYFUNCTION("""COMPUTED_VALUE"""),"Tx 38 - Pearl")</f>
        <v>Tx 38 - Pearl</v>
      </c>
      <c r="D144" s="10">
        <f ca="1">IFERROR(__xludf.DUMMYFUNCTION("""COMPUTED_VALUE"""),42843)</f>
        <v>42843</v>
      </c>
      <c r="E144" s="4">
        <f ca="1">IFERROR(__xludf.DUMMYFUNCTION("""COMPUTED_VALUE"""),0.58333333333212)</f>
        <v>0.58333333333212001</v>
      </c>
      <c r="F144" s="2" t="str">
        <f ca="1">IFERROR(__xludf.DUMMYFUNCTION("""COMPUTED_VALUE"""),"Farmland - Wharere rd")</f>
        <v>Farmland - Wharere rd</v>
      </c>
      <c r="G144" s="2" t="str">
        <f ca="1">IFERROR(__xludf.DUMMYFUNCTION("""COMPUTED_VALUE"""),"VHF (close approach): I followed the signal until I got within 50 m of the bird")</f>
        <v>VHF (close approach): I followed the signal until I got within 50 m of the bird</v>
      </c>
      <c r="H144" s="2" t="str">
        <f ca="1">IFERROR(__xludf.DUMMYFUNCTION("""COMPUTED_VALUE"""),"")</f>
        <v/>
      </c>
      <c r="I144" s="2" t="str">
        <f ca="1">IFERROR(__xludf.DUMMYFUNCTION("""COMPUTED_VALUE"""),"")</f>
        <v/>
      </c>
      <c r="J144" s="2" t="str">
        <f ca="1">IFERROR(__xludf.DUMMYFUNCTION("""COMPUTED_VALUE"""),"")</f>
        <v/>
      </c>
      <c r="K144" s="2" t="str">
        <f ca="1">IFERROR(__xludf.DUMMYFUNCTION("""COMPUTED_VALUE"""),"")</f>
        <v/>
      </c>
      <c r="L144" s="2" t="str">
        <f ca="1">IFERROR(__xludf.DUMMYFUNCTION("""COMPUTED_VALUE"""),"No - I got very close to the bird but it was well hidden in the vegetation")</f>
        <v>No - I got very close to the bird but it was well hidden in the vegetation</v>
      </c>
      <c r="M144" s="5">
        <f ca="1">IFERROR(__xludf.DUMMYFUNCTION("""COMPUTED_VALUE"""),1906810)</f>
        <v>1906810</v>
      </c>
      <c r="N144" s="5">
        <f ca="1">IFERROR(__xludf.DUMMYFUNCTION("""COMPUTED_VALUE"""),5811645)</f>
        <v>5811645</v>
      </c>
      <c r="O144" s="2" t="str">
        <f ca="1">IFERROR(__xludf.DUMMYFUNCTION("""COMPUTED_VALUE"""),"")</f>
        <v/>
      </c>
      <c r="P144" s="2" t="str">
        <f ca="1">IFERROR(__xludf.DUMMYFUNCTION("""COMPUTED_VALUE"""),"Don't know")</f>
        <v>Don't know</v>
      </c>
      <c r="Q144" s="2" t="str">
        <f ca="1">IFERROR(__xludf.DUMMYFUNCTION("""COMPUTED_VALUE"""),"Don't know")</f>
        <v>Don't know</v>
      </c>
      <c r="R144" s="2" t="str">
        <f ca="1">IFERROR(__xludf.DUMMYFUNCTION("""COMPUTED_VALUE"""),"dont know")</f>
        <v>dont know</v>
      </c>
      <c r="S144" s="2" t="str">
        <f ca="1">IFERROR(__xludf.DUMMYFUNCTION("""COMPUTED_VALUE"""),"dont know")</f>
        <v>dont know</v>
      </c>
      <c r="T144" s="2" t="str">
        <f ca="1">IFERROR(__xludf.DUMMYFUNCTION("""COMPUTED_VALUE"""),"Farmland")</f>
        <v>Farmland</v>
      </c>
      <c r="U144" s="2" t="str">
        <f ca="1">IFERROR(__xludf.DUMMYFUNCTION("""COMPUTED_VALUE"""),"WAMS est. Bird moved south. 5 days after ex cyclone Cook - entered by Karl ")</f>
        <v xml:space="preserve">WAMS est. Bird moved south. 5 days after ex cyclone Cook - entered by Karl </v>
      </c>
      <c r="V144" s="2" t="str">
        <f ca="1">IFERROR(__xludf.DUMMYFUNCTION("""COMPUTED_VALUE"""),"")</f>
        <v/>
      </c>
      <c r="W144" s="2" t="str">
        <f ca="1">IFERROR(__xludf.DUMMYFUNCTION("""COMPUTED_VALUE"""),"")</f>
        <v/>
      </c>
      <c r="X144" s="2" t="str">
        <f ca="1">IFERROR(__xludf.DUMMYFUNCTION("""COMPUTED_VALUE"""),"")</f>
        <v/>
      </c>
      <c r="Y144" s="2" t="str">
        <f ca="1">IFERROR(__xludf.DUMMYFUNCTION("""COMPUTED_VALUE"""),"")</f>
        <v/>
      </c>
      <c r="Z144" s="2" t="str">
        <f ca="1">IFERROR(__xludf.DUMMYFUNCTION("""COMPUTED_VALUE"""),"")</f>
        <v/>
      </c>
      <c r="AA144" s="2" t="str">
        <f ca="1">IFERROR(__xludf.DUMMYFUNCTION("""COMPUTED_VALUE"""),"")</f>
        <v/>
      </c>
      <c r="AB144" s="2" t="str">
        <f ca="1">IFERROR(__xludf.DUMMYFUNCTION("""COMPUTED_VALUE"""),"")</f>
        <v/>
      </c>
      <c r="AC144" s="2" t="str">
        <f ca="1">IFERROR(__xludf.DUMMYFUNCTION("""COMPUTED_VALUE"""),"")</f>
        <v/>
      </c>
      <c r="AD144" s="2" t="str">
        <f ca="1">IFERROR(__xludf.DUMMYFUNCTION("""COMPUTED_VALUE"""),"")</f>
        <v/>
      </c>
      <c r="AE144" s="2" t="str">
        <f ca="1">IFERROR(__xludf.DUMMYFUNCTION("""COMPUTED_VALUE"""),"")</f>
        <v/>
      </c>
      <c r="AF144" s="2" t="str">
        <f ca="1">IFERROR(__xludf.DUMMYFUNCTION("""COMPUTED_VALUE"""),"")</f>
        <v/>
      </c>
      <c r="AG144" s="2" t="str">
        <f ca="1">IFERROR(__xludf.DUMMYFUNCTION("""COMPUTED_VALUE"""),"")</f>
        <v/>
      </c>
      <c r="AH144" s="2" t="str">
        <f ca="1">IFERROR(__xludf.DUMMYFUNCTION("""COMPUTED_VALUE"""),"")</f>
        <v/>
      </c>
      <c r="AI144" s="2" t="str">
        <f ca="1">IFERROR(__xludf.DUMMYFUNCTION("""COMPUTED_VALUE"""),"")</f>
        <v/>
      </c>
      <c r="AJ144" s="2" t="str">
        <f ca="1">IFERROR(__xludf.DUMMYFUNCTION("""COMPUTED_VALUE"""),"")</f>
        <v/>
      </c>
      <c r="AK144" s="2" t="str">
        <f ca="1">IFERROR(__xludf.DUMMYFUNCTION("""COMPUTED_VALUE"""),"")</f>
        <v/>
      </c>
      <c r="AL144" s="2" t="str">
        <f ca="1">IFERROR(__xludf.DUMMYFUNCTION("""COMPUTED_VALUE"""),"")</f>
        <v/>
      </c>
      <c r="AM144" s="2" t="str">
        <f ca="1">IFERROR(__xludf.DUMMYFUNCTION("""COMPUTED_VALUE"""),"")</f>
        <v/>
      </c>
      <c r="AN144" s="2" t="str">
        <f ca="1">IFERROR(__xludf.DUMMYFUNCTION("""COMPUTED_VALUE"""),"")</f>
        <v/>
      </c>
      <c r="AO144" s="2" t="str">
        <f ca="1">IFERROR(__xludf.DUMMYFUNCTION("""COMPUTED_VALUE"""),"")</f>
        <v/>
      </c>
      <c r="AP144" s="2" t="str">
        <f ca="1">IFERROR(__xludf.DUMMYFUNCTION("""COMPUTED_VALUE"""),"")</f>
        <v/>
      </c>
      <c r="AQ144" s="2" t="str">
        <f ca="1">IFERROR(__xludf.DUMMYFUNCTION("""COMPUTED_VALUE"""),"")</f>
        <v/>
      </c>
      <c r="AR144" s="2" t="str">
        <f ca="1">IFERROR(__xludf.DUMMYFUNCTION("""COMPUTED_VALUE"""),"")</f>
        <v/>
      </c>
      <c r="AS144" s="2" t="str">
        <f ca="1">IFERROR(__xludf.DUMMYFUNCTION("""COMPUTED_VALUE"""),"")</f>
        <v/>
      </c>
      <c r="AT144" s="2" t="str">
        <f ca="1">IFERROR(__xludf.DUMMYFUNCTION("""COMPUTED_VALUE"""),"")</f>
        <v/>
      </c>
      <c r="AU144" s="2" t="str">
        <f ca="1">IFERROR(__xludf.DUMMYFUNCTION("""COMPUTED_VALUE"""),"")</f>
        <v/>
      </c>
      <c r="AV144" s="2" t="str">
        <f ca="1">IFERROR(__xludf.DUMMYFUNCTION("""COMPUTED_VALUE"""),"")</f>
        <v/>
      </c>
      <c r="AW144" s="2" t="str">
        <f ca="1">IFERROR(__xludf.DUMMYFUNCTION("""COMPUTED_VALUE"""),"")</f>
        <v/>
      </c>
      <c r="AX144" s="2" t="str">
        <f ca="1">IFERROR(__xludf.DUMMYFUNCTION("""COMPUTED_VALUE"""),"")</f>
        <v/>
      </c>
      <c r="AY144" s="2" t="str">
        <f ca="1">IFERROR(__xludf.DUMMYFUNCTION("""COMPUTED_VALUE"""),"")</f>
        <v/>
      </c>
      <c r="AZ144" s="2" t="str">
        <f ca="1">IFERROR(__xludf.DUMMYFUNCTION("""COMPUTED_VALUE"""),"")</f>
        <v/>
      </c>
      <c r="BA144" s="2" t="str">
        <f ca="1">IFERROR(__xludf.DUMMYFUNCTION("""COMPUTED_VALUE"""),"")</f>
        <v/>
      </c>
      <c r="BB144" s="2" t="str">
        <f ca="1">IFERROR(__xludf.DUMMYFUNCTION("""COMPUTED_VALUE"""),"")</f>
        <v/>
      </c>
      <c r="BC144" s="2" t="str">
        <f ca="1">IFERROR(__xludf.DUMMYFUNCTION("""COMPUTED_VALUE"""),"")</f>
        <v/>
      </c>
      <c r="BD144" s="2" t="str">
        <f ca="1">IFERROR(__xludf.DUMMYFUNCTION("""COMPUTED_VALUE"""),"")</f>
        <v/>
      </c>
      <c r="BE144" s="2" t="str">
        <f ca="1">IFERROR(__xludf.DUMMYFUNCTION("""COMPUTED_VALUE"""),"")</f>
        <v/>
      </c>
      <c r="BF144" t="str">
        <f ca="1">IFERROR(__xludf.DUMMYFUNCTION("""COMPUTED_VALUE"""),"")</f>
        <v/>
      </c>
      <c r="BG144" t="str">
        <f ca="1">IFERROR(__xludf.DUMMYFUNCTION("""COMPUTED_VALUE"""),"")</f>
        <v/>
      </c>
      <c r="BH144" t="str">
        <f ca="1">IFERROR(__xludf.DUMMYFUNCTION("""COMPUTED_VALUE"""),"")</f>
        <v/>
      </c>
      <c r="BI144" t="str">
        <f ca="1">IFERROR(__xludf.DUMMYFUNCTION("""COMPUTED_VALUE"""),"")</f>
        <v/>
      </c>
      <c r="BJ144" s="3" t="str">
        <f ca="1">IFERROR(__xludf.DUMMYFUNCTION("""COMPUTED_VALUE"""),"")</f>
        <v/>
      </c>
    </row>
    <row r="145" spans="1:62" ht="12.5" x14ac:dyDescent="0.25">
      <c r="A145" s="6">
        <f ca="1">IFERROR(__xludf.DUMMYFUNCTION("""COMPUTED_VALUE"""),43455.4828384953)</f>
        <v>43455.4828384953</v>
      </c>
      <c r="B145" s="2" t="str">
        <f ca="1">IFERROR(__xludf.DUMMYFUNCTION("""COMPUTED_VALUE"""),"Bay of Plenty")</f>
        <v>Bay of Plenty</v>
      </c>
      <c r="C145" s="2" t="str">
        <f ca="1">IFERROR(__xludf.DUMMYFUNCTION("""COMPUTED_VALUE"""),"Tx 38 - Pearl")</f>
        <v>Tx 38 - Pearl</v>
      </c>
      <c r="D145" s="10">
        <f ca="1">IFERROR(__xludf.DUMMYFUNCTION("""COMPUTED_VALUE"""),42861)</f>
        <v>42861</v>
      </c>
      <c r="E145" s="4">
        <f ca="1">IFERROR(__xludf.DUMMYFUNCTION("""COMPUTED_VALUE"""),0.45833333333212)</f>
        <v>0.45833333333212001</v>
      </c>
      <c r="F145" s="2" t="str">
        <f ca="1">IFERROR(__xludf.DUMMYFUNCTION("""COMPUTED_VALUE"""),"Cutwater rd - Paddocks")</f>
        <v>Cutwater rd - Paddocks</v>
      </c>
      <c r="G145" s="2" t="str">
        <f ca="1">IFERROR(__xludf.DUMMYFUNCTION("""COMPUTED_VALUE"""),"VHF (close approach): I followed the signal until I got within 50 m of the bird")</f>
        <v>VHF (close approach): I followed the signal until I got within 50 m of the bird</v>
      </c>
      <c r="H145" s="2" t="str">
        <f ca="1">IFERROR(__xludf.DUMMYFUNCTION("""COMPUTED_VALUE"""),"")</f>
        <v/>
      </c>
      <c r="I145" s="2" t="str">
        <f ca="1">IFERROR(__xludf.DUMMYFUNCTION("""COMPUTED_VALUE"""),"")</f>
        <v/>
      </c>
      <c r="J145" s="2" t="str">
        <f ca="1">IFERROR(__xludf.DUMMYFUNCTION("""COMPUTED_VALUE"""),"")</f>
        <v/>
      </c>
      <c r="K145" s="2" t="str">
        <f ca="1">IFERROR(__xludf.DUMMYFUNCTION("""COMPUTED_VALUE"""),"")</f>
        <v/>
      </c>
      <c r="L145" s="2" t="str">
        <f ca="1">IFERROR(__xludf.DUMMYFUNCTION("""COMPUTED_VALUE"""),"No - I got very close to the bird but it was well hidden in the vegetation")</f>
        <v>No - I got very close to the bird but it was well hidden in the vegetation</v>
      </c>
      <c r="M145" s="5">
        <f ca="1">IFERROR(__xludf.DUMMYFUNCTION("""COMPUTED_VALUE"""),1907661)</f>
        <v>1907661</v>
      </c>
      <c r="N145" s="5">
        <f ca="1">IFERROR(__xludf.DUMMYFUNCTION("""COMPUTED_VALUE"""),5812179)</f>
        <v>5812179</v>
      </c>
      <c r="O145" s="2" t="str">
        <f ca="1">IFERROR(__xludf.DUMMYFUNCTION("""COMPUTED_VALUE"""),"")</f>
        <v/>
      </c>
      <c r="P145" s="2" t="str">
        <f ca="1">IFERROR(__xludf.DUMMYFUNCTION("""COMPUTED_VALUE"""),"Yes")</f>
        <v>Yes</v>
      </c>
      <c r="Q145" s="2" t="str">
        <f ca="1">IFERROR(__xludf.DUMMYFUNCTION("""COMPUTED_VALUE"""),"Dry")</f>
        <v>Dry</v>
      </c>
      <c r="R145" s="2" t="str">
        <f ca="1">IFERROR(__xludf.DUMMYFUNCTION("""COMPUTED_VALUE"""),"n/a")</f>
        <v>n/a</v>
      </c>
      <c r="S145" s="2" t="str">
        <f ca="1">IFERROR(__xludf.DUMMYFUNCTION("""COMPUTED_VALUE"""),"in drain")</f>
        <v>in drain</v>
      </c>
      <c r="T145" s="2" t="str">
        <f ca="1">IFERROR(__xludf.DUMMYFUNCTION("""COMPUTED_VALUE"""),"Farmland - Drain")</f>
        <v>Farmland - Drain</v>
      </c>
      <c r="U145" s="2" t="str">
        <f ca="1">IFERROR(__xludf.DUMMYFUNCTION("""COMPUTED_VALUE"""),"Bird very close to dirt road (50 m +/-) in Cutwater canal freshly excavated -  many cattle close by - entered by karl ")</f>
        <v xml:space="preserve">Bird very close to dirt road (50 m +/-) in Cutwater canal freshly excavated -  many cattle close by - entered by karl </v>
      </c>
      <c r="V145" s="2" t="str">
        <f ca="1">IFERROR(__xludf.DUMMYFUNCTION("""COMPUTED_VALUE"""),"")</f>
        <v/>
      </c>
      <c r="W145" s="2" t="str">
        <f ca="1">IFERROR(__xludf.DUMMYFUNCTION("""COMPUTED_VALUE"""),"")</f>
        <v/>
      </c>
      <c r="X145" s="2" t="str">
        <f ca="1">IFERROR(__xludf.DUMMYFUNCTION("""COMPUTED_VALUE"""),"")</f>
        <v/>
      </c>
      <c r="Y145" s="2" t="str">
        <f ca="1">IFERROR(__xludf.DUMMYFUNCTION("""COMPUTED_VALUE"""),"")</f>
        <v/>
      </c>
      <c r="Z145" s="2" t="str">
        <f ca="1">IFERROR(__xludf.DUMMYFUNCTION("""COMPUTED_VALUE"""),"")</f>
        <v/>
      </c>
      <c r="AA145" s="2" t="str">
        <f ca="1">IFERROR(__xludf.DUMMYFUNCTION("""COMPUTED_VALUE"""),"")</f>
        <v/>
      </c>
      <c r="AB145" s="2" t="str">
        <f ca="1">IFERROR(__xludf.DUMMYFUNCTION("""COMPUTED_VALUE"""),"")</f>
        <v/>
      </c>
      <c r="AC145" s="2" t="str">
        <f ca="1">IFERROR(__xludf.DUMMYFUNCTION("""COMPUTED_VALUE"""),"")</f>
        <v/>
      </c>
      <c r="AD145" s="2" t="str">
        <f ca="1">IFERROR(__xludf.DUMMYFUNCTION("""COMPUTED_VALUE"""),"")</f>
        <v/>
      </c>
      <c r="AE145" s="2" t="str">
        <f ca="1">IFERROR(__xludf.DUMMYFUNCTION("""COMPUTED_VALUE"""),"")</f>
        <v/>
      </c>
      <c r="AF145" s="2" t="str">
        <f ca="1">IFERROR(__xludf.DUMMYFUNCTION("""COMPUTED_VALUE"""),"")</f>
        <v/>
      </c>
      <c r="AG145" s="2" t="str">
        <f ca="1">IFERROR(__xludf.DUMMYFUNCTION("""COMPUTED_VALUE"""),"")</f>
        <v/>
      </c>
      <c r="AH145" s="2" t="str">
        <f ca="1">IFERROR(__xludf.DUMMYFUNCTION("""COMPUTED_VALUE"""),"")</f>
        <v/>
      </c>
      <c r="AI145" s="2" t="str">
        <f ca="1">IFERROR(__xludf.DUMMYFUNCTION("""COMPUTED_VALUE"""),"")</f>
        <v/>
      </c>
      <c r="AJ145" s="2" t="str">
        <f ca="1">IFERROR(__xludf.DUMMYFUNCTION("""COMPUTED_VALUE"""),"")</f>
        <v/>
      </c>
      <c r="AK145" s="2" t="str">
        <f ca="1">IFERROR(__xludf.DUMMYFUNCTION("""COMPUTED_VALUE"""),"")</f>
        <v/>
      </c>
      <c r="AL145" s="2" t="str">
        <f ca="1">IFERROR(__xludf.DUMMYFUNCTION("""COMPUTED_VALUE"""),"")</f>
        <v/>
      </c>
      <c r="AM145" s="2" t="str">
        <f ca="1">IFERROR(__xludf.DUMMYFUNCTION("""COMPUTED_VALUE"""),"")</f>
        <v/>
      </c>
      <c r="AN145" s="2" t="str">
        <f ca="1">IFERROR(__xludf.DUMMYFUNCTION("""COMPUTED_VALUE"""),"")</f>
        <v/>
      </c>
      <c r="AO145" s="2" t="str">
        <f ca="1">IFERROR(__xludf.DUMMYFUNCTION("""COMPUTED_VALUE"""),"")</f>
        <v/>
      </c>
      <c r="AP145" s="2" t="str">
        <f ca="1">IFERROR(__xludf.DUMMYFUNCTION("""COMPUTED_VALUE"""),"")</f>
        <v/>
      </c>
      <c r="AQ145" s="2" t="str">
        <f ca="1">IFERROR(__xludf.DUMMYFUNCTION("""COMPUTED_VALUE"""),"")</f>
        <v/>
      </c>
      <c r="AR145" s="2" t="str">
        <f ca="1">IFERROR(__xludf.DUMMYFUNCTION("""COMPUTED_VALUE"""),"")</f>
        <v/>
      </c>
      <c r="AS145" s="2" t="str">
        <f ca="1">IFERROR(__xludf.DUMMYFUNCTION("""COMPUTED_VALUE"""),"")</f>
        <v/>
      </c>
      <c r="AT145" s="2" t="str">
        <f ca="1">IFERROR(__xludf.DUMMYFUNCTION("""COMPUTED_VALUE"""),"")</f>
        <v/>
      </c>
      <c r="AU145" s="2" t="str">
        <f ca="1">IFERROR(__xludf.DUMMYFUNCTION("""COMPUTED_VALUE"""),"")</f>
        <v/>
      </c>
      <c r="AV145" s="2" t="str">
        <f ca="1">IFERROR(__xludf.DUMMYFUNCTION("""COMPUTED_VALUE"""),"")</f>
        <v/>
      </c>
      <c r="AW145" s="2" t="str">
        <f ca="1">IFERROR(__xludf.DUMMYFUNCTION("""COMPUTED_VALUE"""),"")</f>
        <v/>
      </c>
      <c r="AX145" s="2" t="str">
        <f ca="1">IFERROR(__xludf.DUMMYFUNCTION("""COMPUTED_VALUE"""),"")</f>
        <v/>
      </c>
      <c r="AY145" s="2" t="str">
        <f ca="1">IFERROR(__xludf.DUMMYFUNCTION("""COMPUTED_VALUE"""),"")</f>
        <v/>
      </c>
      <c r="AZ145" s="2" t="str">
        <f ca="1">IFERROR(__xludf.DUMMYFUNCTION("""COMPUTED_VALUE"""),"")</f>
        <v/>
      </c>
      <c r="BA145" s="2" t="str">
        <f ca="1">IFERROR(__xludf.DUMMYFUNCTION("""COMPUTED_VALUE"""),"")</f>
        <v/>
      </c>
      <c r="BB145" s="2" t="str">
        <f ca="1">IFERROR(__xludf.DUMMYFUNCTION("""COMPUTED_VALUE"""),"")</f>
        <v/>
      </c>
      <c r="BC145" s="2" t="str">
        <f ca="1">IFERROR(__xludf.DUMMYFUNCTION("""COMPUTED_VALUE"""),"")</f>
        <v/>
      </c>
      <c r="BD145" s="2" t="str">
        <f ca="1">IFERROR(__xludf.DUMMYFUNCTION("""COMPUTED_VALUE"""),"")</f>
        <v/>
      </c>
      <c r="BE145" s="2" t="str">
        <f ca="1">IFERROR(__xludf.DUMMYFUNCTION("""COMPUTED_VALUE"""),"")</f>
        <v/>
      </c>
      <c r="BF145" t="str">
        <f ca="1">IFERROR(__xludf.DUMMYFUNCTION("""COMPUTED_VALUE"""),"")</f>
        <v/>
      </c>
      <c r="BG145" t="str">
        <f ca="1">IFERROR(__xludf.DUMMYFUNCTION("""COMPUTED_VALUE"""),"")</f>
        <v/>
      </c>
      <c r="BH145" t="str">
        <f ca="1">IFERROR(__xludf.DUMMYFUNCTION("""COMPUTED_VALUE"""),"")</f>
        <v/>
      </c>
      <c r="BI145" t="str">
        <f ca="1">IFERROR(__xludf.DUMMYFUNCTION("""COMPUTED_VALUE"""),"")</f>
        <v/>
      </c>
      <c r="BJ145" s="3" t="str">
        <f ca="1">IFERROR(__xludf.DUMMYFUNCTION("""COMPUTED_VALUE"""),"")</f>
        <v/>
      </c>
    </row>
    <row r="146" spans="1:62" ht="12.5" x14ac:dyDescent="0.25">
      <c r="A146" s="6">
        <f ca="1">IFERROR(__xludf.DUMMYFUNCTION("""COMPUTED_VALUE"""),43455.4879682754)</f>
        <v>43455.487968275404</v>
      </c>
      <c r="B146" s="2" t="str">
        <f ca="1">IFERROR(__xludf.DUMMYFUNCTION("""COMPUTED_VALUE"""),"Bay of Plenty")</f>
        <v>Bay of Plenty</v>
      </c>
      <c r="C146" s="2" t="str">
        <f ca="1">IFERROR(__xludf.DUMMYFUNCTION("""COMPUTED_VALUE"""),"Tx 38 - Pearl")</f>
        <v>Tx 38 - Pearl</v>
      </c>
      <c r="D146" s="10">
        <f ca="1">IFERROR(__xludf.DUMMYFUNCTION("""COMPUTED_VALUE"""),42866)</f>
        <v>42866</v>
      </c>
      <c r="E146" s="4">
        <f ca="1">IFERROR(__xludf.DUMMYFUNCTION("""COMPUTED_VALUE"""),0.58333333333212)</f>
        <v>0.58333333333212001</v>
      </c>
      <c r="F146" s="2" t="str">
        <f ca="1">IFERROR(__xludf.DUMMYFUNCTION("""COMPUTED_VALUE"""),"Cutwater road - Paddocks")</f>
        <v>Cutwater road - Paddocks</v>
      </c>
      <c r="G146" s="2" t="str">
        <f ca="1">IFERROR(__xludf.DUMMYFUNCTION("""COMPUTED_VALUE"""),"VHF (close approach): I followed the signal until I got within 50 m of the bird")</f>
        <v>VHF (close approach): I followed the signal until I got within 50 m of the bird</v>
      </c>
      <c r="H146" s="2" t="str">
        <f ca="1">IFERROR(__xludf.DUMMYFUNCTION("""COMPUTED_VALUE"""),"")</f>
        <v/>
      </c>
      <c r="I146" s="2" t="str">
        <f ca="1">IFERROR(__xludf.DUMMYFUNCTION("""COMPUTED_VALUE"""),"")</f>
        <v/>
      </c>
      <c r="J146" s="2" t="str">
        <f ca="1">IFERROR(__xludf.DUMMYFUNCTION("""COMPUTED_VALUE"""),"")</f>
        <v/>
      </c>
      <c r="K146" s="2" t="str">
        <f ca="1">IFERROR(__xludf.DUMMYFUNCTION("""COMPUTED_VALUE"""),"")</f>
        <v/>
      </c>
      <c r="L146" s="2" t="str">
        <f ca="1">IFERROR(__xludf.DUMMYFUNCTION("""COMPUTED_VALUE"""),"No - I got very close to the bird but it was well hidden in the vegetation")</f>
        <v>No - I got very close to the bird but it was well hidden in the vegetation</v>
      </c>
      <c r="M146" s="5">
        <f ca="1">IFERROR(__xludf.DUMMYFUNCTION("""COMPUTED_VALUE"""),1907622)</f>
        <v>1907622</v>
      </c>
      <c r="N146" s="5">
        <f ca="1">IFERROR(__xludf.DUMMYFUNCTION("""COMPUTED_VALUE"""),5812772)</f>
        <v>5812772</v>
      </c>
      <c r="O146" s="2" t="str">
        <f ca="1">IFERROR(__xludf.DUMMYFUNCTION("""COMPUTED_VALUE"""),"")</f>
        <v/>
      </c>
      <c r="P146" s="2" t="str">
        <f ca="1">IFERROR(__xludf.DUMMYFUNCTION("""COMPUTED_VALUE"""),"No")</f>
        <v>No</v>
      </c>
      <c r="Q146" s="2" t="str">
        <f ca="1">IFERROR(__xludf.DUMMYFUNCTION("""COMPUTED_VALUE"""),"Dry")</f>
        <v>Dry</v>
      </c>
      <c r="R146" s="2" t="str">
        <f ca="1">IFERROR(__xludf.DUMMYFUNCTION("""COMPUTED_VALUE"""),"some shallow water/drains throughout")</f>
        <v>some shallow water/drains throughout</v>
      </c>
      <c r="S146" s="2" t="str">
        <f ca="1">IFERROR(__xludf.DUMMYFUNCTION("""COMPUTED_VALUE"""),"see map")</f>
        <v>see map</v>
      </c>
      <c r="T146" s="2" t="str">
        <f ca="1">IFERROR(__xludf.DUMMYFUNCTION("""COMPUTED_VALUE"""),"farmland - rank grass ")</f>
        <v xml:space="preserve">farmland - rank grass </v>
      </c>
      <c r="U146" s="2" t="str">
        <f ca="1">IFERROR(__xludf.DUMMYFUNCTION("""COMPUTED_VALUE"""),"Bird was in a patch of reeds with many shallow drains, surrounded by pasture. We tried but failed to flush her out. NB antenna differences")</f>
        <v>Bird was in a patch of reeds with many shallow drains, surrounded by pasture. We tried but failed to flush her out. NB antenna differences</v>
      </c>
      <c r="V146" s="2" t="str">
        <f ca="1">IFERROR(__xludf.DUMMYFUNCTION("""COMPUTED_VALUE"""),"")</f>
        <v/>
      </c>
      <c r="W146" s="2" t="str">
        <f ca="1">IFERROR(__xludf.DUMMYFUNCTION("""COMPUTED_VALUE"""),"")</f>
        <v/>
      </c>
      <c r="X146" s="2" t="str">
        <f ca="1">IFERROR(__xludf.DUMMYFUNCTION("""COMPUTED_VALUE"""),"")</f>
        <v/>
      </c>
      <c r="Y146" s="2" t="str">
        <f ca="1">IFERROR(__xludf.DUMMYFUNCTION("""COMPUTED_VALUE"""),"")</f>
        <v/>
      </c>
      <c r="Z146" s="2" t="str">
        <f ca="1">IFERROR(__xludf.DUMMYFUNCTION("""COMPUTED_VALUE"""),"")</f>
        <v/>
      </c>
      <c r="AA146" s="2" t="str">
        <f ca="1">IFERROR(__xludf.DUMMYFUNCTION("""COMPUTED_VALUE"""),"")</f>
        <v/>
      </c>
      <c r="AB146" s="2" t="str">
        <f ca="1">IFERROR(__xludf.DUMMYFUNCTION("""COMPUTED_VALUE"""),"")</f>
        <v/>
      </c>
      <c r="AC146" s="2" t="str">
        <f ca="1">IFERROR(__xludf.DUMMYFUNCTION("""COMPUTED_VALUE"""),"")</f>
        <v/>
      </c>
      <c r="AD146" s="2" t="str">
        <f ca="1">IFERROR(__xludf.DUMMYFUNCTION("""COMPUTED_VALUE"""),"")</f>
        <v/>
      </c>
      <c r="AE146" s="2" t="str">
        <f ca="1">IFERROR(__xludf.DUMMYFUNCTION("""COMPUTED_VALUE"""),"")</f>
        <v/>
      </c>
      <c r="AF146" s="2" t="str">
        <f ca="1">IFERROR(__xludf.DUMMYFUNCTION("""COMPUTED_VALUE"""),"")</f>
        <v/>
      </c>
      <c r="AG146" s="2" t="str">
        <f ca="1">IFERROR(__xludf.DUMMYFUNCTION("""COMPUTED_VALUE"""),"")</f>
        <v/>
      </c>
      <c r="AH146" s="2" t="str">
        <f ca="1">IFERROR(__xludf.DUMMYFUNCTION("""COMPUTED_VALUE"""),"")</f>
        <v/>
      </c>
      <c r="AI146" s="2" t="str">
        <f ca="1">IFERROR(__xludf.DUMMYFUNCTION("""COMPUTED_VALUE"""),"")</f>
        <v/>
      </c>
      <c r="AJ146" s="2" t="str">
        <f ca="1">IFERROR(__xludf.DUMMYFUNCTION("""COMPUTED_VALUE"""),"")</f>
        <v/>
      </c>
      <c r="AK146" s="2" t="str">
        <f ca="1">IFERROR(__xludf.DUMMYFUNCTION("""COMPUTED_VALUE"""),"")</f>
        <v/>
      </c>
      <c r="AL146" s="2" t="str">
        <f ca="1">IFERROR(__xludf.DUMMYFUNCTION("""COMPUTED_VALUE"""),"")</f>
        <v/>
      </c>
      <c r="AM146" s="2" t="str">
        <f ca="1">IFERROR(__xludf.DUMMYFUNCTION("""COMPUTED_VALUE"""),"")</f>
        <v/>
      </c>
      <c r="AN146" s="2" t="str">
        <f ca="1">IFERROR(__xludf.DUMMYFUNCTION("""COMPUTED_VALUE"""),"")</f>
        <v/>
      </c>
      <c r="AO146" s="2" t="str">
        <f ca="1">IFERROR(__xludf.DUMMYFUNCTION("""COMPUTED_VALUE"""),"")</f>
        <v/>
      </c>
      <c r="AP146" s="2" t="str">
        <f ca="1">IFERROR(__xludf.DUMMYFUNCTION("""COMPUTED_VALUE"""),"")</f>
        <v/>
      </c>
      <c r="AQ146" s="2" t="str">
        <f ca="1">IFERROR(__xludf.DUMMYFUNCTION("""COMPUTED_VALUE"""),"")</f>
        <v/>
      </c>
      <c r="AR146" s="2" t="str">
        <f ca="1">IFERROR(__xludf.DUMMYFUNCTION("""COMPUTED_VALUE"""),"")</f>
        <v/>
      </c>
      <c r="AS146" s="2" t="str">
        <f ca="1">IFERROR(__xludf.DUMMYFUNCTION("""COMPUTED_VALUE"""),"")</f>
        <v/>
      </c>
      <c r="AT146" s="2" t="str">
        <f ca="1">IFERROR(__xludf.DUMMYFUNCTION("""COMPUTED_VALUE"""),"")</f>
        <v/>
      </c>
      <c r="AU146" s="2" t="str">
        <f ca="1">IFERROR(__xludf.DUMMYFUNCTION("""COMPUTED_VALUE"""),"")</f>
        <v/>
      </c>
      <c r="AV146" s="2" t="str">
        <f ca="1">IFERROR(__xludf.DUMMYFUNCTION("""COMPUTED_VALUE"""),"")</f>
        <v/>
      </c>
      <c r="AW146" s="2" t="str">
        <f ca="1">IFERROR(__xludf.DUMMYFUNCTION("""COMPUTED_VALUE"""),"")</f>
        <v/>
      </c>
      <c r="AX146" s="2" t="str">
        <f ca="1">IFERROR(__xludf.DUMMYFUNCTION("""COMPUTED_VALUE"""),"")</f>
        <v/>
      </c>
      <c r="AY146" s="2" t="str">
        <f ca="1">IFERROR(__xludf.DUMMYFUNCTION("""COMPUTED_VALUE"""),"")</f>
        <v/>
      </c>
      <c r="AZ146" s="2" t="str">
        <f ca="1">IFERROR(__xludf.DUMMYFUNCTION("""COMPUTED_VALUE"""),"")</f>
        <v/>
      </c>
      <c r="BA146" s="2" t="str">
        <f ca="1">IFERROR(__xludf.DUMMYFUNCTION("""COMPUTED_VALUE"""),"")</f>
        <v/>
      </c>
      <c r="BB146" s="2" t="str">
        <f ca="1">IFERROR(__xludf.DUMMYFUNCTION("""COMPUTED_VALUE"""),"")</f>
        <v/>
      </c>
      <c r="BC146" s="2" t="str">
        <f ca="1">IFERROR(__xludf.DUMMYFUNCTION("""COMPUTED_VALUE"""),"")</f>
        <v/>
      </c>
      <c r="BD146" s="2" t="str">
        <f ca="1">IFERROR(__xludf.DUMMYFUNCTION("""COMPUTED_VALUE"""),"")</f>
        <v/>
      </c>
      <c r="BE146" s="2" t="str">
        <f ca="1">IFERROR(__xludf.DUMMYFUNCTION("""COMPUTED_VALUE"""),"")</f>
        <v/>
      </c>
      <c r="BF146" t="str">
        <f ca="1">IFERROR(__xludf.DUMMYFUNCTION("""COMPUTED_VALUE"""),"")</f>
        <v/>
      </c>
      <c r="BG146" t="str">
        <f ca="1">IFERROR(__xludf.DUMMYFUNCTION("""COMPUTED_VALUE"""),"")</f>
        <v/>
      </c>
      <c r="BH146" t="str">
        <f ca="1">IFERROR(__xludf.DUMMYFUNCTION("""COMPUTED_VALUE"""),"")</f>
        <v/>
      </c>
      <c r="BI146" t="str">
        <f ca="1">IFERROR(__xludf.DUMMYFUNCTION("""COMPUTED_VALUE"""),"")</f>
        <v/>
      </c>
      <c r="BJ146" s="3" t="str">
        <f ca="1">IFERROR(__xludf.DUMMYFUNCTION("""COMPUTED_VALUE"""),"")</f>
        <v/>
      </c>
    </row>
    <row r="147" spans="1:62" ht="12.5" x14ac:dyDescent="0.25">
      <c r="A147" s="6">
        <f ca="1">IFERROR(__xludf.DUMMYFUNCTION("""COMPUTED_VALUE"""),43455.4905687731)</f>
        <v>43455.490568773101</v>
      </c>
      <c r="B147" s="2" t="str">
        <f ca="1">IFERROR(__xludf.DUMMYFUNCTION("""COMPUTED_VALUE"""),"Bay of Plenty")</f>
        <v>Bay of Plenty</v>
      </c>
      <c r="C147" s="2" t="str">
        <f ca="1">IFERROR(__xludf.DUMMYFUNCTION("""COMPUTED_VALUE"""),"Tx 38 - Pearl")</f>
        <v>Tx 38 - Pearl</v>
      </c>
      <c r="D147" s="10">
        <f ca="1">IFERROR(__xludf.DUMMYFUNCTION("""COMPUTED_VALUE"""),42882)</f>
        <v>42882</v>
      </c>
      <c r="E147" s="4">
        <f ca="1">IFERROR(__xludf.DUMMYFUNCTION("""COMPUTED_VALUE"""),0.70833333333212)</f>
        <v>0.70833333333212001</v>
      </c>
      <c r="F147" s="2" t="str">
        <f ca="1">IFERROR(__xludf.DUMMYFUNCTION("""COMPUTED_VALUE"""),"Cutwater rd - Paddocks")</f>
        <v>Cutwater rd - Paddocks</v>
      </c>
      <c r="G147" s="2" t="str">
        <f ca="1">IFERROR(__xludf.DUMMYFUNCTION("""COMPUTED_VALUE"""),"VHF (close approach): I followed the signal until I got within 50 m of the bird")</f>
        <v>VHF (close approach): I followed the signal until I got within 50 m of the bird</v>
      </c>
      <c r="H147" s="2" t="str">
        <f ca="1">IFERROR(__xludf.DUMMYFUNCTION("""COMPUTED_VALUE"""),"")</f>
        <v/>
      </c>
      <c r="I147" s="2" t="str">
        <f ca="1">IFERROR(__xludf.DUMMYFUNCTION("""COMPUTED_VALUE"""),"")</f>
        <v/>
      </c>
      <c r="J147" s="2" t="str">
        <f ca="1">IFERROR(__xludf.DUMMYFUNCTION("""COMPUTED_VALUE"""),"")</f>
        <v/>
      </c>
      <c r="K147" s="2" t="str">
        <f ca="1">IFERROR(__xludf.DUMMYFUNCTION("""COMPUTED_VALUE"""),"")</f>
        <v/>
      </c>
      <c r="L147" s="2" t="str">
        <f ca="1">IFERROR(__xludf.DUMMYFUNCTION("""COMPUTED_VALUE"""),"No - I got very close to the bird but it was well hidden in the vegetation")</f>
        <v>No - I got very close to the bird but it was well hidden in the vegetation</v>
      </c>
      <c r="M147" s="5">
        <f ca="1">IFERROR(__xludf.DUMMYFUNCTION("""COMPUTED_VALUE"""),1907613)</f>
        <v>1907613</v>
      </c>
      <c r="N147" s="5">
        <f ca="1">IFERROR(__xludf.DUMMYFUNCTION("""COMPUTED_VALUE"""),5812465)</f>
        <v>5812465</v>
      </c>
      <c r="O147" s="2" t="str">
        <f ca="1">IFERROR(__xludf.DUMMYFUNCTION("""COMPUTED_VALUE"""),"")</f>
        <v/>
      </c>
      <c r="P147" s="2" t="str">
        <f ca="1">IFERROR(__xludf.DUMMYFUNCTION("""COMPUTED_VALUE"""),"Don't know")</f>
        <v>Don't know</v>
      </c>
      <c r="Q147" s="2" t="str">
        <f ca="1">IFERROR(__xludf.DUMMYFUNCTION("""COMPUTED_VALUE"""),"Wet")</f>
        <v>Wet</v>
      </c>
      <c r="R147" s="2" t="str">
        <f ca="1">IFERROR(__xludf.DUMMYFUNCTION("""COMPUTED_VALUE"""),"dotn know - ")</f>
        <v xml:space="preserve">dotn know - </v>
      </c>
      <c r="S147" s="2" t="str">
        <f ca="1">IFERROR(__xludf.DUMMYFUNCTION("""COMPUTED_VALUE"""),"close ")</f>
        <v xml:space="preserve">close </v>
      </c>
      <c r="T147" s="2" t="str">
        <f ca="1">IFERROR(__xludf.DUMMYFUNCTION("""COMPUTED_VALUE"""),"farmland drain ")</f>
        <v xml:space="preserve">farmland drain </v>
      </c>
      <c r="U147" s="2" t="str">
        <f ca="1">IFERROR(__xludf.DUMMYFUNCTION("""COMPUTED_VALUE"""),"raining- entered by karl ")</f>
        <v xml:space="preserve">raining- entered by karl </v>
      </c>
      <c r="V147" s="2" t="str">
        <f ca="1">IFERROR(__xludf.DUMMYFUNCTION("""COMPUTED_VALUE"""),"")</f>
        <v/>
      </c>
      <c r="W147" s="2" t="str">
        <f ca="1">IFERROR(__xludf.DUMMYFUNCTION("""COMPUTED_VALUE"""),"")</f>
        <v/>
      </c>
      <c r="X147" s="2" t="str">
        <f ca="1">IFERROR(__xludf.DUMMYFUNCTION("""COMPUTED_VALUE"""),"")</f>
        <v/>
      </c>
      <c r="Y147" s="2" t="str">
        <f ca="1">IFERROR(__xludf.DUMMYFUNCTION("""COMPUTED_VALUE"""),"")</f>
        <v/>
      </c>
      <c r="Z147" s="2" t="str">
        <f ca="1">IFERROR(__xludf.DUMMYFUNCTION("""COMPUTED_VALUE"""),"")</f>
        <v/>
      </c>
      <c r="AA147" s="2" t="str">
        <f ca="1">IFERROR(__xludf.DUMMYFUNCTION("""COMPUTED_VALUE"""),"")</f>
        <v/>
      </c>
      <c r="AB147" s="2" t="str">
        <f ca="1">IFERROR(__xludf.DUMMYFUNCTION("""COMPUTED_VALUE"""),"")</f>
        <v/>
      </c>
      <c r="AC147" s="2" t="str">
        <f ca="1">IFERROR(__xludf.DUMMYFUNCTION("""COMPUTED_VALUE"""),"")</f>
        <v/>
      </c>
      <c r="AD147" s="2" t="str">
        <f ca="1">IFERROR(__xludf.DUMMYFUNCTION("""COMPUTED_VALUE"""),"")</f>
        <v/>
      </c>
      <c r="AE147" s="2" t="str">
        <f ca="1">IFERROR(__xludf.DUMMYFUNCTION("""COMPUTED_VALUE"""),"")</f>
        <v/>
      </c>
      <c r="AF147" s="2" t="str">
        <f ca="1">IFERROR(__xludf.DUMMYFUNCTION("""COMPUTED_VALUE"""),"")</f>
        <v/>
      </c>
      <c r="AG147" s="2" t="str">
        <f ca="1">IFERROR(__xludf.DUMMYFUNCTION("""COMPUTED_VALUE"""),"")</f>
        <v/>
      </c>
      <c r="AH147" s="2" t="str">
        <f ca="1">IFERROR(__xludf.DUMMYFUNCTION("""COMPUTED_VALUE"""),"")</f>
        <v/>
      </c>
      <c r="AI147" s="2" t="str">
        <f ca="1">IFERROR(__xludf.DUMMYFUNCTION("""COMPUTED_VALUE"""),"")</f>
        <v/>
      </c>
      <c r="AJ147" s="2" t="str">
        <f ca="1">IFERROR(__xludf.DUMMYFUNCTION("""COMPUTED_VALUE"""),"")</f>
        <v/>
      </c>
      <c r="AK147" s="2" t="str">
        <f ca="1">IFERROR(__xludf.DUMMYFUNCTION("""COMPUTED_VALUE"""),"")</f>
        <v/>
      </c>
      <c r="AL147" s="2" t="str">
        <f ca="1">IFERROR(__xludf.DUMMYFUNCTION("""COMPUTED_VALUE"""),"")</f>
        <v/>
      </c>
      <c r="AM147" s="2" t="str">
        <f ca="1">IFERROR(__xludf.DUMMYFUNCTION("""COMPUTED_VALUE"""),"")</f>
        <v/>
      </c>
      <c r="AN147" s="2" t="str">
        <f ca="1">IFERROR(__xludf.DUMMYFUNCTION("""COMPUTED_VALUE"""),"")</f>
        <v/>
      </c>
      <c r="AO147" s="2" t="str">
        <f ca="1">IFERROR(__xludf.DUMMYFUNCTION("""COMPUTED_VALUE"""),"")</f>
        <v/>
      </c>
      <c r="AP147" s="2" t="str">
        <f ca="1">IFERROR(__xludf.DUMMYFUNCTION("""COMPUTED_VALUE"""),"")</f>
        <v/>
      </c>
      <c r="AQ147" s="2" t="str">
        <f ca="1">IFERROR(__xludf.DUMMYFUNCTION("""COMPUTED_VALUE"""),"")</f>
        <v/>
      </c>
      <c r="AR147" s="2" t="str">
        <f ca="1">IFERROR(__xludf.DUMMYFUNCTION("""COMPUTED_VALUE"""),"")</f>
        <v/>
      </c>
      <c r="AS147" s="2" t="str">
        <f ca="1">IFERROR(__xludf.DUMMYFUNCTION("""COMPUTED_VALUE"""),"")</f>
        <v/>
      </c>
      <c r="AT147" s="2" t="str">
        <f ca="1">IFERROR(__xludf.DUMMYFUNCTION("""COMPUTED_VALUE"""),"")</f>
        <v/>
      </c>
      <c r="AU147" s="2" t="str">
        <f ca="1">IFERROR(__xludf.DUMMYFUNCTION("""COMPUTED_VALUE"""),"")</f>
        <v/>
      </c>
      <c r="AV147" s="2" t="str">
        <f ca="1">IFERROR(__xludf.DUMMYFUNCTION("""COMPUTED_VALUE"""),"")</f>
        <v/>
      </c>
      <c r="AW147" s="2" t="str">
        <f ca="1">IFERROR(__xludf.DUMMYFUNCTION("""COMPUTED_VALUE"""),"")</f>
        <v/>
      </c>
      <c r="AX147" s="2" t="str">
        <f ca="1">IFERROR(__xludf.DUMMYFUNCTION("""COMPUTED_VALUE"""),"")</f>
        <v/>
      </c>
      <c r="AY147" s="2" t="str">
        <f ca="1">IFERROR(__xludf.DUMMYFUNCTION("""COMPUTED_VALUE"""),"")</f>
        <v/>
      </c>
      <c r="AZ147" s="2" t="str">
        <f ca="1">IFERROR(__xludf.DUMMYFUNCTION("""COMPUTED_VALUE"""),"")</f>
        <v/>
      </c>
      <c r="BA147" s="2" t="str">
        <f ca="1">IFERROR(__xludf.DUMMYFUNCTION("""COMPUTED_VALUE"""),"")</f>
        <v/>
      </c>
      <c r="BB147" s="2" t="str">
        <f ca="1">IFERROR(__xludf.DUMMYFUNCTION("""COMPUTED_VALUE"""),"")</f>
        <v/>
      </c>
      <c r="BC147" s="2" t="str">
        <f ca="1">IFERROR(__xludf.DUMMYFUNCTION("""COMPUTED_VALUE"""),"")</f>
        <v/>
      </c>
      <c r="BD147" s="2" t="str">
        <f ca="1">IFERROR(__xludf.DUMMYFUNCTION("""COMPUTED_VALUE"""),"")</f>
        <v/>
      </c>
      <c r="BE147" s="2" t="str">
        <f ca="1">IFERROR(__xludf.DUMMYFUNCTION("""COMPUTED_VALUE"""),"")</f>
        <v/>
      </c>
      <c r="BF147" t="str">
        <f ca="1">IFERROR(__xludf.DUMMYFUNCTION("""COMPUTED_VALUE"""),"")</f>
        <v/>
      </c>
      <c r="BG147" t="str">
        <f ca="1">IFERROR(__xludf.DUMMYFUNCTION("""COMPUTED_VALUE"""),"")</f>
        <v/>
      </c>
      <c r="BH147" t="str">
        <f ca="1">IFERROR(__xludf.DUMMYFUNCTION("""COMPUTED_VALUE"""),"")</f>
        <v/>
      </c>
      <c r="BI147" t="str">
        <f ca="1">IFERROR(__xludf.DUMMYFUNCTION("""COMPUTED_VALUE"""),"")</f>
        <v/>
      </c>
      <c r="BJ147" s="3" t="str">
        <f ca="1">IFERROR(__xludf.DUMMYFUNCTION("""COMPUTED_VALUE"""),"")</f>
        <v/>
      </c>
    </row>
    <row r="148" spans="1:62" ht="12.5" x14ac:dyDescent="0.25">
      <c r="A148" s="6">
        <f ca="1">IFERROR(__xludf.DUMMYFUNCTION("""COMPUTED_VALUE"""),43455.4935116319)</f>
        <v>43455.493511631903</v>
      </c>
      <c r="B148" s="2" t="str">
        <f ca="1">IFERROR(__xludf.DUMMYFUNCTION("""COMPUTED_VALUE"""),"Bay of Plenty")</f>
        <v>Bay of Plenty</v>
      </c>
      <c r="C148" s="2" t="str">
        <f ca="1">IFERROR(__xludf.DUMMYFUNCTION("""COMPUTED_VALUE"""),"Tx 38 - Pearl")</f>
        <v>Tx 38 - Pearl</v>
      </c>
      <c r="D148" s="10">
        <f ca="1">IFERROR(__xludf.DUMMYFUNCTION("""COMPUTED_VALUE"""),42905)</f>
        <v>42905</v>
      </c>
      <c r="E148" s="4">
        <f ca="1">IFERROR(__xludf.DUMMYFUNCTION("""COMPUTED_VALUE"""),0.39583333333212)</f>
        <v>0.39583333333212001</v>
      </c>
      <c r="F148" s="2" t="str">
        <f ca="1">IFERROR(__xludf.DUMMYFUNCTION("""COMPUTED_VALUE"""),"Cutwater rd - paddocks")</f>
        <v>Cutwater rd - paddocks</v>
      </c>
      <c r="G148" s="2" t="str">
        <f ca="1">IFERROR(__xludf.DUMMYFUNCTION("""COMPUTED_VALUE"""),"VHF (close approach): I followed the signal until I got within 50 m of the bird")</f>
        <v>VHF (close approach): I followed the signal until I got within 50 m of the bird</v>
      </c>
      <c r="H148" s="2" t="str">
        <f ca="1">IFERROR(__xludf.DUMMYFUNCTION("""COMPUTED_VALUE"""),"")</f>
        <v/>
      </c>
      <c r="I148" s="2" t="str">
        <f ca="1">IFERROR(__xludf.DUMMYFUNCTION("""COMPUTED_VALUE"""),"")</f>
        <v/>
      </c>
      <c r="J148" s="2" t="str">
        <f ca="1">IFERROR(__xludf.DUMMYFUNCTION("""COMPUTED_VALUE"""),"")</f>
        <v/>
      </c>
      <c r="K148" s="2" t="str">
        <f ca="1">IFERROR(__xludf.DUMMYFUNCTION("""COMPUTED_VALUE"""),"")</f>
        <v/>
      </c>
      <c r="L148" s="2" t="str">
        <f ca="1">IFERROR(__xludf.DUMMYFUNCTION("""COMPUTED_VALUE"""),"No - I got very close to the bird but it was well hidden in the vegetation")</f>
        <v>No - I got very close to the bird but it was well hidden in the vegetation</v>
      </c>
      <c r="M148" s="5">
        <f ca="1">IFERROR(__xludf.DUMMYFUNCTION("""COMPUTED_VALUE"""),1907976)</f>
        <v>1907976</v>
      </c>
      <c r="N148" s="5">
        <f ca="1">IFERROR(__xludf.DUMMYFUNCTION("""COMPUTED_VALUE"""),5812359)</f>
        <v>5812359</v>
      </c>
      <c r="O148" s="2" t="str">
        <f ca="1">IFERROR(__xludf.DUMMYFUNCTION("""COMPUTED_VALUE"""),"")</f>
        <v/>
      </c>
      <c r="P148" s="2" t="str">
        <f ca="1">IFERROR(__xludf.DUMMYFUNCTION("""COMPUTED_VALUE"""),"Don't know")</f>
        <v>Don't know</v>
      </c>
      <c r="Q148" s="2" t="str">
        <f ca="1">IFERROR(__xludf.DUMMYFUNCTION("""COMPUTED_VALUE"""),"Don't know")</f>
        <v>Don't know</v>
      </c>
      <c r="R148" s="2" t="str">
        <f ca="1">IFERROR(__xludf.DUMMYFUNCTION("""COMPUTED_VALUE"""),"dotn know")</f>
        <v>dotn know</v>
      </c>
      <c r="S148" s="2" t="str">
        <f ca="1">IFERROR(__xludf.DUMMYFUNCTION("""COMPUTED_VALUE"""),"see map")</f>
        <v>see map</v>
      </c>
      <c r="T148" s="2" t="str">
        <f ca="1">IFERROR(__xludf.DUMMYFUNCTION("""COMPUTED_VALUE"""),"farmland")</f>
        <v>farmland</v>
      </c>
      <c r="U148" s="2" t="str">
        <f ca="1">IFERROR(__xludf.DUMMYFUNCTION("""COMPUTED_VALUE"""),"wams guess - Weak signal audible from my house - entered by karl")</f>
        <v>wams guess - Weak signal audible from my house - entered by karl</v>
      </c>
      <c r="V148" s="2" t="str">
        <f ca="1">IFERROR(__xludf.DUMMYFUNCTION("""COMPUTED_VALUE"""),"")</f>
        <v/>
      </c>
      <c r="W148" s="2" t="str">
        <f ca="1">IFERROR(__xludf.DUMMYFUNCTION("""COMPUTED_VALUE"""),"")</f>
        <v/>
      </c>
      <c r="X148" s="2" t="str">
        <f ca="1">IFERROR(__xludf.DUMMYFUNCTION("""COMPUTED_VALUE"""),"")</f>
        <v/>
      </c>
      <c r="Y148" s="2" t="str">
        <f ca="1">IFERROR(__xludf.DUMMYFUNCTION("""COMPUTED_VALUE"""),"")</f>
        <v/>
      </c>
      <c r="Z148" s="2" t="str">
        <f ca="1">IFERROR(__xludf.DUMMYFUNCTION("""COMPUTED_VALUE"""),"")</f>
        <v/>
      </c>
      <c r="AA148" s="2" t="str">
        <f ca="1">IFERROR(__xludf.DUMMYFUNCTION("""COMPUTED_VALUE"""),"")</f>
        <v/>
      </c>
      <c r="AB148" s="2" t="str">
        <f ca="1">IFERROR(__xludf.DUMMYFUNCTION("""COMPUTED_VALUE"""),"")</f>
        <v/>
      </c>
      <c r="AC148" s="2" t="str">
        <f ca="1">IFERROR(__xludf.DUMMYFUNCTION("""COMPUTED_VALUE"""),"")</f>
        <v/>
      </c>
      <c r="AD148" s="2" t="str">
        <f ca="1">IFERROR(__xludf.DUMMYFUNCTION("""COMPUTED_VALUE"""),"")</f>
        <v/>
      </c>
      <c r="AE148" s="2" t="str">
        <f ca="1">IFERROR(__xludf.DUMMYFUNCTION("""COMPUTED_VALUE"""),"")</f>
        <v/>
      </c>
      <c r="AF148" s="2" t="str">
        <f ca="1">IFERROR(__xludf.DUMMYFUNCTION("""COMPUTED_VALUE"""),"")</f>
        <v/>
      </c>
      <c r="AG148" s="2" t="str">
        <f ca="1">IFERROR(__xludf.DUMMYFUNCTION("""COMPUTED_VALUE"""),"")</f>
        <v/>
      </c>
      <c r="AH148" s="2" t="str">
        <f ca="1">IFERROR(__xludf.DUMMYFUNCTION("""COMPUTED_VALUE"""),"")</f>
        <v/>
      </c>
      <c r="AI148" s="2" t="str">
        <f ca="1">IFERROR(__xludf.DUMMYFUNCTION("""COMPUTED_VALUE"""),"")</f>
        <v/>
      </c>
      <c r="AJ148" s="2" t="str">
        <f ca="1">IFERROR(__xludf.DUMMYFUNCTION("""COMPUTED_VALUE"""),"")</f>
        <v/>
      </c>
      <c r="AK148" s="2" t="str">
        <f ca="1">IFERROR(__xludf.DUMMYFUNCTION("""COMPUTED_VALUE"""),"")</f>
        <v/>
      </c>
      <c r="AL148" s="2" t="str">
        <f ca="1">IFERROR(__xludf.DUMMYFUNCTION("""COMPUTED_VALUE"""),"")</f>
        <v/>
      </c>
      <c r="AM148" s="2" t="str">
        <f ca="1">IFERROR(__xludf.DUMMYFUNCTION("""COMPUTED_VALUE"""),"")</f>
        <v/>
      </c>
      <c r="AN148" s="2" t="str">
        <f ca="1">IFERROR(__xludf.DUMMYFUNCTION("""COMPUTED_VALUE"""),"")</f>
        <v/>
      </c>
      <c r="AO148" s="2" t="str">
        <f ca="1">IFERROR(__xludf.DUMMYFUNCTION("""COMPUTED_VALUE"""),"")</f>
        <v/>
      </c>
      <c r="AP148" s="2" t="str">
        <f ca="1">IFERROR(__xludf.DUMMYFUNCTION("""COMPUTED_VALUE"""),"")</f>
        <v/>
      </c>
      <c r="AQ148" s="2" t="str">
        <f ca="1">IFERROR(__xludf.DUMMYFUNCTION("""COMPUTED_VALUE"""),"")</f>
        <v/>
      </c>
      <c r="AR148" s="2" t="str">
        <f ca="1">IFERROR(__xludf.DUMMYFUNCTION("""COMPUTED_VALUE"""),"")</f>
        <v/>
      </c>
      <c r="AS148" s="2" t="str">
        <f ca="1">IFERROR(__xludf.DUMMYFUNCTION("""COMPUTED_VALUE"""),"")</f>
        <v/>
      </c>
      <c r="AT148" s="2" t="str">
        <f ca="1">IFERROR(__xludf.DUMMYFUNCTION("""COMPUTED_VALUE"""),"")</f>
        <v/>
      </c>
      <c r="AU148" s="2" t="str">
        <f ca="1">IFERROR(__xludf.DUMMYFUNCTION("""COMPUTED_VALUE"""),"")</f>
        <v/>
      </c>
      <c r="AV148" s="2" t="str">
        <f ca="1">IFERROR(__xludf.DUMMYFUNCTION("""COMPUTED_VALUE"""),"")</f>
        <v/>
      </c>
      <c r="AW148" s="2" t="str">
        <f ca="1">IFERROR(__xludf.DUMMYFUNCTION("""COMPUTED_VALUE"""),"")</f>
        <v/>
      </c>
      <c r="AX148" s="2" t="str">
        <f ca="1">IFERROR(__xludf.DUMMYFUNCTION("""COMPUTED_VALUE"""),"")</f>
        <v/>
      </c>
      <c r="AY148" s="2" t="str">
        <f ca="1">IFERROR(__xludf.DUMMYFUNCTION("""COMPUTED_VALUE"""),"")</f>
        <v/>
      </c>
      <c r="AZ148" s="2" t="str">
        <f ca="1">IFERROR(__xludf.DUMMYFUNCTION("""COMPUTED_VALUE"""),"")</f>
        <v/>
      </c>
      <c r="BA148" s="2" t="str">
        <f ca="1">IFERROR(__xludf.DUMMYFUNCTION("""COMPUTED_VALUE"""),"")</f>
        <v/>
      </c>
      <c r="BB148" s="2" t="str">
        <f ca="1">IFERROR(__xludf.DUMMYFUNCTION("""COMPUTED_VALUE"""),"")</f>
        <v/>
      </c>
      <c r="BC148" s="2" t="str">
        <f ca="1">IFERROR(__xludf.DUMMYFUNCTION("""COMPUTED_VALUE"""),"")</f>
        <v/>
      </c>
      <c r="BD148" s="2" t="str">
        <f ca="1">IFERROR(__xludf.DUMMYFUNCTION("""COMPUTED_VALUE"""),"")</f>
        <v/>
      </c>
      <c r="BE148" s="2" t="str">
        <f ca="1">IFERROR(__xludf.DUMMYFUNCTION("""COMPUTED_VALUE"""),"")</f>
        <v/>
      </c>
      <c r="BF148" t="str">
        <f ca="1">IFERROR(__xludf.DUMMYFUNCTION("""COMPUTED_VALUE"""),"")</f>
        <v/>
      </c>
      <c r="BG148" t="str">
        <f ca="1">IFERROR(__xludf.DUMMYFUNCTION("""COMPUTED_VALUE"""),"")</f>
        <v/>
      </c>
      <c r="BH148" t="str">
        <f ca="1">IFERROR(__xludf.DUMMYFUNCTION("""COMPUTED_VALUE"""),"")</f>
        <v/>
      </c>
      <c r="BI148" t="str">
        <f ca="1">IFERROR(__xludf.DUMMYFUNCTION("""COMPUTED_VALUE"""),"")</f>
        <v/>
      </c>
      <c r="BJ148" s="3" t="str">
        <f ca="1">IFERROR(__xludf.DUMMYFUNCTION("""COMPUTED_VALUE"""),"")</f>
        <v/>
      </c>
    </row>
    <row r="149" spans="1:62" ht="12.5" x14ac:dyDescent="0.25">
      <c r="A149" s="6">
        <f ca="1">IFERROR(__xludf.DUMMYFUNCTION("""COMPUTED_VALUE"""),43455.4963863193)</f>
        <v>43455.496386319297</v>
      </c>
      <c r="B149" s="2" t="str">
        <f ca="1">IFERROR(__xludf.DUMMYFUNCTION("""COMPUTED_VALUE"""),"Bay of Plenty")</f>
        <v>Bay of Plenty</v>
      </c>
      <c r="C149" s="2" t="str">
        <f ca="1">IFERROR(__xludf.DUMMYFUNCTION("""COMPUTED_VALUE"""),"Tx 38 - Pearl")</f>
        <v>Tx 38 - Pearl</v>
      </c>
      <c r="D149" s="10">
        <f ca="1">IFERROR(__xludf.DUMMYFUNCTION("""COMPUTED_VALUE"""),42923)</f>
        <v>42923</v>
      </c>
      <c r="E149" s="4">
        <f ca="1">IFERROR(__xludf.DUMMYFUNCTION("""COMPUTED_VALUE"""),0.58333333333212)</f>
        <v>0.58333333333212001</v>
      </c>
      <c r="F149" s="2" t="str">
        <f ca="1">IFERROR(__xludf.DUMMYFUNCTION("""COMPUTED_VALUE"""),"Cutwater rd - paddocks")</f>
        <v>Cutwater rd - paddocks</v>
      </c>
      <c r="G149" s="2" t="str">
        <f ca="1">IFERROR(__xludf.DUMMYFUNCTION("""COMPUTED_VALUE"""),"VHF (close approach): I followed the signal until I got within 50 m of the bird")</f>
        <v>VHF (close approach): I followed the signal until I got within 50 m of the bird</v>
      </c>
      <c r="H149" s="2" t="str">
        <f ca="1">IFERROR(__xludf.DUMMYFUNCTION("""COMPUTED_VALUE"""),"")</f>
        <v/>
      </c>
      <c r="I149" s="2" t="str">
        <f ca="1">IFERROR(__xludf.DUMMYFUNCTION("""COMPUTED_VALUE"""),"")</f>
        <v/>
      </c>
      <c r="J149" s="2" t="str">
        <f ca="1">IFERROR(__xludf.DUMMYFUNCTION("""COMPUTED_VALUE"""),"")</f>
        <v/>
      </c>
      <c r="K149" s="2" t="str">
        <f ca="1">IFERROR(__xludf.DUMMYFUNCTION("""COMPUTED_VALUE"""),"")</f>
        <v/>
      </c>
      <c r="L149" s="2" t="str">
        <f ca="1">IFERROR(__xludf.DUMMYFUNCTION("""COMPUTED_VALUE"""),"No - I got very close to the bird but it was well hidden in the vegetation")</f>
        <v>No - I got very close to the bird but it was well hidden in the vegetation</v>
      </c>
      <c r="M149" s="5">
        <f ca="1">IFERROR(__xludf.DUMMYFUNCTION("""COMPUTED_VALUE"""),1907822)</f>
        <v>1907822</v>
      </c>
      <c r="N149" s="5">
        <f ca="1">IFERROR(__xludf.DUMMYFUNCTION("""COMPUTED_VALUE"""),5812170)</f>
        <v>5812170</v>
      </c>
      <c r="O149" s="2" t="str">
        <f ca="1">IFERROR(__xludf.DUMMYFUNCTION("""COMPUTED_VALUE"""),"")</f>
        <v/>
      </c>
      <c r="P149" s="2" t="str">
        <f ca="1">IFERROR(__xludf.DUMMYFUNCTION("""COMPUTED_VALUE"""),"Yes")</f>
        <v>Yes</v>
      </c>
      <c r="Q149" s="2" t="str">
        <f ca="1">IFERROR(__xludf.DUMMYFUNCTION("""COMPUTED_VALUE"""),"Don't know")</f>
        <v>Don't know</v>
      </c>
      <c r="R149" s="2" t="str">
        <f ca="1">IFERROR(__xludf.DUMMYFUNCTION("""COMPUTED_VALUE"""),"dont know")</f>
        <v>dont know</v>
      </c>
      <c r="S149" s="2" t="str">
        <f ca="1">IFERROR(__xludf.DUMMYFUNCTION("""COMPUTED_VALUE"""),"dont know")</f>
        <v>dont know</v>
      </c>
      <c r="T149" s="2" t="str">
        <f ca="1">IFERROR(__xludf.DUMMYFUNCTION("""COMPUTED_VALUE"""),"farmland ")</f>
        <v xml:space="preserve">farmland </v>
      </c>
      <c r="U149" s="2" t="str">
        <f ca="1">IFERROR(__xludf.DUMMYFUNCTION("""COMPUTED_VALUE"""),"strong signal - entered by karl ")</f>
        <v xml:space="preserve">strong signal - entered by karl </v>
      </c>
      <c r="V149" s="2" t="str">
        <f ca="1">IFERROR(__xludf.DUMMYFUNCTION("""COMPUTED_VALUE"""),"")</f>
        <v/>
      </c>
      <c r="W149" s="2" t="str">
        <f ca="1">IFERROR(__xludf.DUMMYFUNCTION("""COMPUTED_VALUE"""),"")</f>
        <v/>
      </c>
      <c r="X149" s="2" t="str">
        <f ca="1">IFERROR(__xludf.DUMMYFUNCTION("""COMPUTED_VALUE"""),"")</f>
        <v/>
      </c>
      <c r="Y149" s="2" t="str">
        <f ca="1">IFERROR(__xludf.DUMMYFUNCTION("""COMPUTED_VALUE"""),"")</f>
        <v/>
      </c>
      <c r="Z149" s="2" t="str">
        <f ca="1">IFERROR(__xludf.DUMMYFUNCTION("""COMPUTED_VALUE"""),"")</f>
        <v/>
      </c>
      <c r="AA149" s="2" t="str">
        <f ca="1">IFERROR(__xludf.DUMMYFUNCTION("""COMPUTED_VALUE"""),"")</f>
        <v/>
      </c>
      <c r="AB149" s="2" t="str">
        <f ca="1">IFERROR(__xludf.DUMMYFUNCTION("""COMPUTED_VALUE"""),"")</f>
        <v/>
      </c>
      <c r="AC149" s="2" t="str">
        <f ca="1">IFERROR(__xludf.DUMMYFUNCTION("""COMPUTED_VALUE"""),"")</f>
        <v/>
      </c>
      <c r="AD149" s="2" t="str">
        <f ca="1">IFERROR(__xludf.DUMMYFUNCTION("""COMPUTED_VALUE"""),"")</f>
        <v/>
      </c>
      <c r="AE149" s="2" t="str">
        <f ca="1">IFERROR(__xludf.DUMMYFUNCTION("""COMPUTED_VALUE"""),"")</f>
        <v/>
      </c>
      <c r="AF149" s="2" t="str">
        <f ca="1">IFERROR(__xludf.DUMMYFUNCTION("""COMPUTED_VALUE"""),"")</f>
        <v/>
      </c>
      <c r="AG149" s="2" t="str">
        <f ca="1">IFERROR(__xludf.DUMMYFUNCTION("""COMPUTED_VALUE"""),"")</f>
        <v/>
      </c>
      <c r="AH149" s="2" t="str">
        <f ca="1">IFERROR(__xludf.DUMMYFUNCTION("""COMPUTED_VALUE"""),"")</f>
        <v/>
      </c>
      <c r="AI149" s="2" t="str">
        <f ca="1">IFERROR(__xludf.DUMMYFUNCTION("""COMPUTED_VALUE"""),"")</f>
        <v/>
      </c>
      <c r="AJ149" s="2" t="str">
        <f ca="1">IFERROR(__xludf.DUMMYFUNCTION("""COMPUTED_VALUE"""),"")</f>
        <v/>
      </c>
      <c r="AK149" s="2" t="str">
        <f ca="1">IFERROR(__xludf.DUMMYFUNCTION("""COMPUTED_VALUE"""),"")</f>
        <v/>
      </c>
      <c r="AL149" s="2" t="str">
        <f ca="1">IFERROR(__xludf.DUMMYFUNCTION("""COMPUTED_VALUE"""),"")</f>
        <v/>
      </c>
      <c r="AM149" s="2" t="str">
        <f ca="1">IFERROR(__xludf.DUMMYFUNCTION("""COMPUTED_VALUE"""),"")</f>
        <v/>
      </c>
      <c r="AN149" s="2" t="str">
        <f ca="1">IFERROR(__xludf.DUMMYFUNCTION("""COMPUTED_VALUE"""),"")</f>
        <v/>
      </c>
      <c r="AO149" s="2" t="str">
        <f ca="1">IFERROR(__xludf.DUMMYFUNCTION("""COMPUTED_VALUE"""),"")</f>
        <v/>
      </c>
      <c r="AP149" s="2" t="str">
        <f ca="1">IFERROR(__xludf.DUMMYFUNCTION("""COMPUTED_VALUE"""),"")</f>
        <v/>
      </c>
      <c r="AQ149" s="2" t="str">
        <f ca="1">IFERROR(__xludf.DUMMYFUNCTION("""COMPUTED_VALUE"""),"")</f>
        <v/>
      </c>
      <c r="AR149" s="2" t="str">
        <f ca="1">IFERROR(__xludf.DUMMYFUNCTION("""COMPUTED_VALUE"""),"")</f>
        <v/>
      </c>
      <c r="AS149" s="2" t="str">
        <f ca="1">IFERROR(__xludf.DUMMYFUNCTION("""COMPUTED_VALUE"""),"")</f>
        <v/>
      </c>
      <c r="AT149" s="2" t="str">
        <f ca="1">IFERROR(__xludf.DUMMYFUNCTION("""COMPUTED_VALUE"""),"")</f>
        <v/>
      </c>
      <c r="AU149" s="2" t="str">
        <f ca="1">IFERROR(__xludf.DUMMYFUNCTION("""COMPUTED_VALUE"""),"")</f>
        <v/>
      </c>
      <c r="AV149" s="2" t="str">
        <f ca="1">IFERROR(__xludf.DUMMYFUNCTION("""COMPUTED_VALUE"""),"")</f>
        <v/>
      </c>
      <c r="AW149" s="2" t="str">
        <f ca="1">IFERROR(__xludf.DUMMYFUNCTION("""COMPUTED_VALUE"""),"")</f>
        <v/>
      </c>
      <c r="AX149" s="2" t="str">
        <f ca="1">IFERROR(__xludf.DUMMYFUNCTION("""COMPUTED_VALUE"""),"")</f>
        <v/>
      </c>
      <c r="AY149" s="2" t="str">
        <f ca="1">IFERROR(__xludf.DUMMYFUNCTION("""COMPUTED_VALUE"""),"")</f>
        <v/>
      </c>
      <c r="AZ149" s="2" t="str">
        <f ca="1">IFERROR(__xludf.DUMMYFUNCTION("""COMPUTED_VALUE"""),"")</f>
        <v/>
      </c>
      <c r="BA149" s="2" t="str">
        <f ca="1">IFERROR(__xludf.DUMMYFUNCTION("""COMPUTED_VALUE"""),"")</f>
        <v/>
      </c>
      <c r="BB149" s="2" t="str">
        <f ca="1">IFERROR(__xludf.DUMMYFUNCTION("""COMPUTED_VALUE"""),"")</f>
        <v/>
      </c>
      <c r="BC149" s="2" t="str">
        <f ca="1">IFERROR(__xludf.DUMMYFUNCTION("""COMPUTED_VALUE"""),"")</f>
        <v/>
      </c>
      <c r="BD149" s="2" t="str">
        <f ca="1">IFERROR(__xludf.DUMMYFUNCTION("""COMPUTED_VALUE"""),"")</f>
        <v/>
      </c>
      <c r="BE149" s="2" t="str">
        <f ca="1">IFERROR(__xludf.DUMMYFUNCTION("""COMPUTED_VALUE"""),"")</f>
        <v/>
      </c>
      <c r="BF149" t="str">
        <f ca="1">IFERROR(__xludf.DUMMYFUNCTION("""COMPUTED_VALUE"""),"")</f>
        <v/>
      </c>
      <c r="BG149" t="str">
        <f ca="1">IFERROR(__xludf.DUMMYFUNCTION("""COMPUTED_VALUE"""),"")</f>
        <v/>
      </c>
      <c r="BH149" t="str">
        <f ca="1">IFERROR(__xludf.DUMMYFUNCTION("""COMPUTED_VALUE"""),"")</f>
        <v/>
      </c>
      <c r="BI149" t="str">
        <f ca="1">IFERROR(__xludf.DUMMYFUNCTION("""COMPUTED_VALUE"""),"")</f>
        <v/>
      </c>
      <c r="BJ149" s="3" t="str">
        <f ca="1">IFERROR(__xludf.DUMMYFUNCTION("""COMPUTED_VALUE"""),"")</f>
        <v/>
      </c>
    </row>
    <row r="150" spans="1:62" ht="12.5" x14ac:dyDescent="0.25">
      <c r="A150" s="6">
        <f ca="1">IFERROR(__xludf.DUMMYFUNCTION("""COMPUTED_VALUE"""),43455.5000344213)</f>
        <v>43455.500034421297</v>
      </c>
      <c r="B150" s="2" t="str">
        <f ca="1">IFERROR(__xludf.DUMMYFUNCTION("""COMPUTED_VALUE"""),"Bay of Plenty")</f>
        <v>Bay of Plenty</v>
      </c>
      <c r="C150" s="2" t="str">
        <f ca="1">IFERROR(__xludf.DUMMYFUNCTION("""COMPUTED_VALUE"""),"Tx 38 - Pearl")</f>
        <v>Tx 38 - Pearl</v>
      </c>
      <c r="D150" s="10">
        <f ca="1">IFERROR(__xludf.DUMMYFUNCTION("""COMPUTED_VALUE"""),42941)</f>
        <v>42941</v>
      </c>
      <c r="E150" s="4">
        <f ca="1">IFERROR(__xludf.DUMMYFUNCTION("""COMPUTED_VALUE"""),0.5625)</f>
        <v>0.5625</v>
      </c>
      <c r="F150" s="2" t="str">
        <f ca="1">IFERROR(__xludf.DUMMYFUNCTION("""COMPUTED_VALUE"""),"Cutwater rd - Paddocks")</f>
        <v>Cutwater rd - Paddocks</v>
      </c>
      <c r="G150" s="2" t="str">
        <f ca="1">IFERROR(__xludf.DUMMYFUNCTION("""COMPUTED_VALUE"""),"VHF (close approach): I followed the signal until I got within 50 m of the bird")</f>
        <v>VHF (close approach): I followed the signal until I got within 50 m of the bird</v>
      </c>
      <c r="H150" s="2" t="str">
        <f ca="1">IFERROR(__xludf.DUMMYFUNCTION("""COMPUTED_VALUE"""),"")</f>
        <v/>
      </c>
      <c r="I150" s="2" t="str">
        <f ca="1">IFERROR(__xludf.DUMMYFUNCTION("""COMPUTED_VALUE"""),"")</f>
        <v/>
      </c>
      <c r="J150" s="2" t="str">
        <f ca="1">IFERROR(__xludf.DUMMYFUNCTION("""COMPUTED_VALUE"""),"")</f>
        <v/>
      </c>
      <c r="K150" s="2" t="str">
        <f ca="1">IFERROR(__xludf.DUMMYFUNCTION("""COMPUTED_VALUE"""),"")</f>
        <v/>
      </c>
      <c r="L150" s="2" t="str">
        <f ca="1">IFERROR(__xludf.DUMMYFUNCTION("""COMPUTED_VALUE"""),"No - I got very close to the bird but it was well hidden in the vegetation")</f>
        <v>No - I got very close to the bird but it was well hidden in the vegetation</v>
      </c>
      <c r="M150" s="5">
        <f ca="1">IFERROR(__xludf.DUMMYFUNCTION("""COMPUTED_VALUE"""),1907777)</f>
        <v>1907777</v>
      </c>
      <c r="N150" s="5">
        <f ca="1">IFERROR(__xludf.DUMMYFUNCTION("""COMPUTED_VALUE"""),5812549)</f>
        <v>5812549</v>
      </c>
      <c r="O150" s="2" t="str">
        <f ca="1">IFERROR(__xludf.DUMMYFUNCTION("""COMPUTED_VALUE"""),"")</f>
        <v/>
      </c>
      <c r="P150" s="2" t="str">
        <f ca="1">IFERROR(__xludf.DUMMYFUNCTION("""COMPUTED_VALUE"""),"No")</f>
        <v>No</v>
      </c>
      <c r="Q150" s="2" t="str">
        <f ca="1">IFERROR(__xludf.DUMMYFUNCTION("""COMPUTED_VALUE"""),"Don't know")</f>
        <v>Don't know</v>
      </c>
      <c r="R150" s="2" t="str">
        <f ca="1">IFERROR(__xludf.DUMMYFUNCTION("""COMPUTED_VALUE"""),"dont know - area wet with surface flooding from previous rain")</f>
        <v>dont know - area wet with surface flooding from previous rain</v>
      </c>
      <c r="S150" s="2" t="str">
        <f ca="1">IFERROR(__xludf.DUMMYFUNCTION("""COMPUTED_VALUE"""),"dont know")</f>
        <v>dont know</v>
      </c>
      <c r="T150" s="2" t="str">
        <f ca="1">IFERROR(__xludf.DUMMYFUNCTION("""COMPUTED_VALUE"""),"farmland")</f>
        <v>farmland</v>
      </c>
      <c r="U150" s="2" t="str">
        <f ca="1">IFERROR(__xludf.DUMMYFUNCTION("""COMPUTED_VALUE"""),"Padocks on west of cutwater rd all heavily grazed = little/no cover. Appeared to be beyond corner rank grass padock (E side) in area surrounded in heavily grazed paddocks. ")</f>
        <v xml:space="preserve">Padocks on west of cutwater rd all heavily grazed = little/no cover. Appeared to be beyond corner rank grass padock (E side) in area surrounded in heavily grazed paddocks. </v>
      </c>
      <c r="V150" s="2" t="str">
        <f ca="1">IFERROR(__xludf.DUMMYFUNCTION("""COMPUTED_VALUE"""),"")</f>
        <v/>
      </c>
      <c r="W150" s="2" t="str">
        <f ca="1">IFERROR(__xludf.DUMMYFUNCTION("""COMPUTED_VALUE"""),"")</f>
        <v/>
      </c>
      <c r="X150" s="2" t="str">
        <f ca="1">IFERROR(__xludf.DUMMYFUNCTION("""COMPUTED_VALUE"""),"")</f>
        <v/>
      </c>
      <c r="Y150" s="2" t="str">
        <f ca="1">IFERROR(__xludf.DUMMYFUNCTION("""COMPUTED_VALUE"""),"")</f>
        <v/>
      </c>
      <c r="Z150" s="2" t="str">
        <f ca="1">IFERROR(__xludf.DUMMYFUNCTION("""COMPUTED_VALUE"""),"")</f>
        <v/>
      </c>
      <c r="AA150" s="2" t="str">
        <f ca="1">IFERROR(__xludf.DUMMYFUNCTION("""COMPUTED_VALUE"""),"")</f>
        <v/>
      </c>
      <c r="AB150" s="2" t="str">
        <f ca="1">IFERROR(__xludf.DUMMYFUNCTION("""COMPUTED_VALUE"""),"")</f>
        <v/>
      </c>
      <c r="AC150" s="2" t="str">
        <f ca="1">IFERROR(__xludf.DUMMYFUNCTION("""COMPUTED_VALUE"""),"")</f>
        <v/>
      </c>
      <c r="AD150" s="2" t="str">
        <f ca="1">IFERROR(__xludf.DUMMYFUNCTION("""COMPUTED_VALUE"""),"")</f>
        <v/>
      </c>
      <c r="AE150" s="2" t="str">
        <f ca="1">IFERROR(__xludf.DUMMYFUNCTION("""COMPUTED_VALUE"""),"")</f>
        <v/>
      </c>
      <c r="AF150" s="2" t="str">
        <f ca="1">IFERROR(__xludf.DUMMYFUNCTION("""COMPUTED_VALUE"""),"")</f>
        <v/>
      </c>
      <c r="AG150" s="2" t="str">
        <f ca="1">IFERROR(__xludf.DUMMYFUNCTION("""COMPUTED_VALUE"""),"")</f>
        <v/>
      </c>
      <c r="AH150" s="2" t="str">
        <f ca="1">IFERROR(__xludf.DUMMYFUNCTION("""COMPUTED_VALUE"""),"")</f>
        <v/>
      </c>
      <c r="AI150" s="2" t="str">
        <f ca="1">IFERROR(__xludf.DUMMYFUNCTION("""COMPUTED_VALUE"""),"")</f>
        <v/>
      </c>
      <c r="AJ150" s="2" t="str">
        <f ca="1">IFERROR(__xludf.DUMMYFUNCTION("""COMPUTED_VALUE"""),"")</f>
        <v/>
      </c>
      <c r="AK150" s="2" t="str">
        <f ca="1">IFERROR(__xludf.DUMMYFUNCTION("""COMPUTED_VALUE"""),"")</f>
        <v/>
      </c>
      <c r="AL150" s="2" t="str">
        <f ca="1">IFERROR(__xludf.DUMMYFUNCTION("""COMPUTED_VALUE"""),"")</f>
        <v/>
      </c>
      <c r="AM150" s="2" t="str">
        <f ca="1">IFERROR(__xludf.DUMMYFUNCTION("""COMPUTED_VALUE"""),"")</f>
        <v/>
      </c>
      <c r="AN150" s="2" t="str">
        <f ca="1">IFERROR(__xludf.DUMMYFUNCTION("""COMPUTED_VALUE"""),"")</f>
        <v/>
      </c>
      <c r="AO150" s="2" t="str">
        <f ca="1">IFERROR(__xludf.DUMMYFUNCTION("""COMPUTED_VALUE"""),"")</f>
        <v/>
      </c>
      <c r="AP150" s="2" t="str">
        <f ca="1">IFERROR(__xludf.DUMMYFUNCTION("""COMPUTED_VALUE"""),"")</f>
        <v/>
      </c>
      <c r="AQ150" s="2" t="str">
        <f ca="1">IFERROR(__xludf.DUMMYFUNCTION("""COMPUTED_VALUE"""),"")</f>
        <v/>
      </c>
      <c r="AR150" s="2" t="str">
        <f ca="1">IFERROR(__xludf.DUMMYFUNCTION("""COMPUTED_VALUE"""),"")</f>
        <v/>
      </c>
      <c r="AS150" s="2" t="str">
        <f ca="1">IFERROR(__xludf.DUMMYFUNCTION("""COMPUTED_VALUE"""),"")</f>
        <v/>
      </c>
      <c r="AT150" s="2" t="str">
        <f ca="1">IFERROR(__xludf.DUMMYFUNCTION("""COMPUTED_VALUE"""),"")</f>
        <v/>
      </c>
      <c r="AU150" s="2" t="str">
        <f ca="1">IFERROR(__xludf.DUMMYFUNCTION("""COMPUTED_VALUE"""),"")</f>
        <v/>
      </c>
      <c r="AV150" s="2" t="str">
        <f ca="1">IFERROR(__xludf.DUMMYFUNCTION("""COMPUTED_VALUE"""),"")</f>
        <v/>
      </c>
      <c r="AW150" s="2" t="str">
        <f ca="1">IFERROR(__xludf.DUMMYFUNCTION("""COMPUTED_VALUE"""),"")</f>
        <v/>
      </c>
      <c r="AX150" s="2" t="str">
        <f ca="1">IFERROR(__xludf.DUMMYFUNCTION("""COMPUTED_VALUE"""),"")</f>
        <v/>
      </c>
      <c r="AY150" s="2" t="str">
        <f ca="1">IFERROR(__xludf.DUMMYFUNCTION("""COMPUTED_VALUE"""),"")</f>
        <v/>
      </c>
      <c r="AZ150" s="2" t="str">
        <f ca="1">IFERROR(__xludf.DUMMYFUNCTION("""COMPUTED_VALUE"""),"")</f>
        <v/>
      </c>
      <c r="BA150" s="2" t="str">
        <f ca="1">IFERROR(__xludf.DUMMYFUNCTION("""COMPUTED_VALUE"""),"")</f>
        <v/>
      </c>
      <c r="BB150" s="2" t="str">
        <f ca="1">IFERROR(__xludf.DUMMYFUNCTION("""COMPUTED_VALUE"""),"")</f>
        <v/>
      </c>
      <c r="BC150" s="2" t="str">
        <f ca="1">IFERROR(__xludf.DUMMYFUNCTION("""COMPUTED_VALUE"""),"")</f>
        <v/>
      </c>
      <c r="BD150" s="2" t="str">
        <f ca="1">IFERROR(__xludf.DUMMYFUNCTION("""COMPUTED_VALUE"""),"")</f>
        <v/>
      </c>
      <c r="BE150" s="2" t="str">
        <f ca="1">IFERROR(__xludf.DUMMYFUNCTION("""COMPUTED_VALUE"""),"")</f>
        <v/>
      </c>
      <c r="BF150" t="str">
        <f ca="1">IFERROR(__xludf.DUMMYFUNCTION("""COMPUTED_VALUE"""),"")</f>
        <v/>
      </c>
      <c r="BG150" t="str">
        <f ca="1">IFERROR(__xludf.DUMMYFUNCTION("""COMPUTED_VALUE"""),"")</f>
        <v/>
      </c>
      <c r="BH150" t="str">
        <f ca="1">IFERROR(__xludf.DUMMYFUNCTION("""COMPUTED_VALUE"""),"")</f>
        <v/>
      </c>
      <c r="BI150" t="str">
        <f ca="1">IFERROR(__xludf.DUMMYFUNCTION("""COMPUTED_VALUE"""),"")</f>
        <v/>
      </c>
      <c r="BJ150" s="3" t="str">
        <f ca="1">IFERROR(__xludf.DUMMYFUNCTION("""COMPUTED_VALUE"""),"")</f>
        <v/>
      </c>
    </row>
    <row r="151" spans="1:62" ht="12.5" x14ac:dyDescent="0.25">
      <c r="A151" s="6">
        <f ca="1">IFERROR(__xludf.DUMMYFUNCTION("""COMPUTED_VALUE"""),43455.5100234375)</f>
        <v>43455.510023437499</v>
      </c>
      <c r="B151" s="2" t="str">
        <f ca="1">IFERROR(__xludf.DUMMYFUNCTION("""COMPUTED_VALUE"""),"Bay of Plenty")</f>
        <v>Bay of Plenty</v>
      </c>
      <c r="C151" s="2" t="str">
        <f ca="1">IFERROR(__xludf.DUMMYFUNCTION("""COMPUTED_VALUE"""),"Tx 38 - Pearl")</f>
        <v>Tx 38 - Pearl</v>
      </c>
      <c r="D151" s="10">
        <f ca="1">IFERROR(__xludf.DUMMYFUNCTION("""COMPUTED_VALUE"""),42948)</f>
        <v>42948</v>
      </c>
      <c r="E151" s="4">
        <f ca="1">IFERROR(__xludf.DUMMYFUNCTION("""COMPUTED_VALUE"""),0.52083333333212)</f>
        <v>0.52083333333212001</v>
      </c>
      <c r="F151" s="2" t="str">
        <f ca="1">IFERROR(__xludf.DUMMYFUNCTION("""COMPUTED_VALUE"""),"Pukehina Canal")</f>
        <v>Pukehina Canal</v>
      </c>
      <c r="G151" s="2" t="str">
        <f ca="1">IFERROR(__xludf.DUMMYFUNCTION("""COMPUTED_VALUE"""),"VHF (close approach): I followed the signal until I got within 50 m of the bird")</f>
        <v>VHF (close approach): I followed the signal until I got within 50 m of the bird</v>
      </c>
      <c r="H151" s="2" t="str">
        <f ca="1">IFERROR(__xludf.DUMMYFUNCTION("""COMPUTED_VALUE"""),"")</f>
        <v/>
      </c>
      <c r="I151" s="2" t="str">
        <f ca="1">IFERROR(__xludf.DUMMYFUNCTION("""COMPUTED_VALUE"""),"")</f>
        <v/>
      </c>
      <c r="J151" s="2" t="str">
        <f ca="1">IFERROR(__xludf.DUMMYFUNCTION("""COMPUTED_VALUE"""),"")</f>
        <v/>
      </c>
      <c r="K151" s="2" t="str">
        <f ca="1">IFERROR(__xludf.DUMMYFUNCTION("""COMPUTED_VALUE"""),"")</f>
        <v/>
      </c>
      <c r="L151" s="2" t="str">
        <f ca="1">IFERROR(__xludf.DUMMYFUNCTION("""COMPUTED_VALUE"""),"No - I got very close to the bird but it was well hidden in the vegetation")</f>
        <v>No - I got very close to the bird but it was well hidden in the vegetation</v>
      </c>
      <c r="M151" s="5">
        <f ca="1">IFERROR(__xludf.DUMMYFUNCTION("""COMPUTED_VALUE"""),1908611)</f>
        <v>1908611</v>
      </c>
      <c r="N151" s="5">
        <f ca="1">IFERROR(__xludf.DUMMYFUNCTION("""COMPUTED_VALUE"""),5812142)</f>
        <v>5812142</v>
      </c>
      <c r="O151" s="2" t="str">
        <f ca="1">IFERROR(__xludf.DUMMYFUNCTION("""COMPUTED_VALUE"""),"")</f>
        <v/>
      </c>
      <c r="P151" s="2" t="str">
        <f ca="1">IFERROR(__xludf.DUMMYFUNCTION("""COMPUTED_VALUE"""),"No")</f>
        <v>No</v>
      </c>
      <c r="Q151" s="2" t="str">
        <f ca="1">IFERROR(__xludf.DUMMYFUNCTION("""COMPUTED_VALUE"""),"Wet")</f>
        <v>Wet</v>
      </c>
      <c r="R151" s="2" t="str">
        <f ca="1">IFERROR(__xludf.DUMMYFUNCTION("""COMPUTED_VALUE"""),"dont know")</f>
        <v>dont know</v>
      </c>
      <c r="S151" s="2" t="str">
        <f ca="1">IFERROR(__xludf.DUMMYFUNCTION("""COMPUTED_VALUE"""),"see map")</f>
        <v>see map</v>
      </c>
      <c r="T151" s="2" t="str">
        <f ca="1">IFERROR(__xludf.DUMMYFUNCTION("""COMPUTED_VALUE"""),"canal")</f>
        <v>canal</v>
      </c>
      <c r="U151" s="2" t="str">
        <f ca="1">IFERROR(__xludf.DUMMYFUNCTION("""COMPUTED_VALUE"""),"Stood on bridge and signal came from all directions, so suspect bird close  ? under bridge? - entered by karl ")</f>
        <v xml:space="preserve">Stood on bridge and signal came from all directions, so suspect bird close  ? under bridge? - entered by karl </v>
      </c>
      <c r="V151" s="2" t="str">
        <f ca="1">IFERROR(__xludf.DUMMYFUNCTION("""COMPUTED_VALUE"""),"")</f>
        <v/>
      </c>
      <c r="W151" s="2" t="str">
        <f ca="1">IFERROR(__xludf.DUMMYFUNCTION("""COMPUTED_VALUE"""),"")</f>
        <v/>
      </c>
      <c r="X151" s="2" t="str">
        <f ca="1">IFERROR(__xludf.DUMMYFUNCTION("""COMPUTED_VALUE"""),"")</f>
        <v/>
      </c>
      <c r="Y151" s="2" t="str">
        <f ca="1">IFERROR(__xludf.DUMMYFUNCTION("""COMPUTED_VALUE"""),"")</f>
        <v/>
      </c>
      <c r="Z151" s="2" t="str">
        <f ca="1">IFERROR(__xludf.DUMMYFUNCTION("""COMPUTED_VALUE"""),"")</f>
        <v/>
      </c>
      <c r="AA151" s="2" t="str">
        <f ca="1">IFERROR(__xludf.DUMMYFUNCTION("""COMPUTED_VALUE"""),"")</f>
        <v/>
      </c>
      <c r="AB151" s="2" t="str">
        <f ca="1">IFERROR(__xludf.DUMMYFUNCTION("""COMPUTED_VALUE"""),"")</f>
        <v/>
      </c>
      <c r="AC151" s="2" t="str">
        <f ca="1">IFERROR(__xludf.DUMMYFUNCTION("""COMPUTED_VALUE"""),"")</f>
        <v/>
      </c>
      <c r="AD151" s="2" t="str">
        <f ca="1">IFERROR(__xludf.DUMMYFUNCTION("""COMPUTED_VALUE"""),"")</f>
        <v/>
      </c>
      <c r="AE151" s="2" t="str">
        <f ca="1">IFERROR(__xludf.DUMMYFUNCTION("""COMPUTED_VALUE"""),"")</f>
        <v/>
      </c>
      <c r="AF151" s="2" t="str">
        <f ca="1">IFERROR(__xludf.DUMMYFUNCTION("""COMPUTED_VALUE"""),"")</f>
        <v/>
      </c>
      <c r="AG151" s="2" t="str">
        <f ca="1">IFERROR(__xludf.DUMMYFUNCTION("""COMPUTED_VALUE"""),"")</f>
        <v/>
      </c>
      <c r="AH151" s="2" t="str">
        <f ca="1">IFERROR(__xludf.DUMMYFUNCTION("""COMPUTED_VALUE"""),"")</f>
        <v/>
      </c>
      <c r="AI151" s="2" t="str">
        <f ca="1">IFERROR(__xludf.DUMMYFUNCTION("""COMPUTED_VALUE"""),"")</f>
        <v/>
      </c>
      <c r="AJ151" s="2" t="str">
        <f ca="1">IFERROR(__xludf.DUMMYFUNCTION("""COMPUTED_VALUE"""),"")</f>
        <v/>
      </c>
      <c r="AK151" s="2" t="str">
        <f ca="1">IFERROR(__xludf.DUMMYFUNCTION("""COMPUTED_VALUE"""),"")</f>
        <v/>
      </c>
      <c r="AL151" s="2" t="str">
        <f ca="1">IFERROR(__xludf.DUMMYFUNCTION("""COMPUTED_VALUE"""),"")</f>
        <v/>
      </c>
      <c r="AM151" s="2" t="str">
        <f ca="1">IFERROR(__xludf.DUMMYFUNCTION("""COMPUTED_VALUE"""),"")</f>
        <v/>
      </c>
      <c r="AN151" s="2" t="str">
        <f ca="1">IFERROR(__xludf.DUMMYFUNCTION("""COMPUTED_VALUE"""),"")</f>
        <v/>
      </c>
      <c r="AO151" s="2" t="str">
        <f ca="1">IFERROR(__xludf.DUMMYFUNCTION("""COMPUTED_VALUE"""),"")</f>
        <v/>
      </c>
      <c r="AP151" s="2" t="str">
        <f ca="1">IFERROR(__xludf.DUMMYFUNCTION("""COMPUTED_VALUE"""),"")</f>
        <v/>
      </c>
      <c r="AQ151" s="2" t="str">
        <f ca="1">IFERROR(__xludf.DUMMYFUNCTION("""COMPUTED_VALUE"""),"")</f>
        <v/>
      </c>
      <c r="AR151" s="2" t="str">
        <f ca="1">IFERROR(__xludf.DUMMYFUNCTION("""COMPUTED_VALUE"""),"")</f>
        <v/>
      </c>
      <c r="AS151" s="2" t="str">
        <f ca="1">IFERROR(__xludf.DUMMYFUNCTION("""COMPUTED_VALUE"""),"")</f>
        <v/>
      </c>
      <c r="AT151" s="2" t="str">
        <f ca="1">IFERROR(__xludf.DUMMYFUNCTION("""COMPUTED_VALUE"""),"")</f>
        <v/>
      </c>
      <c r="AU151" s="2" t="str">
        <f ca="1">IFERROR(__xludf.DUMMYFUNCTION("""COMPUTED_VALUE"""),"")</f>
        <v/>
      </c>
      <c r="AV151" s="2" t="str">
        <f ca="1">IFERROR(__xludf.DUMMYFUNCTION("""COMPUTED_VALUE"""),"")</f>
        <v/>
      </c>
      <c r="AW151" s="2" t="str">
        <f ca="1">IFERROR(__xludf.DUMMYFUNCTION("""COMPUTED_VALUE"""),"")</f>
        <v/>
      </c>
      <c r="AX151" s="2" t="str">
        <f ca="1">IFERROR(__xludf.DUMMYFUNCTION("""COMPUTED_VALUE"""),"")</f>
        <v/>
      </c>
      <c r="AY151" s="2" t="str">
        <f ca="1">IFERROR(__xludf.DUMMYFUNCTION("""COMPUTED_VALUE"""),"")</f>
        <v/>
      </c>
      <c r="AZ151" s="2" t="str">
        <f ca="1">IFERROR(__xludf.DUMMYFUNCTION("""COMPUTED_VALUE"""),"")</f>
        <v/>
      </c>
      <c r="BA151" s="2" t="str">
        <f ca="1">IFERROR(__xludf.DUMMYFUNCTION("""COMPUTED_VALUE"""),"")</f>
        <v/>
      </c>
      <c r="BB151" s="2" t="str">
        <f ca="1">IFERROR(__xludf.DUMMYFUNCTION("""COMPUTED_VALUE"""),"")</f>
        <v/>
      </c>
      <c r="BC151" s="2" t="str">
        <f ca="1">IFERROR(__xludf.DUMMYFUNCTION("""COMPUTED_VALUE"""),"")</f>
        <v/>
      </c>
      <c r="BD151" s="2" t="str">
        <f ca="1">IFERROR(__xludf.DUMMYFUNCTION("""COMPUTED_VALUE"""),"")</f>
        <v/>
      </c>
      <c r="BE151" s="2" t="str">
        <f ca="1">IFERROR(__xludf.DUMMYFUNCTION("""COMPUTED_VALUE"""),"")</f>
        <v/>
      </c>
      <c r="BF151" t="str">
        <f ca="1">IFERROR(__xludf.DUMMYFUNCTION("""COMPUTED_VALUE"""),"")</f>
        <v/>
      </c>
      <c r="BG151" t="str">
        <f ca="1">IFERROR(__xludf.DUMMYFUNCTION("""COMPUTED_VALUE"""),"")</f>
        <v/>
      </c>
      <c r="BH151" t="str">
        <f ca="1">IFERROR(__xludf.DUMMYFUNCTION("""COMPUTED_VALUE"""),"")</f>
        <v/>
      </c>
      <c r="BI151" t="str">
        <f ca="1">IFERROR(__xludf.DUMMYFUNCTION("""COMPUTED_VALUE"""),"")</f>
        <v/>
      </c>
      <c r="BJ151" s="3" t="str">
        <f ca="1">IFERROR(__xludf.DUMMYFUNCTION("""COMPUTED_VALUE"""),"")</f>
        <v/>
      </c>
    </row>
    <row r="152" spans="1:62" ht="12.5" x14ac:dyDescent="0.25">
      <c r="A152" s="6">
        <f ca="1">IFERROR(__xludf.DUMMYFUNCTION("""COMPUTED_VALUE"""),43455.512491875)</f>
        <v>43455.512491875001</v>
      </c>
      <c r="B152" s="2" t="str">
        <f ca="1">IFERROR(__xludf.DUMMYFUNCTION("""COMPUTED_VALUE"""),"Bay of Plenty")</f>
        <v>Bay of Plenty</v>
      </c>
      <c r="C152" s="2" t="str">
        <f ca="1">IFERROR(__xludf.DUMMYFUNCTION("""COMPUTED_VALUE"""),"Tx 38 - Pearl")</f>
        <v>Tx 38 - Pearl</v>
      </c>
      <c r="D152" s="10">
        <f ca="1">IFERROR(__xludf.DUMMYFUNCTION("""COMPUTED_VALUE"""),42976)</f>
        <v>42976</v>
      </c>
      <c r="E152" s="4">
        <f ca="1">IFERROR(__xludf.DUMMYFUNCTION("""COMPUTED_VALUE"""),0.45833333333212)</f>
        <v>0.45833333333212001</v>
      </c>
      <c r="F152" s="2" t="str">
        <f ca="1">IFERROR(__xludf.DUMMYFUNCTION("""COMPUTED_VALUE"""),"cutwater rd ")</f>
        <v xml:space="preserve">cutwater rd </v>
      </c>
      <c r="G152" s="2" t="str">
        <f ca="1">IFERROR(__xludf.DUMMYFUNCTION("""COMPUTED_VALUE"""),"VHF (close approach): I followed the signal until I got within 50 m of the bird")</f>
        <v>VHF (close approach): I followed the signal until I got within 50 m of the bird</v>
      </c>
      <c r="H152" s="2" t="str">
        <f ca="1">IFERROR(__xludf.DUMMYFUNCTION("""COMPUTED_VALUE"""),"")</f>
        <v/>
      </c>
      <c r="I152" s="2" t="str">
        <f ca="1">IFERROR(__xludf.DUMMYFUNCTION("""COMPUTED_VALUE"""),"")</f>
        <v/>
      </c>
      <c r="J152" s="2" t="str">
        <f ca="1">IFERROR(__xludf.DUMMYFUNCTION("""COMPUTED_VALUE"""),"")</f>
        <v/>
      </c>
      <c r="K152" s="2" t="str">
        <f ca="1">IFERROR(__xludf.DUMMYFUNCTION("""COMPUTED_VALUE"""),"")</f>
        <v/>
      </c>
      <c r="L152" s="2" t="str">
        <f ca="1">IFERROR(__xludf.DUMMYFUNCTION("""COMPUTED_VALUE"""),"Yes - it flushed")</f>
        <v>Yes - it flushed</v>
      </c>
      <c r="M152" s="5">
        <f ca="1">IFERROR(__xludf.DUMMYFUNCTION("""COMPUTED_VALUE"""),1907497)</f>
        <v>1907497</v>
      </c>
      <c r="N152" s="5">
        <f ca="1">IFERROR(__xludf.DUMMYFUNCTION("""COMPUTED_VALUE"""),5812612)</f>
        <v>5812612</v>
      </c>
      <c r="O152" s="2" t="str">
        <f ca="1">IFERROR(__xludf.DUMMYFUNCTION("""COMPUTED_VALUE"""),"")</f>
        <v/>
      </c>
      <c r="P152" s="2" t="str">
        <f ca="1">IFERROR(__xludf.DUMMYFUNCTION("""COMPUTED_VALUE"""),"No")</f>
        <v>No</v>
      </c>
      <c r="Q152" s="2" t="str">
        <f ca="1">IFERROR(__xludf.DUMMYFUNCTION("""COMPUTED_VALUE"""),"Dry")</f>
        <v>Dry</v>
      </c>
      <c r="R152" s="2" t="str">
        <f ca="1">IFERROR(__xludf.DUMMYFUNCTION("""COMPUTED_VALUE"""),"zero")</f>
        <v>zero</v>
      </c>
      <c r="S152" s="2" t="str">
        <f ca="1">IFERROR(__xludf.DUMMYFUNCTION("""COMPUTED_VALUE"""),"see map")</f>
        <v>see map</v>
      </c>
      <c r="T152" s="2" t="str">
        <f ca="1">IFERROR(__xludf.DUMMYFUNCTION("""COMPUTED_VALUE"""),"Small open patch of reeds in paddock")</f>
        <v>Small open patch of reeds in paddock</v>
      </c>
      <c r="U152" s="2" t="str">
        <f ca="1">IFERROR(__xludf.DUMMYFUNCTION("""COMPUTED_VALUE"""),"capture attempt - entered by karl ")</f>
        <v xml:space="preserve">capture attempt - entered by karl </v>
      </c>
      <c r="V152" s="2" t="str">
        <f ca="1">IFERROR(__xludf.DUMMYFUNCTION("""COMPUTED_VALUE"""),"")</f>
        <v/>
      </c>
      <c r="W152" s="2" t="str">
        <f ca="1">IFERROR(__xludf.DUMMYFUNCTION("""COMPUTED_VALUE"""),"")</f>
        <v/>
      </c>
      <c r="X152" s="2" t="str">
        <f ca="1">IFERROR(__xludf.DUMMYFUNCTION("""COMPUTED_VALUE"""),"")</f>
        <v/>
      </c>
      <c r="Y152" s="2" t="str">
        <f ca="1">IFERROR(__xludf.DUMMYFUNCTION("""COMPUTED_VALUE"""),"")</f>
        <v/>
      </c>
      <c r="Z152" s="2" t="str">
        <f ca="1">IFERROR(__xludf.DUMMYFUNCTION("""COMPUTED_VALUE"""),"")</f>
        <v/>
      </c>
      <c r="AA152" s="2" t="str">
        <f ca="1">IFERROR(__xludf.DUMMYFUNCTION("""COMPUTED_VALUE"""),"")</f>
        <v/>
      </c>
      <c r="AB152" s="2" t="str">
        <f ca="1">IFERROR(__xludf.DUMMYFUNCTION("""COMPUTED_VALUE"""),"")</f>
        <v/>
      </c>
      <c r="AC152" s="2" t="str">
        <f ca="1">IFERROR(__xludf.DUMMYFUNCTION("""COMPUTED_VALUE"""),"")</f>
        <v/>
      </c>
      <c r="AD152" s="2" t="str">
        <f ca="1">IFERROR(__xludf.DUMMYFUNCTION("""COMPUTED_VALUE"""),"")</f>
        <v/>
      </c>
      <c r="AE152" s="2" t="str">
        <f ca="1">IFERROR(__xludf.DUMMYFUNCTION("""COMPUTED_VALUE"""),"")</f>
        <v/>
      </c>
      <c r="AF152" s="2" t="str">
        <f ca="1">IFERROR(__xludf.DUMMYFUNCTION("""COMPUTED_VALUE"""),"")</f>
        <v/>
      </c>
      <c r="AG152" s="2" t="str">
        <f ca="1">IFERROR(__xludf.DUMMYFUNCTION("""COMPUTED_VALUE"""),"")</f>
        <v/>
      </c>
      <c r="AH152" s="2" t="str">
        <f ca="1">IFERROR(__xludf.DUMMYFUNCTION("""COMPUTED_VALUE"""),"")</f>
        <v/>
      </c>
      <c r="AI152" s="2" t="str">
        <f ca="1">IFERROR(__xludf.DUMMYFUNCTION("""COMPUTED_VALUE"""),"")</f>
        <v/>
      </c>
      <c r="AJ152" s="2" t="str">
        <f ca="1">IFERROR(__xludf.DUMMYFUNCTION("""COMPUTED_VALUE"""),"")</f>
        <v/>
      </c>
      <c r="AK152" s="2" t="str">
        <f ca="1">IFERROR(__xludf.DUMMYFUNCTION("""COMPUTED_VALUE"""),"")</f>
        <v/>
      </c>
      <c r="AL152" s="2" t="str">
        <f ca="1">IFERROR(__xludf.DUMMYFUNCTION("""COMPUTED_VALUE"""),"")</f>
        <v/>
      </c>
      <c r="AM152" s="2" t="str">
        <f ca="1">IFERROR(__xludf.DUMMYFUNCTION("""COMPUTED_VALUE"""),"")</f>
        <v/>
      </c>
      <c r="AN152" s="2" t="str">
        <f ca="1">IFERROR(__xludf.DUMMYFUNCTION("""COMPUTED_VALUE"""),"")</f>
        <v/>
      </c>
      <c r="AO152" s="2" t="str">
        <f ca="1">IFERROR(__xludf.DUMMYFUNCTION("""COMPUTED_VALUE"""),"")</f>
        <v/>
      </c>
      <c r="AP152" s="2" t="str">
        <f ca="1">IFERROR(__xludf.DUMMYFUNCTION("""COMPUTED_VALUE"""),"")</f>
        <v/>
      </c>
      <c r="AQ152" s="2" t="str">
        <f ca="1">IFERROR(__xludf.DUMMYFUNCTION("""COMPUTED_VALUE"""),"")</f>
        <v/>
      </c>
      <c r="AR152" s="2" t="str">
        <f ca="1">IFERROR(__xludf.DUMMYFUNCTION("""COMPUTED_VALUE"""),"")</f>
        <v/>
      </c>
      <c r="AS152" s="2" t="str">
        <f ca="1">IFERROR(__xludf.DUMMYFUNCTION("""COMPUTED_VALUE"""),"")</f>
        <v/>
      </c>
      <c r="AT152" s="2" t="str">
        <f ca="1">IFERROR(__xludf.DUMMYFUNCTION("""COMPUTED_VALUE"""),"")</f>
        <v/>
      </c>
      <c r="AU152" s="2" t="str">
        <f ca="1">IFERROR(__xludf.DUMMYFUNCTION("""COMPUTED_VALUE"""),"")</f>
        <v/>
      </c>
      <c r="AV152" s="2" t="str">
        <f ca="1">IFERROR(__xludf.DUMMYFUNCTION("""COMPUTED_VALUE"""),"")</f>
        <v/>
      </c>
      <c r="AW152" s="2" t="str">
        <f ca="1">IFERROR(__xludf.DUMMYFUNCTION("""COMPUTED_VALUE"""),"")</f>
        <v/>
      </c>
      <c r="AX152" s="2" t="str">
        <f ca="1">IFERROR(__xludf.DUMMYFUNCTION("""COMPUTED_VALUE"""),"")</f>
        <v/>
      </c>
      <c r="AY152" s="2" t="str">
        <f ca="1">IFERROR(__xludf.DUMMYFUNCTION("""COMPUTED_VALUE"""),"")</f>
        <v/>
      </c>
      <c r="AZ152" s="2" t="str">
        <f ca="1">IFERROR(__xludf.DUMMYFUNCTION("""COMPUTED_VALUE"""),"")</f>
        <v/>
      </c>
      <c r="BA152" s="2" t="str">
        <f ca="1">IFERROR(__xludf.DUMMYFUNCTION("""COMPUTED_VALUE"""),"")</f>
        <v/>
      </c>
      <c r="BB152" s="2" t="str">
        <f ca="1">IFERROR(__xludf.DUMMYFUNCTION("""COMPUTED_VALUE"""),"")</f>
        <v/>
      </c>
      <c r="BC152" s="2" t="str">
        <f ca="1">IFERROR(__xludf.DUMMYFUNCTION("""COMPUTED_VALUE"""),"")</f>
        <v/>
      </c>
      <c r="BD152" s="2" t="str">
        <f ca="1">IFERROR(__xludf.DUMMYFUNCTION("""COMPUTED_VALUE"""),"")</f>
        <v/>
      </c>
      <c r="BE152" s="2" t="str">
        <f ca="1">IFERROR(__xludf.DUMMYFUNCTION("""COMPUTED_VALUE"""),"")</f>
        <v/>
      </c>
      <c r="BF152" t="str">
        <f ca="1">IFERROR(__xludf.DUMMYFUNCTION("""COMPUTED_VALUE"""),"")</f>
        <v/>
      </c>
      <c r="BG152" t="str">
        <f ca="1">IFERROR(__xludf.DUMMYFUNCTION("""COMPUTED_VALUE"""),"")</f>
        <v/>
      </c>
      <c r="BH152" t="str">
        <f ca="1">IFERROR(__xludf.DUMMYFUNCTION("""COMPUTED_VALUE"""),"")</f>
        <v/>
      </c>
      <c r="BI152" t="str">
        <f ca="1">IFERROR(__xludf.DUMMYFUNCTION("""COMPUTED_VALUE"""),"")</f>
        <v/>
      </c>
      <c r="BJ152" s="3" t="str">
        <f ca="1">IFERROR(__xludf.DUMMYFUNCTION("""COMPUTED_VALUE"""),"")</f>
        <v/>
      </c>
    </row>
    <row r="153" spans="1:62" ht="12.5" x14ac:dyDescent="0.25">
      <c r="A153" s="6">
        <f ca="1">IFERROR(__xludf.DUMMYFUNCTION("""COMPUTED_VALUE"""),43455.516686655)</f>
        <v>43455.516686654999</v>
      </c>
      <c r="B153" s="2" t="str">
        <f ca="1">IFERROR(__xludf.DUMMYFUNCTION("""COMPUTED_VALUE"""),"Bay of Plenty")</f>
        <v>Bay of Plenty</v>
      </c>
      <c r="C153" s="2" t="str">
        <f ca="1">IFERROR(__xludf.DUMMYFUNCTION("""COMPUTED_VALUE"""),"Tx 38 - Pearl")</f>
        <v>Tx 38 - Pearl</v>
      </c>
      <c r="D153" s="10">
        <f ca="1">IFERROR(__xludf.DUMMYFUNCTION("""COMPUTED_VALUE"""),42976)</f>
        <v>42976</v>
      </c>
      <c r="E153" s="4">
        <f ca="1">IFERROR(__xludf.DUMMYFUNCTION("""COMPUTED_VALUE"""),0.5)</f>
        <v>0.5</v>
      </c>
      <c r="F153" s="2" t="str">
        <f ca="1">IFERROR(__xludf.DUMMYFUNCTION("""COMPUTED_VALUE"""),"cutwater rd - paddocks East")</f>
        <v>cutwater rd - paddocks East</v>
      </c>
      <c r="G153" s="2" t="str">
        <f ca="1">IFERROR(__xludf.DUMMYFUNCTION("""COMPUTED_VALUE"""),"VHF (close approach): I followed the signal until I got within 50 m of the bird")</f>
        <v>VHF (close approach): I followed the signal until I got within 50 m of the bird</v>
      </c>
      <c r="H153" s="2" t="str">
        <f ca="1">IFERROR(__xludf.DUMMYFUNCTION("""COMPUTED_VALUE"""),"")</f>
        <v/>
      </c>
      <c r="I153" s="2" t="str">
        <f ca="1">IFERROR(__xludf.DUMMYFUNCTION("""COMPUTED_VALUE"""),"")</f>
        <v/>
      </c>
      <c r="J153" s="2" t="str">
        <f ca="1">IFERROR(__xludf.DUMMYFUNCTION("""COMPUTED_VALUE"""),"")</f>
        <v/>
      </c>
      <c r="K153" s="2" t="str">
        <f ca="1">IFERROR(__xludf.DUMMYFUNCTION("""COMPUTED_VALUE"""),"")</f>
        <v/>
      </c>
      <c r="L153" s="2" t="str">
        <f ca="1">IFERROR(__xludf.DUMMYFUNCTION("""COMPUTED_VALUE"""),"Yes - it flushed")</f>
        <v>Yes - it flushed</v>
      </c>
      <c r="M153" s="5">
        <f ca="1">IFERROR(__xludf.DUMMYFUNCTION("""COMPUTED_VALUE"""),1907819)</f>
        <v>1907819</v>
      </c>
      <c r="N153" s="5">
        <f ca="1">IFERROR(__xludf.DUMMYFUNCTION("""COMPUTED_VALUE"""),5812387)</f>
        <v>5812387</v>
      </c>
      <c r="O153" s="2" t="str">
        <f ca="1">IFERROR(__xludf.DUMMYFUNCTION("""COMPUTED_VALUE"""),"")</f>
        <v/>
      </c>
      <c r="P153" s="2" t="str">
        <f ca="1">IFERROR(__xludf.DUMMYFUNCTION("""COMPUTED_VALUE"""),"No")</f>
        <v>No</v>
      </c>
      <c r="Q153" s="2" t="str">
        <f ca="1">IFERROR(__xludf.DUMMYFUNCTION("""COMPUTED_VALUE"""),"Dry")</f>
        <v>Dry</v>
      </c>
      <c r="R153" s="2" t="str">
        <f ca="1">IFERROR(__xludf.DUMMYFUNCTION("""COMPUTED_VALUE"""),"n.a ")</f>
        <v xml:space="preserve">n.a </v>
      </c>
      <c r="S153" s="2" t="str">
        <f ca="1">IFERROR(__xludf.DUMMYFUNCTION("""COMPUTED_VALUE"""),"see map")</f>
        <v>see map</v>
      </c>
      <c r="T153" s="2" t="str">
        <f ca="1">IFERROR(__xludf.DUMMYFUNCTION("""COMPUTED_VALUE"""),"Small open patch of reeds in paddock")</f>
        <v>Small open patch of reeds in paddock</v>
      </c>
      <c r="U153" s="2" t="str">
        <f ca="1">IFERROR(__xludf.DUMMYFUNCTION("""COMPUTED_VALUE"""),"capture attempt")</f>
        <v>capture attempt</v>
      </c>
      <c r="V153" s="2" t="str">
        <f ca="1">IFERROR(__xludf.DUMMYFUNCTION("""COMPUTED_VALUE"""),"")</f>
        <v/>
      </c>
      <c r="W153" s="2" t="str">
        <f ca="1">IFERROR(__xludf.DUMMYFUNCTION("""COMPUTED_VALUE"""),"")</f>
        <v/>
      </c>
      <c r="X153" s="2" t="str">
        <f ca="1">IFERROR(__xludf.DUMMYFUNCTION("""COMPUTED_VALUE"""),"")</f>
        <v/>
      </c>
      <c r="Y153" s="2" t="str">
        <f ca="1">IFERROR(__xludf.DUMMYFUNCTION("""COMPUTED_VALUE"""),"")</f>
        <v/>
      </c>
      <c r="Z153" s="2" t="str">
        <f ca="1">IFERROR(__xludf.DUMMYFUNCTION("""COMPUTED_VALUE"""),"")</f>
        <v/>
      </c>
      <c r="AA153" s="2" t="str">
        <f ca="1">IFERROR(__xludf.DUMMYFUNCTION("""COMPUTED_VALUE"""),"")</f>
        <v/>
      </c>
      <c r="AB153" s="2" t="str">
        <f ca="1">IFERROR(__xludf.DUMMYFUNCTION("""COMPUTED_VALUE"""),"")</f>
        <v/>
      </c>
      <c r="AC153" s="2" t="str">
        <f ca="1">IFERROR(__xludf.DUMMYFUNCTION("""COMPUTED_VALUE"""),"")</f>
        <v/>
      </c>
      <c r="AD153" s="2" t="str">
        <f ca="1">IFERROR(__xludf.DUMMYFUNCTION("""COMPUTED_VALUE"""),"")</f>
        <v/>
      </c>
      <c r="AE153" s="2" t="str">
        <f ca="1">IFERROR(__xludf.DUMMYFUNCTION("""COMPUTED_VALUE"""),"")</f>
        <v/>
      </c>
      <c r="AF153" s="2" t="str">
        <f ca="1">IFERROR(__xludf.DUMMYFUNCTION("""COMPUTED_VALUE"""),"")</f>
        <v/>
      </c>
      <c r="AG153" s="2" t="str">
        <f ca="1">IFERROR(__xludf.DUMMYFUNCTION("""COMPUTED_VALUE"""),"")</f>
        <v/>
      </c>
      <c r="AH153" s="2" t="str">
        <f ca="1">IFERROR(__xludf.DUMMYFUNCTION("""COMPUTED_VALUE"""),"")</f>
        <v/>
      </c>
      <c r="AI153" s="2" t="str">
        <f ca="1">IFERROR(__xludf.DUMMYFUNCTION("""COMPUTED_VALUE"""),"")</f>
        <v/>
      </c>
      <c r="AJ153" s="2" t="str">
        <f ca="1">IFERROR(__xludf.DUMMYFUNCTION("""COMPUTED_VALUE"""),"")</f>
        <v/>
      </c>
      <c r="AK153" s="2" t="str">
        <f ca="1">IFERROR(__xludf.DUMMYFUNCTION("""COMPUTED_VALUE"""),"")</f>
        <v/>
      </c>
      <c r="AL153" s="2" t="str">
        <f ca="1">IFERROR(__xludf.DUMMYFUNCTION("""COMPUTED_VALUE"""),"")</f>
        <v/>
      </c>
      <c r="AM153" s="2" t="str">
        <f ca="1">IFERROR(__xludf.DUMMYFUNCTION("""COMPUTED_VALUE"""),"")</f>
        <v/>
      </c>
      <c r="AN153" s="2" t="str">
        <f ca="1">IFERROR(__xludf.DUMMYFUNCTION("""COMPUTED_VALUE"""),"")</f>
        <v/>
      </c>
      <c r="AO153" s="2" t="str">
        <f ca="1">IFERROR(__xludf.DUMMYFUNCTION("""COMPUTED_VALUE"""),"")</f>
        <v/>
      </c>
      <c r="AP153" s="2" t="str">
        <f ca="1">IFERROR(__xludf.DUMMYFUNCTION("""COMPUTED_VALUE"""),"")</f>
        <v/>
      </c>
      <c r="AQ153" s="2" t="str">
        <f ca="1">IFERROR(__xludf.DUMMYFUNCTION("""COMPUTED_VALUE"""),"")</f>
        <v/>
      </c>
      <c r="AR153" s="2" t="str">
        <f ca="1">IFERROR(__xludf.DUMMYFUNCTION("""COMPUTED_VALUE"""),"")</f>
        <v/>
      </c>
      <c r="AS153" s="2" t="str">
        <f ca="1">IFERROR(__xludf.DUMMYFUNCTION("""COMPUTED_VALUE"""),"")</f>
        <v/>
      </c>
      <c r="AT153" s="2" t="str">
        <f ca="1">IFERROR(__xludf.DUMMYFUNCTION("""COMPUTED_VALUE"""),"")</f>
        <v/>
      </c>
      <c r="AU153" s="2" t="str">
        <f ca="1">IFERROR(__xludf.DUMMYFUNCTION("""COMPUTED_VALUE"""),"")</f>
        <v/>
      </c>
      <c r="AV153" s="2" t="str">
        <f ca="1">IFERROR(__xludf.DUMMYFUNCTION("""COMPUTED_VALUE"""),"")</f>
        <v/>
      </c>
      <c r="AW153" s="2" t="str">
        <f ca="1">IFERROR(__xludf.DUMMYFUNCTION("""COMPUTED_VALUE"""),"")</f>
        <v/>
      </c>
      <c r="AX153" s="2" t="str">
        <f ca="1">IFERROR(__xludf.DUMMYFUNCTION("""COMPUTED_VALUE"""),"")</f>
        <v/>
      </c>
      <c r="AY153" s="2" t="str">
        <f ca="1">IFERROR(__xludf.DUMMYFUNCTION("""COMPUTED_VALUE"""),"")</f>
        <v/>
      </c>
      <c r="AZ153" s="2" t="str">
        <f ca="1">IFERROR(__xludf.DUMMYFUNCTION("""COMPUTED_VALUE"""),"")</f>
        <v/>
      </c>
      <c r="BA153" s="2" t="str">
        <f ca="1">IFERROR(__xludf.DUMMYFUNCTION("""COMPUTED_VALUE"""),"")</f>
        <v/>
      </c>
      <c r="BB153" s="2" t="str">
        <f ca="1">IFERROR(__xludf.DUMMYFUNCTION("""COMPUTED_VALUE"""),"")</f>
        <v/>
      </c>
      <c r="BC153" s="2" t="str">
        <f ca="1">IFERROR(__xludf.DUMMYFUNCTION("""COMPUTED_VALUE"""),"")</f>
        <v/>
      </c>
      <c r="BD153" s="2" t="str">
        <f ca="1">IFERROR(__xludf.DUMMYFUNCTION("""COMPUTED_VALUE"""),"")</f>
        <v/>
      </c>
      <c r="BE153" s="2" t="str">
        <f ca="1">IFERROR(__xludf.DUMMYFUNCTION("""COMPUTED_VALUE"""),"")</f>
        <v/>
      </c>
      <c r="BF153" t="str">
        <f ca="1">IFERROR(__xludf.DUMMYFUNCTION("""COMPUTED_VALUE"""),"")</f>
        <v/>
      </c>
      <c r="BG153" t="str">
        <f ca="1">IFERROR(__xludf.DUMMYFUNCTION("""COMPUTED_VALUE"""),"")</f>
        <v/>
      </c>
      <c r="BH153" t="str">
        <f ca="1">IFERROR(__xludf.DUMMYFUNCTION("""COMPUTED_VALUE"""),"")</f>
        <v/>
      </c>
      <c r="BI153" t="str">
        <f ca="1">IFERROR(__xludf.DUMMYFUNCTION("""COMPUTED_VALUE"""),"")</f>
        <v/>
      </c>
      <c r="BJ153" s="3" t="str">
        <f ca="1">IFERROR(__xludf.DUMMYFUNCTION("""COMPUTED_VALUE"""),"")</f>
        <v/>
      </c>
    </row>
    <row r="154" spans="1:62" ht="12.5" x14ac:dyDescent="0.25">
      <c r="A154" s="6">
        <f ca="1">IFERROR(__xludf.DUMMYFUNCTION("""COMPUTED_VALUE"""),43455.5190023262)</f>
        <v>43455.519002326197</v>
      </c>
      <c r="B154" s="2" t="str">
        <f ca="1">IFERROR(__xludf.DUMMYFUNCTION("""COMPUTED_VALUE"""),"Bay of Plenty")</f>
        <v>Bay of Plenty</v>
      </c>
      <c r="C154" s="2" t="str">
        <f ca="1">IFERROR(__xludf.DUMMYFUNCTION("""COMPUTED_VALUE"""),"Tx 38 - Pearl")</f>
        <v>Tx 38 - Pearl</v>
      </c>
      <c r="D154" s="10">
        <f ca="1">IFERROR(__xludf.DUMMYFUNCTION("""COMPUTED_VALUE"""),42976)</f>
        <v>42976</v>
      </c>
      <c r="E154" s="4">
        <f ca="1">IFERROR(__xludf.DUMMYFUNCTION("""COMPUTED_VALUE"""),0.83333333333212)</f>
        <v>0.83333333333212001</v>
      </c>
      <c r="F154" s="2" t="str">
        <f ca="1">IFERROR(__xludf.DUMMYFUNCTION("""COMPUTED_VALUE"""),"WMR E - Saltmarsh")</f>
        <v>WMR E - Saltmarsh</v>
      </c>
      <c r="G154" s="2" t="str">
        <f ca="1">IFERROR(__xludf.DUMMYFUNCTION("""COMPUTED_VALUE"""),"VHF (close approach): I followed the signal until I got within 50 m of the bird")</f>
        <v>VHF (close approach): I followed the signal until I got within 50 m of the bird</v>
      </c>
      <c r="H154" s="2" t="str">
        <f ca="1">IFERROR(__xludf.DUMMYFUNCTION("""COMPUTED_VALUE"""),"")</f>
        <v/>
      </c>
      <c r="I154" s="2" t="str">
        <f ca="1">IFERROR(__xludf.DUMMYFUNCTION("""COMPUTED_VALUE"""),"")</f>
        <v/>
      </c>
      <c r="J154" s="2" t="str">
        <f ca="1">IFERROR(__xludf.DUMMYFUNCTION("""COMPUTED_VALUE"""),"")</f>
        <v/>
      </c>
      <c r="K154" s="2" t="str">
        <f ca="1">IFERROR(__xludf.DUMMYFUNCTION("""COMPUTED_VALUE"""),"")</f>
        <v/>
      </c>
      <c r="L154" s="2" t="str">
        <f ca="1">IFERROR(__xludf.DUMMYFUNCTION("""COMPUTED_VALUE"""),"Yes - it flushed")</f>
        <v>Yes - it flushed</v>
      </c>
      <c r="M154" s="5">
        <f ca="1">IFERROR(__xludf.DUMMYFUNCTION("""COMPUTED_VALUE"""),1907682)</f>
        <v>1907682</v>
      </c>
      <c r="N154" s="5">
        <f ca="1">IFERROR(__xludf.DUMMYFUNCTION("""COMPUTED_VALUE"""),5812904)</f>
        <v>5812904</v>
      </c>
      <c r="O154" s="2" t="str">
        <f ca="1">IFERROR(__xludf.DUMMYFUNCTION("""COMPUTED_VALUE"""),"")</f>
        <v/>
      </c>
      <c r="P154" s="2" t="str">
        <f ca="1">IFERROR(__xludf.DUMMYFUNCTION("""COMPUTED_VALUE"""),"N/A - not grazed")</f>
        <v>N/A - not grazed</v>
      </c>
      <c r="Q154" s="2" t="str">
        <f ca="1">IFERROR(__xludf.DUMMYFUNCTION("""COMPUTED_VALUE"""),"Wet")</f>
        <v>Wet</v>
      </c>
      <c r="R154" s="2" t="str">
        <f ca="1">IFERROR(__xludf.DUMMYFUNCTION("""COMPUTED_VALUE"""),"15")</f>
        <v>15</v>
      </c>
      <c r="S154" s="2" t="str">
        <f ca="1">IFERROR(__xludf.DUMMYFUNCTION("""COMPUTED_VALUE"""),"zero")</f>
        <v>zero</v>
      </c>
      <c r="T154" s="2" t="str">
        <f ca="1">IFERROR(__xludf.DUMMYFUNCTION("""COMPUTED_VALUE"""),"saltmarsh")</f>
        <v>saltmarsh</v>
      </c>
      <c r="U154" s="2" t="str">
        <f ca="1">IFERROR(__xludf.DUMMYFUNCTION("""COMPUTED_VALUE"""),"capture attmpt 3 - entered by karl ")</f>
        <v xml:space="preserve">capture attmpt 3 - entered by karl </v>
      </c>
      <c r="V154" s="2" t="str">
        <f ca="1">IFERROR(__xludf.DUMMYFUNCTION("""COMPUTED_VALUE"""),"")</f>
        <v/>
      </c>
      <c r="W154" s="2" t="str">
        <f ca="1">IFERROR(__xludf.DUMMYFUNCTION("""COMPUTED_VALUE"""),"")</f>
        <v/>
      </c>
      <c r="X154" s="2" t="str">
        <f ca="1">IFERROR(__xludf.DUMMYFUNCTION("""COMPUTED_VALUE"""),"")</f>
        <v/>
      </c>
      <c r="Y154" s="2" t="str">
        <f ca="1">IFERROR(__xludf.DUMMYFUNCTION("""COMPUTED_VALUE"""),"")</f>
        <v/>
      </c>
      <c r="Z154" s="2" t="str">
        <f ca="1">IFERROR(__xludf.DUMMYFUNCTION("""COMPUTED_VALUE"""),"")</f>
        <v/>
      </c>
      <c r="AA154" s="2" t="str">
        <f ca="1">IFERROR(__xludf.DUMMYFUNCTION("""COMPUTED_VALUE"""),"")</f>
        <v/>
      </c>
      <c r="AB154" s="2" t="str">
        <f ca="1">IFERROR(__xludf.DUMMYFUNCTION("""COMPUTED_VALUE"""),"")</f>
        <v/>
      </c>
      <c r="AC154" s="2" t="str">
        <f ca="1">IFERROR(__xludf.DUMMYFUNCTION("""COMPUTED_VALUE"""),"")</f>
        <v/>
      </c>
      <c r="AD154" s="2" t="str">
        <f ca="1">IFERROR(__xludf.DUMMYFUNCTION("""COMPUTED_VALUE"""),"")</f>
        <v/>
      </c>
      <c r="AE154" s="2" t="str">
        <f ca="1">IFERROR(__xludf.DUMMYFUNCTION("""COMPUTED_VALUE"""),"")</f>
        <v/>
      </c>
      <c r="AF154" s="2" t="str">
        <f ca="1">IFERROR(__xludf.DUMMYFUNCTION("""COMPUTED_VALUE"""),"")</f>
        <v/>
      </c>
      <c r="AG154" s="2" t="str">
        <f ca="1">IFERROR(__xludf.DUMMYFUNCTION("""COMPUTED_VALUE"""),"")</f>
        <v/>
      </c>
      <c r="AH154" s="2" t="str">
        <f ca="1">IFERROR(__xludf.DUMMYFUNCTION("""COMPUTED_VALUE"""),"")</f>
        <v/>
      </c>
      <c r="AI154" s="2" t="str">
        <f ca="1">IFERROR(__xludf.DUMMYFUNCTION("""COMPUTED_VALUE"""),"")</f>
        <v/>
      </c>
      <c r="AJ154" s="2" t="str">
        <f ca="1">IFERROR(__xludf.DUMMYFUNCTION("""COMPUTED_VALUE"""),"")</f>
        <v/>
      </c>
      <c r="AK154" s="2" t="str">
        <f ca="1">IFERROR(__xludf.DUMMYFUNCTION("""COMPUTED_VALUE"""),"")</f>
        <v/>
      </c>
      <c r="AL154" s="2" t="str">
        <f ca="1">IFERROR(__xludf.DUMMYFUNCTION("""COMPUTED_VALUE"""),"")</f>
        <v/>
      </c>
      <c r="AM154" s="2" t="str">
        <f ca="1">IFERROR(__xludf.DUMMYFUNCTION("""COMPUTED_VALUE"""),"")</f>
        <v/>
      </c>
      <c r="AN154" s="2" t="str">
        <f ca="1">IFERROR(__xludf.DUMMYFUNCTION("""COMPUTED_VALUE"""),"")</f>
        <v/>
      </c>
      <c r="AO154" s="2" t="str">
        <f ca="1">IFERROR(__xludf.DUMMYFUNCTION("""COMPUTED_VALUE"""),"")</f>
        <v/>
      </c>
      <c r="AP154" s="2" t="str">
        <f ca="1">IFERROR(__xludf.DUMMYFUNCTION("""COMPUTED_VALUE"""),"")</f>
        <v/>
      </c>
      <c r="AQ154" s="2" t="str">
        <f ca="1">IFERROR(__xludf.DUMMYFUNCTION("""COMPUTED_VALUE"""),"")</f>
        <v/>
      </c>
      <c r="AR154" s="2" t="str">
        <f ca="1">IFERROR(__xludf.DUMMYFUNCTION("""COMPUTED_VALUE"""),"")</f>
        <v/>
      </c>
      <c r="AS154" s="2" t="str">
        <f ca="1">IFERROR(__xludf.DUMMYFUNCTION("""COMPUTED_VALUE"""),"")</f>
        <v/>
      </c>
      <c r="AT154" s="2" t="str">
        <f ca="1">IFERROR(__xludf.DUMMYFUNCTION("""COMPUTED_VALUE"""),"")</f>
        <v/>
      </c>
      <c r="AU154" s="2" t="str">
        <f ca="1">IFERROR(__xludf.DUMMYFUNCTION("""COMPUTED_VALUE"""),"")</f>
        <v/>
      </c>
      <c r="AV154" s="2" t="str">
        <f ca="1">IFERROR(__xludf.DUMMYFUNCTION("""COMPUTED_VALUE"""),"")</f>
        <v/>
      </c>
      <c r="AW154" s="2" t="str">
        <f ca="1">IFERROR(__xludf.DUMMYFUNCTION("""COMPUTED_VALUE"""),"")</f>
        <v/>
      </c>
      <c r="AX154" s="2" t="str">
        <f ca="1">IFERROR(__xludf.DUMMYFUNCTION("""COMPUTED_VALUE"""),"")</f>
        <v/>
      </c>
      <c r="AY154" s="2" t="str">
        <f ca="1">IFERROR(__xludf.DUMMYFUNCTION("""COMPUTED_VALUE"""),"")</f>
        <v/>
      </c>
      <c r="AZ154" s="2" t="str">
        <f ca="1">IFERROR(__xludf.DUMMYFUNCTION("""COMPUTED_VALUE"""),"")</f>
        <v/>
      </c>
      <c r="BA154" s="2" t="str">
        <f ca="1">IFERROR(__xludf.DUMMYFUNCTION("""COMPUTED_VALUE"""),"")</f>
        <v/>
      </c>
      <c r="BB154" s="2" t="str">
        <f ca="1">IFERROR(__xludf.DUMMYFUNCTION("""COMPUTED_VALUE"""),"")</f>
        <v/>
      </c>
      <c r="BC154" s="2" t="str">
        <f ca="1">IFERROR(__xludf.DUMMYFUNCTION("""COMPUTED_VALUE"""),"")</f>
        <v/>
      </c>
      <c r="BD154" s="2" t="str">
        <f ca="1">IFERROR(__xludf.DUMMYFUNCTION("""COMPUTED_VALUE"""),"")</f>
        <v/>
      </c>
      <c r="BE154" s="2" t="str">
        <f ca="1">IFERROR(__xludf.DUMMYFUNCTION("""COMPUTED_VALUE"""),"")</f>
        <v/>
      </c>
      <c r="BF154" t="str">
        <f ca="1">IFERROR(__xludf.DUMMYFUNCTION("""COMPUTED_VALUE"""),"")</f>
        <v/>
      </c>
      <c r="BG154" t="str">
        <f ca="1">IFERROR(__xludf.DUMMYFUNCTION("""COMPUTED_VALUE"""),"")</f>
        <v/>
      </c>
      <c r="BH154" t="str">
        <f ca="1">IFERROR(__xludf.DUMMYFUNCTION("""COMPUTED_VALUE"""),"")</f>
        <v/>
      </c>
      <c r="BI154" t="str">
        <f ca="1">IFERROR(__xludf.DUMMYFUNCTION("""COMPUTED_VALUE"""),"")</f>
        <v/>
      </c>
      <c r="BJ154" s="3" t="str">
        <f ca="1">IFERROR(__xludf.DUMMYFUNCTION("""COMPUTED_VALUE"""),"")</f>
        <v/>
      </c>
    </row>
    <row r="155" spans="1:62" ht="12.5" x14ac:dyDescent="0.25">
      <c r="A155" s="6">
        <f ca="1">IFERROR(__xludf.DUMMYFUNCTION("""COMPUTED_VALUE"""),43455.5217990856)</f>
        <v>43455.521799085604</v>
      </c>
      <c r="B155" s="2" t="str">
        <f ca="1">IFERROR(__xludf.DUMMYFUNCTION("""COMPUTED_VALUE"""),"Bay of Plenty")</f>
        <v>Bay of Plenty</v>
      </c>
      <c r="C155" s="2" t="str">
        <f ca="1">IFERROR(__xludf.DUMMYFUNCTION("""COMPUTED_VALUE"""),"Tx 38 - Pearl")</f>
        <v>Tx 38 - Pearl</v>
      </c>
      <c r="D155" s="10">
        <f ca="1">IFERROR(__xludf.DUMMYFUNCTION("""COMPUTED_VALUE"""),42977)</f>
        <v>42977</v>
      </c>
      <c r="E155" s="4">
        <f ca="1">IFERROR(__xludf.DUMMYFUNCTION("""COMPUTED_VALUE"""),0.4375)</f>
        <v>0.4375</v>
      </c>
      <c r="F155" s="2" t="str">
        <f ca="1">IFERROR(__xludf.DUMMYFUNCTION("""COMPUTED_VALUE"""),"Cutwater rd paddocks E ")</f>
        <v xml:space="preserve">Cutwater rd paddocks E </v>
      </c>
      <c r="G155" s="2" t="str">
        <f ca="1">IFERROR(__xludf.DUMMYFUNCTION("""COMPUTED_VALUE"""),"VHF (close approach): I followed the signal until I got within 50 m of the bird")</f>
        <v>VHF (close approach): I followed the signal until I got within 50 m of the bird</v>
      </c>
      <c r="H155" s="2" t="str">
        <f ca="1">IFERROR(__xludf.DUMMYFUNCTION("""COMPUTED_VALUE"""),"")</f>
        <v/>
      </c>
      <c r="I155" s="2" t="str">
        <f ca="1">IFERROR(__xludf.DUMMYFUNCTION("""COMPUTED_VALUE"""),"")</f>
        <v/>
      </c>
      <c r="J155" s="2" t="str">
        <f ca="1">IFERROR(__xludf.DUMMYFUNCTION("""COMPUTED_VALUE"""),"")</f>
        <v/>
      </c>
      <c r="K155" s="2" t="str">
        <f ca="1">IFERROR(__xludf.DUMMYFUNCTION("""COMPUTED_VALUE"""),"")</f>
        <v/>
      </c>
      <c r="L155" s="2" t="str">
        <f ca="1">IFERROR(__xludf.DUMMYFUNCTION("""COMPUTED_VALUE"""),"Yes - it flushed")</f>
        <v>Yes - it flushed</v>
      </c>
      <c r="M155" s="5">
        <f ca="1">IFERROR(__xludf.DUMMYFUNCTION("""COMPUTED_VALUE"""),1907672)</f>
        <v>1907672</v>
      </c>
      <c r="N155" s="5">
        <f ca="1">IFERROR(__xludf.DUMMYFUNCTION("""COMPUTED_VALUE"""),5812380)</f>
        <v>5812380</v>
      </c>
      <c r="O155" s="2" t="str">
        <f ca="1">IFERROR(__xludf.DUMMYFUNCTION("""COMPUTED_VALUE"""),"")</f>
        <v/>
      </c>
      <c r="P155" s="2" t="str">
        <f ca="1">IFERROR(__xludf.DUMMYFUNCTION("""COMPUTED_VALUE"""),"No")</f>
        <v>No</v>
      </c>
      <c r="Q155" s="2" t="str">
        <f ca="1">IFERROR(__xludf.DUMMYFUNCTION("""COMPUTED_VALUE"""),"Dry")</f>
        <v>Dry</v>
      </c>
      <c r="R155" s="2" t="str">
        <f ca="1">IFERROR(__xludf.DUMMYFUNCTION("""COMPUTED_VALUE"""),"dont know")</f>
        <v>dont know</v>
      </c>
      <c r="S155" s="2" t="str">
        <f ca="1">IFERROR(__xludf.DUMMYFUNCTION("""COMPUTED_VALUE"""),"see map")</f>
        <v>see map</v>
      </c>
      <c r="T155" s="2" t="str">
        <f ca="1">IFERROR(__xludf.DUMMYFUNCTION("""COMPUTED_VALUE"""),"farmland drain")</f>
        <v>farmland drain</v>
      </c>
      <c r="U155" s="2" t="str">
        <f ca="1">IFERROR(__xludf.DUMMYFUNCTION("""COMPUTED_VALUE"""),"capture attempt 4 - see report - entered by Karl ")</f>
        <v xml:space="preserve">capture attempt 4 - see report - entered by Karl </v>
      </c>
      <c r="V155" s="2" t="str">
        <f ca="1">IFERROR(__xludf.DUMMYFUNCTION("""COMPUTED_VALUE"""),"")</f>
        <v/>
      </c>
      <c r="W155" s="2" t="str">
        <f ca="1">IFERROR(__xludf.DUMMYFUNCTION("""COMPUTED_VALUE"""),"")</f>
        <v/>
      </c>
      <c r="X155" s="2" t="str">
        <f ca="1">IFERROR(__xludf.DUMMYFUNCTION("""COMPUTED_VALUE"""),"")</f>
        <v/>
      </c>
      <c r="Y155" s="2" t="str">
        <f ca="1">IFERROR(__xludf.DUMMYFUNCTION("""COMPUTED_VALUE"""),"")</f>
        <v/>
      </c>
      <c r="Z155" s="2" t="str">
        <f ca="1">IFERROR(__xludf.DUMMYFUNCTION("""COMPUTED_VALUE"""),"")</f>
        <v/>
      </c>
      <c r="AA155" s="2" t="str">
        <f ca="1">IFERROR(__xludf.DUMMYFUNCTION("""COMPUTED_VALUE"""),"")</f>
        <v/>
      </c>
      <c r="AB155" s="2" t="str">
        <f ca="1">IFERROR(__xludf.DUMMYFUNCTION("""COMPUTED_VALUE"""),"")</f>
        <v/>
      </c>
      <c r="AC155" s="2" t="str">
        <f ca="1">IFERROR(__xludf.DUMMYFUNCTION("""COMPUTED_VALUE"""),"")</f>
        <v/>
      </c>
      <c r="AD155" s="2" t="str">
        <f ca="1">IFERROR(__xludf.DUMMYFUNCTION("""COMPUTED_VALUE"""),"")</f>
        <v/>
      </c>
      <c r="AE155" s="2" t="str">
        <f ca="1">IFERROR(__xludf.DUMMYFUNCTION("""COMPUTED_VALUE"""),"")</f>
        <v/>
      </c>
      <c r="AF155" s="2" t="str">
        <f ca="1">IFERROR(__xludf.DUMMYFUNCTION("""COMPUTED_VALUE"""),"")</f>
        <v/>
      </c>
      <c r="AG155" s="2" t="str">
        <f ca="1">IFERROR(__xludf.DUMMYFUNCTION("""COMPUTED_VALUE"""),"")</f>
        <v/>
      </c>
      <c r="AH155" s="2" t="str">
        <f ca="1">IFERROR(__xludf.DUMMYFUNCTION("""COMPUTED_VALUE"""),"")</f>
        <v/>
      </c>
      <c r="AI155" s="2" t="str">
        <f ca="1">IFERROR(__xludf.DUMMYFUNCTION("""COMPUTED_VALUE"""),"")</f>
        <v/>
      </c>
      <c r="AJ155" s="2" t="str">
        <f ca="1">IFERROR(__xludf.DUMMYFUNCTION("""COMPUTED_VALUE"""),"")</f>
        <v/>
      </c>
      <c r="AK155" s="2" t="str">
        <f ca="1">IFERROR(__xludf.DUMMYFUNCTION("""COMPUTED_VALUE"""),"")</f>
        <v/>
      </c>
      <c r="AL155" s="2" t="str">
        <f ca="1">IFERROR(__xludf.DUMMYFUNCTION("""COMPUTED_VALUE"""),"")</f>
        <v/>
      </c>
      <c r="AM155" s="2" t="str">
        <f ca="1">IFERROR(__xludf.DUMMYFUNCTION("""COMPUTED_VALUE"""),"")</f>
        <v/>
      </c>
      <c r="AN155" s="2" t="str">
        <f ca="1">IFERROR(__xludf.DUMMYFUNCTION("""COMPUTED_VALUE"""),"")</f>
        <v/>
      </c>
      <c r="AO155" s="2" t="str">
        <f ca="1">IFERROR(__xludf.DUMMYFUNCTION("""COMPUTED_VALUE"""),"")</f>
        <v/>
      </c>
      <c r="AP155" s="2" t="str">
        <f ca="1">IFERROR(__xludf.DUMMYFUNCTION("""COMPUTED_VALUE"""),"")</f>
        <v/>
      </c>
      <c r="AQ155" s="2" t="str">
        <f ca="1">IFERROR(__xludf.DUMMYFUNCTION("""COMPUTED_VALUE"""),"")</f>
        <v/>
      </c>
      <c r="AR155" s="2" t="str">
        <f ca="1">IFERROR(__xludf.DUMMYFUNCTION("""COMPUTED_VALUE"""),"")</f>
        <v/>
      </c>
      <c r="AS155" s="2" t="str">
        <f ca="1">IFERROR(__xludf.DUMMYFUNCTION("""COMPUTED_VALUE"""),"")</f>
        <v/>
      </c>
      <c r="AT155" s="2" t="str">
        <f ca="1">IFERROR(__xludf.DUMMYFUNCTION("""COMPUTED_VALUE"""),"")</f>
        <v/>
      </c>
      <c r="AU155" s="2" t="str">
        <f ca="1">IFERROR(__xludf.DUMMYFUNCTION("""COMPUTED_VALUE"""),"")</f>
        <v/>
      </c>
      <c r="AV155" s="2" t="str">
        <f ca="1">IFERROR(__xludf.DUMMYFUNCTION("""COMPUTED_VALUE"""),"")</f>
        <v/>
      </c>
      <c r="AW155" s="2" t="str">
        <f ca="1">IFERROR(__xludf.DUMMYFUNCTION("""COMPUTED_VALUE"""),"")</f>
        <v/>
      </c>
      <c r="AX155" s="2" t="str">
        <f ca="1">IFERROR(__xludf.DUMMYFUNCTION("""COMPUTED_VALUE"""),"")</f>
        <v/>
      </c>
      <c r="AY155" s="2" t="str">
        <f ca="1">IFERROR(__xludf.DUMMYFUNCTION("""COMPUTED_VALUE"""),"")</f>
        <v/>
      </c>
      <c r="AZ155" s="2" t="str">
        <f ca="1">IFERROR(__xludf.DUMMYFUNCTION("""COMPUTED_VALUE"""),"")</f>
        <v/>
      </c>
      <c r="BA155" s="2" t="str">
        <f ca="1">IFERROR(__xludf.DUMMYFUNCTION("""COMPUTED_VALUE"""),"")</f>
        <v/>
      </c>
      <c r="BB155" s="2" t="str">
        <f ca="1">IFERROR(__xludf.DUMMYFUNCTION("""COMPUTED_VALUE"""),"")</f>
        <v/>
      </c>
      <c r="BC155" s="2" t="str">
        <f ca="1">IFERROR(__xludf.DUMMYFUNCTION("""COMPUTED_VALUE"""),"")</f>
        <v/>
      </c>
      <c r="BD155" s="2" t="str">
        <f ca="1">IFERROR(__xludf.DUMMYFUNCTION("""COMPUTED_VALUE"""),"")</f>
        <v/>
      </c>
      <c r="BE155" s="2" t="str">
        <f ca="1">IFERROR(__xludf.DUMMYFUNCTION("""COMPUTED_VALUE"""),"")</f>
        <v/>
      </c>
      <c r="BF155" t="str">
        <f ca="1">IFERROR(__xludf.DUMMYFUNCTION("""COMPUTED_VALUE"""),"")</f>
        <v/>
      </c>
      <c r="BG155" t="str">
        <f ca="1">IFERROR(__xludf.DUMMYFUNCTION("""COMPUTED_VALUE"""),"")</f>
        <v/>
      </c>
      <c r="BH155" t="str">
        <f ca="1">IFERROR(__xludf.DUMMYFUNCTION("""COMPUTED_VALUE"""),"")</f>
        <v/>
      </c>
      <c r="BI155" t="str">
        <f ca="1">IFERROR(__xludf.DUMMYFUNCTION("""COMPUTED_VALUE"""),"")</f>
        <v/>
      </c>
      <c r="BJ155" s="3" t="str">
        <f ca="1">IFERROR(__xludf.DUMMYFUNCTION("""COMPUTED_VALUE"""),"")</f>
        <v/>
      </c>
    </row>
    <row r="156" spans="1:62" ht="12.5" x14ac:dyDescent="0.25">
      <c r="A156" s="6">
        <f ca="1">IFERROR(__xludf.DUMMYFUNCTION("""COMPUTED_VALUE"""),43457.9187942245)</f>
        <v>43457.918794224497</v>
      </c>
      <c r="B156" s="2" t="str">
        <f ca="1">IFERROR(__xludf.DUMMYFUNCTION("""COMPUTED_VALUE"""),"Bay of Plenty")</f>
        <v>Bay of Plenty</v>
      </c>
      <c r="C156" s="2" t="str">
        <f ca="1">IFERROR(__xludf.DUMMYFUNCTION("""COMPUTED_VALUE"""),"Tx 54")</f>
        <v>Tx 54</v>
      </c>
      <c r="D156" s="10">
        <f ca="1">IFERROR(__xludf.DUMMYFUNCTION("""COMPUTED_VALUE"""),43456)</f>
        <v>43456</v>
      </c>
      <c r="E156" s="4">
        <f ca="1">IFERROR(__xludf.DUMMYFUNCTION("""COMPUTED_VALUE"""),0.89583333333212)</f>
        <v>0.89583333333212001</v>
      </c>
      <c r="F156" s="2" t="str">
        <f ca="1">IFERROR(__xludf.DUMMYFUNCTION("""COMPUTED_VALUE"""),"Little Waihi")</f>
        <v>Little Waihi</v>
      </c>
      <c r="G156" s="2" t="str">
        <f ca="1">IFERROR(__xludf.DUMMYFUNCTION("""COMPUTED_VALUE"""),"VHF (Mortality): I just listened to see if the signal was on mortality")</f>
        <v>VHF (Mortality): I just listened to see if the signal was on mortality</v>
      </c>
      <c r="H156" s="2" t="str">
        <f ca="1">IFERROR(__xludf.DUMMYFUNCTION("""COMPUTED_VALUE"""),"")</f>
        <v/>
      </c>
      <c r="I156" s="2" t="str">
        <f ca="1">IFERROR(__xludf.DUMMYFUNCTION("""COMPUTED_VALUE"""),"")</f>
        <v/>
      </c>
      <c r="J156" s="2" t="str">
        <f ca="1">IFERROR(__xludf.DUMMYFUNCTION("""COMPUTED_VALUE"""),"")</f>
        <v/>
      </c>
      <c r="K156" s="2" t="str">
        <f ca="1">IFERROR(__xludf.DUMMYFUNCTION("""COMPUTED_VALUE"""),"")</f>
        <v/>
      </c>
      <c r="L156" s="2" t="str">
        <f ca="1">IFERROR(__xludf.DUMMYFUNCTION("""COMPUTED_VALUE"""),"")</f>
        <v/>
      </c>
      <c r="M156" s="5" t="str">
        <f ca="1">IFERROR(__xludf.DUMMYFUNCTION("""COMPUTED_VALUE"""),"")</f>
        <v/>
      </c>
      <c r="N156" s="5" t="str">
        <f ca="1">IFERROR(__xludf.DUMMYFUNCTION("""COMPUTED_VALUE"""),"")</f>
        <v/>
      </c>
      <c r="O156" s="2" t="str">
        <f ca="1">IFERROR(__xludf.DUMMYFUNCTION("""COMPUTED_VALUE"""),"")</f>
        <v/>
      </c>
      <c r="P156" s="2" t="str">
        <f ca="1">IFERROR(__xludf.DUMMYFUNCTION("""COMPUTED_VALUE"""),"")</f>
        <v/>
      </c>
      <c r="Q156" s="2" t="str">
        <f ca="1">IFERROR(__xludf.DUMMYFUNCTION("""COMPUTED_VALUE"""),"")</f>
        <v/>
      </c>
      <c r="R156" s="2" t="str">
        <f ca="1">IFERROR(__xludf.DUMMYFUNCTION("""COMPUTED_VALUE"""),"")</f>
        <v/>
      </c>
      <c r="S156" s="2" t="str">
        <f ca="1">IFERROR(__xludf.DUMMYFUNCTION("""COMPUTED_VALUE"""),"")</f>
        <v/>
      </c>
      <c r="T156" s="2" t="str">
        <f ca="1">IFERROR(__xludf.DUMMYFUNCTION("""COMPUTED_VALUE"""),"")</f>
        <v/>
      </c>
      <c r="U156" s="2" t="str">
        <f ca="1">IFERROR(__xludf.DUMMYFUNCTION("""COMPUTED_VALUE"""),"")</f>
        <v/>
      </c>
      <c r="V156" s="2" t="str">
        <f ca="1">IFERROR(__xludf.DUMMYFUNCTION("""COMPUTED_VALUE"""),"")</f>
        <v/>
      </c>
      <c r="W156" s="2" t="str">
        <f ca="1">IFERROR(__xludf.DUMMYFUNCTION("""COMPUTED_VALUE"""),"")</f>
        <v/>
      </c>
      <c r="X156" s="2" t="str">
        <f ca="1">IFERROR(__xludf.DUMMYFUNCTION("""COMPUTED_VALUE"""),"")</f>
        <v/>
      </c>
      <c r="Y156" s="2" t="str">
        <f ca="1">IFERROR(__xludf.DUMMYFUNCTION("""COMPUTED_VALUE"""),"")</f>
        <v/>
      </c>
      <c r="Z156" s="2" t="str">
        <f ca="1">IFERROR(__xludf.DUMMYFUNCTION("""COMPUTED_VALUE"""),"")</f>
        <v/>
      </c>
      <c r="AA156" s="2" t="str">
        <f ca="1">IFERROR(__xludf.DUMMYFUNCTION("""COMPUTED_VALUE"""),"")</f>
        <v/>
      </c>
      <c r="AB156" s="2" t="str">
        <f ca="1">IFERROR(__xludf.DUMMYFUNCTION("""COMPUTED_VALUE"""),"")</f>
        <v/>
      </c>
      <c r="AC156" s="2" t="str">
        <f ca="1">IFERROR(__xludf.DUMMYFUNCTION("""COMPUTED_VALUE"""),"")</f>
        <v/>
      </c>
      <c r="AD156" s="2" t="str">
        <f ca="1">IFERROR(__xludf.DUMMYFUNCTION("""COMPUTED_VALUE"""),"")</f>
        <v/>
      </c>
      <c r="AE156" s="2" t="str">
        <f ca="1">IFERROR(__xludf.DUMMYFUNCTION("""COMPUTED_VALUE"""),"")</f>
        <v/>
      </c>
      <c r="AF156" s="2" t="str">
        <f ca="1">IFERROR(__xludf.DUMMYFUNCTION("""COMPUTED_VALUE"""),"")</f>
        <v/>
      </c>
      <c r="AG156" s="2" t="str">
        <f ca="1">IFERROR(__xludf.DUMMYFUNCTION("""COMPUTED_VALUE"""),"")</f>
        <v/>
      </c>
      <c r="AH156" s="2" t="str">
        <f ca="1">IFERROR(__xludf.DUMMYFUNCTION("""COMPUTED_VALUE"""),"")</f>
        <v/>
      </c>
      <c r="AI156" s="2" t="str">
        <f ca="1">IFERROR(__xludf.DUMMYFUNCTION("""COMPUTED_VALUE"""),"")</f>
        <v/>
      </c>
      <c r="AJ156" s="2" t="str">
        <f ca="1">IFERROR(__xludf.DUMMYFUNCTION("""COMPUTED_VALUE"""),"")</f>
        <v/>
      </c>
      <c r="AK156" s="2" t="str">
        <f ca="1">IFERROR(__xludf.DUMMYFUNCTION("""COMPUTED_VALUE"""),"")</f>
        <v/>
      </c>
      <c r="AL156" s="2" t="str">
        <f ca="1">IFERROR(__xludf.DUMMYFUNCTION("""COMPUTED_VALUE"""),"")</f>
        <v/>
      </c>
      <c r="AM156" s="2" t="str">
        <f ca="1">IFERROR(__xludf.DUMMYFUNCTION("""COMPUTED_VALUE"""),"")</f>
        <v/>
      </c>
      <c r="AN156" s="2" t="str">
        <f ca="1">IFERROR(__xludf.DUMMYFUNCTION("""COMPUTED_VALUE"""),"")</f>
        <v/>
      </c>
      <c r="AO156" s="2" t="str">
        <f ca="1">IFERROR(__xludf.DUMMYFUNCTION("""COMPUTED_VALUE"""),"")</f>
        <v/>
      </c>
      <c r="AP156" s="2" t="str">
        <f ca="1">IFERROR(__xludf.DUMMYFUNCTION("""COMPUTED_VALUE"""),"")</f>
        <v/>
      </c>
      <c r="AQ156" s="2" t="str">
        <f ca="1">IFERROR(__xludf.DUMMYFUNCTION("""COMPUTED_VALUE"""),"")</f>
        <v/>
      </c>
      <c r="AR156" s="2" t="str">
        <f ca="1">IFERROR(__xludf.DUMMYFUNCTION("""COMPUTED_VALUE"""),"")</f>
        <v/>
      </c>
      <c r="AS156" s="2" t="str">
        <f ca="1">IFERROR(__xludf.DUMMYFUNCTION("""COMPUTED_VALUE"""),"")</f>
        <v/>
      </c>
      <c r="AT156" s="2" t="str">
        <f ca="1">IFERROR(__xludf.DUMMYFUNCTION("""COMPUTED_VALUE"""),"")</f>
        <v/>
      </c>
      <c r="AU156" s="2" t="str">
        <f ca="1">IFERROR(__xludf.DUMMYFUNCTION("""COMPUTED_VALUE"""),"")</f>
        <v/>
      </c>
      <c r="AV156" s="2" t="str">
        <f ca="1">IFERROR(__xludf.DUMMYFUNCTION("""COMPUTED_VALUE"""),"30 pulses per minute - great all is well")</f>
        <v>30 pulses per minute - great all is well</v>
      </c>
      <c r="AW156" s="2">
        <f ca="1">IFERROR(__xludf.DUMMYFUNCTION("""COMPUTED_VALUE"""),1907650)</f>
        <v>1907650</v>
      </c>
      <c r="AX156" s="2">
        <f ca="1">IFERROR(__xludf.DUMMYFUNCTION("""COMPUTED_VALUE"""),5814148)</f>
        <v>5814148</v>
      </c>
      <c r="AY156" s="2" t="str">
        <f ca="1">IFERROR(__xludf.DUMMYFUNCTION("""COMPUTED_VALUE"""),"Bird seems to be in the eastern WMR ")</f>
        <v xml:space="preserve">Bird seems to be in the eastern WMR </v>
      </c>
      <c r="AZ156" s="2" t="str">
        <f ca="1">IFERROR(__xludf.DUMMYFUNCTION("""COMPUTED_VALUE"""),"")</f>
        <v/>
      </c>
      <c r="BA156" s="2" t="str">
        <f ca="1">IFERROR(__xludf.DUMMYFUNCTION("""COMPUTED_VALUE"""),"")</f>
        <v/>
      </c>
      <c r="BB156" s="2" t="str">
        <f ca="1">IFERROR(__xludf.DUMMYFUNCTION("""COMPUTED_VALUE"""),"")</f>
        <v/>
      </c>
      <c r="BC156" s="2" t="str">
        <f ca="1">IFERROR(__xludf.DUMMYFUNCTION("""COMPUTED_VALUE"""),"")</f>
        <v/>
      </c>
      <c r="BD156" s="2" t="str">
        <f ca="1">IFERROR(__xludf.DUMMYFUNCTION("""COMPUTED_VALUE"""),"")</f>
        <v/>
      </c>
      <c r="BE156" s="2" t="str">
        <f ca="1">IFERROR(__xludf.DUMMYFUNCTION("""COMPUTED_VALUE"""),"")</f>
        <v/>
      </c>
      <c r="BF156" t="str">
        <f ca="1">IFERROR(__xludf.DUMMYFUNCTION("""COMPUTED_VALUE"""),"")</f>
        <v/>
      </c>
      <c r="BG156" t="str">
        <f ca="1">IFERROR(__xludf.DUMMYFUNCTION("""COMPUTED_VALUE"""),"")</f>
        <v/>
      </c>
      <c r="BH156" t="str">
        <f ca="1">IFERROR(__xludf.DUMMYFUNCTION("""COMPUTED_VALUE"""),"")</f>
        <v/>
      </c>
      <c r="BI156" t="str">
        <f ca="1">IFERROR(__xludf.DUMMYFUNCTION("""COMPUTED_VALUE"""),"")</f>
        <v/>
      </c>
      <c r="BJ156" s="3" t="str">
        <f ca="1">IFERROR(__xludf.DUMMYFUNCTION("""COMPUTED_VALUE"""),"")</f>
        <v/>
      </c>
    </row>
    <row r="157" spans="1:62" ht="12.5" x14ac:dyDescent="0.25">
      <c r="A157" s="6">
        <f ca="1">IFERROR(__xludf.DUMMYFUNCTION("""COMPUTED_VALUE"""),43479.8407990162)</f>
        <v>43479.840799016201</v>
      </c>
      <c r="B157" s="2" t="str">
        <f ca="1">IFERROR(__xludf.DUMMYFUNCTION("""COMPUTED_VALUE"""),"Bay of Plenty")</f>
        <v>Bay of Plenty</v>
      </c>
      <c r="C157" s="2" t="str">
        <f ca="1">IFERROR(__xludf.DUMMYFUNCTION("""COMPUTED_VALUE"""),"Tx 54")</f>
        <v>Tx 54</v>
      </c>
      <c r="D157" s="10">
        <f ca="1">IFERROR(__xludf.DUMMYFUNCTION("""COMPUTED_VALUE"""),43474)</f>
        <v>43474</v>
      </c>
      <c r="E157" s="4">
        <f ca="1">IFERROR(__xludf.DUMMYFUNCTION("""COMPUTED_VALUE"""),0.875)</f>
        <v>0.875</v>
      </c>
      <c r="F157" s="2" t="str">
        <f ca="1">IFERROR(__xludf.DUMMYFUNCTION("""COMPUTED_VALUE"""),"Little Waihi")</f>
        <v>Little Waihi</v>
      </c>
      <c r="G157" s="2" t="str">
        <f ca="1">IFERROR(__xludf.DUMMYFUNCTION("""COMPUTED_VALUE"""),"VHF (Mortality): I just listened to see if the signal was on mortality")</f>
        <v>VHF (Mortality): I just listened to see if the signal was on mortality</v>
      </c>
      <c r="H157" s="2" t="str">
        <f ca="1">IFERROR(__xludf.DUMMYFUNCTION("""COMPUTED_VALUE"""),"")</f>
        <v/>
      </c>
      <c r="I157" s="2" t="str">
        <f ca="1">IFERROR(__xludf.DUMMYFUNCTION("""COMPUTED_VALUE"""),"")</f>
        <v/>
      </c>
      <c r="J157" s="2" t="str">
        <f ca="1">IFERROR(__xludf.DUMMYFUNCTION("""COMPUTED_VALUE"""),"")</f>
        <v/>
      </c>
      <c r="K157" s="2" t="str">
        <f ca="1">IFERROR(__xludf.DUMMYFUNCTION("""COMPUTED_VALUE"""),"")</f>
        <v/>
      </c>
      <c r="L157" s="2" t="str">
        <f ca="1">IFERROR(__xludf.DUMMYFUNCTION("""COMPUTED_VALUE"""),"")</f>
        <v/>
      </c>
      <c r="M157" s="5" t="str">
        <f ca="1">IFERROR(__xludf.DUMMYFUNCTION("""COMPUTED_VALUE"""),"")</f>
        <v/>
      </c>
      <c r="N157" s="5" t="str">
        <f ca="1">IFERROR(__xludf.DUMMYFUNCTION("""COMPUTED_VALUE"""),"")</f>
        <v/>
      </c>
      <c r="O157" s="2" t="str">
        <f ca="1">IFERROR(__xludf.DUMMYFUNCTION("""COMPUTED_VALUE"""),"")</f>
        <v/>
      </c>
      <c r="P157" s="2" t="str">
        <f ca="1">IFERROR(__xludf.DUMMYFUNCTION("""COMPUTED_VALUE"""),"")</f>
        <v/>
      </c>
      <c r="Q157" s="2" t="str">
        <f ca="1">IFERROR(__xludf.DUMMYFUNCTION("""COMPUTED_VALUE"""),"")</f>
        <v/>
      </c>
      <c r="R157" s="2" t="str">
        <f ca="1">IFERROR(__xludf.DUMMYFUNCTION("""COMPUTED_VALUE"""),"")</f>
        <v/>
      </c>
      <c r="S157" s="2" t="str">
        <f ca="1">IFERROR(__xludf.DUMMYFUNCTION("""COMPUTED_VALUE"""),"")</f>
        <v/>
      </c>
      <c r="T157" s="2" t="str">
        <f ca="1">IFERROR(__xludf.DUMMYFUNCTION("""COMPUTED_VALUE"""),"")</f>
        <v/>
      </c>
      <c r="U157" s="2" t="str">
        <f ca="1">IFERROR(__xludf.DUMMYFUNCTION("""COMPUTED_VALUE"""),"")</f>
        <v/>
      </c>
      <c r="V157" s="2" t="str">
        <f ca="1">IFERROR(__xludf.DUMMYFUNCTION("""COMPUTED_VALUE"""),"")</f>
        <v/>
      </c>
      <c r="W157" s="2" t="str">
        <f ca="1">IFERROR(__xludf.DUMMYFUNCTION("""COMPUTED_VALUE"""),"")</f>
        <v/>
      </c>
      <c r="X157" s="2" t="str">
        <f ca="1">IFERROR(__xludf.DUMMYFUNCTION("""COMPUTED_VALUE"""),"")</f>
        <v/>
      </c>
      <c r="Y157" s="2" t="str">
        <f ca="1">IFERROR(__xludf.DUMMYFUNCTION("""COMPUTED_VALUE"""),"")</f>
        <v/>
      </c>
      <c r="Z157" s="2" t="str">
        <f ca="1">IFERROR(__xludf.DUMMYFUNCTION("""COMPUTED_VALUE"""),"")</f>
        <v/>
      </c>
      <c r="AA157" s="2" t="str">
        <f ca="1">IFERROR(__xludf.DUMMYFUNCTION("""COMPUTED_VALUE"""),"")</f>
        <v/>
      </c>
      <c r="AB157" s="2" t="str">
        <f ca="1">IFERROR(__xludf.DUMMYFUNCTION("""COMPUTED_VALUE"""),"")</f>
        <v/>
      </c>
      <c r="AC157" s="2" t="str">
        <f ca="1">IFERROR(__xludf.DUMMYFUNCTION("""COMPUTED_VALUE"""),"")</f>
        <v/>
      </c>
      <c r="AD157" s="2" t="str">
        <f ca="1">IFERROR(__xludf.DUMMYFUNCTION("""COMPUTED_VALUE"""),"")</f>
        <v/>
      </c>
      <c r="AE157" s="2" t="str">
        <f ca="1">IFERROR(__xludf.DUMMYFUNCTION("""COMPUTED_VALUE"""),"")</f>
        <v/>
      </c>
      <c r="AF157" s="2" t="str">
        <f ca="1">IFERROR(__xludf.DUMMYFUNCTION("""COMPUTED_VALUE"""),"")</f>
        <v/>
      </c>
      <c r="AG157" s="2" t="str">
        <f ca="1">IFERROR(__xludf.DUMMYFUNCTION("""COMPUTED_VALUE"""),"")</f>
        <v/>
      </c>
      <c r="AH157" s="2" t="str">
        <f ca="1">IFERROR(__xludf.DUMMYFUNCTION("""COMPUTED_VALUE"""),"")</f>
        <v/>
      </c>
      <c r="AI157" s="2" t="str">
        <f ca="1">IFERROR(__xludf.DUMMYFUNCTION("""COMPUTED_VALUE"""),"")</f>
        <v/>
      </c>
      <c r="AJ157" s="2" t="str">
        <f ca="1">IFERROR(__xludf.DUMMYFUNCTION("""COMPUTED_VALUE"""),"")</f>
        <v/>
      </c>
      <c r="AK157" s="2" t="str">
        <f ca="1">IFERROR(__xludf.DUMMYFUNCTION("""COMPUTED_VALUE"""),"")</f>
        <v/>
      </c>
      <c r="AL157" s="2" t="str">
        <f ca="1">IFERROR(__xludf.DUMMYFUNCTION("""COMPUTED_VALUE"""),"")</f>
        <v/>
      </c>
      <c r="AM157" s="2" t="str">
        <f ca="1">IFERROR(__xludf.DUMMYFUNCTION("""COMPUTED_VALUE"""),"")</f>
        <v/>
      </c>
      <c r="AN157" s="2" t="str">
        <f ca="1">IFERROR(__xludf.DUMMYFUNCTION("""COMPUTED_VALUE"""),"")</f>
        <v/>
      </c>
      <c r="AO157" s="2" t="str">
        <f ca="1">IFERROR(__xludf.DUMMYFUNCTION("""COMPUTED_VALUE"""),"")</f>
        <v/>
      </c>
      <c r="AP157" s="2" t="str">
        <f ca="1">IFERROR(__xludf.DUMMYFUNCTION("""COMPUTED_VALUE"""),"")</f>
        <v/>
      </c>
      <c r="AQ157" s="2" t="str">
        <f ca="1">IFERROR(__xludf.DUMMYFUNCTION("""COMPUTED_VALUE"""),"")</f>
        <v/>
      </c>
      <c r="AR157" s="2" t="str">
        <f ca="1">IFERROR(__xludf.DUMMYFUNCTION("""COMPUTED_VALUE"""),"")</f>
        <v/>
      </c>
      <c r="AS157" s="2" t="str">
        <f ca="1">IFERROR(__xludf.DUMMYFUNCTION("""COMPUTED_VALUE"""),"")</f>
        <v/>
      </c>
      <c r="AT157" s="2" t="str">
        <f ca="1">IFERROR(__xludf.DUMMYFUNCTION("""COMPUTED_VALUE"""),"")</f>
        <v/>
      </c>
      <c r="AU157" s="2" t="str">
        <f ca="1">IFERROR(__xludf.DUMMYFUNCTION("""COMPUTED_VALUE"""),"")</f>
        <v/>
      </c>
      <c r="AV157" s="2" t="str">
        <f ca="1">IFERROR(__xludf.DUMMYFUNCTION("""COMPUTED_VALUE"""),"30 pulses per minute - great all is well")</f>
        <v>30 pulses per minute - great all is well</v>
      </c>
      <c r="AW157" s="2">
        <f ca="1">IFERROR(__xludf.DUMMYFUNCTION("""COMPUTED_VALUE"""),1907650)</f>
        <v>1907650</v>
      </c>
      <c r="AX157" s="2">
        <f ca="1">IFERROR(__xludf.DUMMYFUNCTION("""COMPUTED_VALUE"""),5814148)</f>
        <v>5814148</v>
      </c>
      <c r="AY157" s="2" t="str">
        <f ca="1">IFERROR(__xludf.DUMMYFUNCTION("""COMPUTED_VALUE"""),"In or about the Waihi WMR")</f>
        <v>In or about the Waihi WMR</v>
      </c>
      <c r="AZ157" s="2" t="str">
        <f ca="1">IFERROR(__xludf.DUMMYFUNCTION("""COMPUTED_VALUE"""),"")</f>
        <v/>
      </c>
      <c r="BA157" s="2" t="str">
        <f ca="1">IFERROR(__xludf.DUMMYFUNCTION("""COMPUTED_VALUE"""),"")</f>
        <v/>
      </c>
      <c r="BB157" s="2" t="str">
        <f ca="1">IFERROR(__xludf.DUMMYFUNCTION("""COMPUTED_VALUE"""),"")</f>
        <v/>
      </c>
      <c r="BC157" s="2" t="str">
        <f ca="1">IFERROR(__xludf.DUMMYFUNCTION("""COMPUTED_VALUE"""),"")</f>
        <v/>
      </c>
      <c r="BD157" s="2" t="str">
        <f ca="1">IFERROR(__xludf.DUMMYFUNCTION("""COMPUTED_VALUE"""),"")</f>
        <v/>
      </c>
      <c r="BE157" s="2" t="str">
        <f ca="1">IFERROR(__xludf.DUMMYFUNCTION("""COMPUTED_VALUE"""),"")</f>
        <v/>
      </c>
      <c r="BF157" t="str">
        <f ca="1">IFERROR(__xludf.DUMMYFUNCTION("""COMPUTED_VALUE"""),"")</f>
        <v/>
      </c>
      <c r="BG157" t="str">
        <f ca="1">IFERROR(__xludf.DUMMYFUNCTION("""COMPUTED_VALUE"""),"")</f>
        <v/>
      </c>
      <c r="BH157" t="str">
        <f ca="1">IFERROR(__xludf.DUMMYFUNCTION("""COMPUTED_VALUE"""),"")</f>
        <v/>
      </c>
      <c r="BI157" t="str">
        <f ca="1">IFERROR(__xludf.DUMMYFUNCTION("""COMPUTED_VALUE"""),"")</f>
        <v/>
      </c>
      <c r="BJ157" s="3" t="str">
        <f ca="1">IFERROR(__xludf.DUMMYFUNCTION("""COMPUTED_VALUE"""),"")</f>
        <v/>
      </c>
    </row>
    <row r="158" spans="1:62" ht="12.5" x14ac:dyDescent="0.25">
      <c r="A158" s="6">
        <f ca="1">IFERROR(__xludf.DUMMYFUNCTION("""COMPUTED_VALUE"""),43481.4129247106)</f>
        <v>43481.412924710603</v>
      </c>
      <c r="B158" s="2" t="str">
        <f ca="1">IFERROR(__xludf.DUMMYFUNCTION("""COMPUTED_VALUE"""),"Bay of Plenty")</f>
        <v>Bay of Plenty</v>
      </c>
      <c r="C158" s="2" t="str">
        <f ca="1">IFERROR(__xludf.DUMMYFUNCTION("""COMPUTED_VALUE"""),"Tx 54")</f>
        <v>Tx 54</v>
      </c>
      <c r="D158" s="10">
        <f ca="1">IFERROR(__xludf.DUMMYFUNCTION("""COMPUTED_VALUE"""),43480)</f>
        <v>43480</v>
      </c>
      <c r="E158" s="4">
        <f ca="1">IFERROR(__xludf.DUMMYFUNCTION("""COMPUTED_VALUE"""),0.756944444445252)</f>
        <v>0.756944444445252</v>
      </c>
      <c r="F158" s="2" t="str">
        <f ca="1">IFERROR(__xludf.DUMMYFUNCTION("""COMPUTED_VALUE"""),"Pongakawa river banks")</f>
        <v>Pongakawa river banks</v>
      </c>
      <c r="G158" s="2" t="str">
        <f ca="1">IFERROR(__xludf.DUMMYFUNCTION("""COMPUTED_VALUE"""),"VHF (close approach): I followed the signal until I got within 50 m of the bird")</f>
        <v>VHF (close approach): I followed the signal until I got within 50 m of the bird</v>
      </c>
      <c r="H158" s="2" t="str">
        <f ca="1">IFERROR(__xludf.DUMMYFUNCTION("""COMPUTED_VALUE"""),"")</f>
        <v/>
      </c>
      <c r="I158" s="2" t="str">
        <f ca="1">IFERROR(__xludf.DUMMYFUNCTION("""COMPUTED_VALUE"""),"")</f>
        <v/>
      </c>
      <c r="J158" s="2" t="str">
        <f ca="1">IFERROR(__xludf.DUMMYFUNCTION("""COMPUTED_VALUE"""),"")</f>
        <v/>
      </c>
      <c r="K158" s="2" t="str">
        <f ca="1">IFERROR(__xludf.DUMMYFUNCTION("""COMPUTED_VALUE"""),"")</f>
        <v/>
      </c>
      <c r="L158" s="2" t="str">
        <f ca="1">IFERROR(__xludf.DUMMYFUNCTION("""COMPUTED_VALUE"""),"No - I got very close to the bird but it was well hidden in the vegetation")</f>
        <v>No - I got very close to the bird but it was well hidden in the vegetation</v>
      </c>
      <c r="M158" s="5">
        <f ca="1">IFERROR(__xludf.DUMMYFUNCTION("""COMPUTED_VALUE"""),1907041.58)</f>
        <v>1907041.58</v>
      </c>
      <c r="N158" s="5">
        <f ca="1">IFERROR(__xludf.DUMMYFUNCTION("""COMPUTED_VALUE"""),5812685.07)</f>
        <v>5812685.0700000003</v>
      </c>
      <c r="O158" s="2" t="str">
        <f ca="1">IFERROR(__xludf.DUMMYFUNCTION("""COMPUTED_VALUE"""),"")</f>
        <v/>
      </c>
      <c r="P158" s="2" t="str">
        <f ca="1">IFERROR(__xludf.DUMMYFUNCTION("""COMPUTED_VALUE"""),"N/A - not grazed")</f>
        <v>N/A - not grazed</v>
      </c>
      <c r="Q158" s="2" t="str">
        <f ca="1">IFERROR(__xludf.DUMMYFUNCTION("""COMPUTED_VALUE"""),"Wet")</f>
        <v>Wet</v>
      </c>
      <c r="R158" s="2" t="str">
        <f ca="1">IFERROR(__xludf.DUMMYFUNCTION("""COMPUTED_VALUE"""),"dont know")</f>
        <v>dont know</v>
      </c>
      <c r="S158" s="2" t="str">
        <f ca="1">IFERROR(__xludf.DUMMYFUNCTION("""COMPUTED_VALUE"""),"possibly sitting on weed in river? ")</f>
        <v xml:space="preserve">possibly sitting on weed in river? </v>
      </c>
      <c r="T158" s="2" t="str">
        <f ca="1">IFERROR(__xludf.DUMMYFUNCTION("""COMPUTED_VALUE"""),"Pongakawa river ")</f>
        <v xml:space="preserve">Pongakawa river </v>
      </c>
      <c r="U158" s="2" t="str">
        <f ca="1">IFERROR(__xludf.DUMMYFUNCTION("""COMPUTED_VALUE"""),"Started at 6pm cutwater rd, final listen at 8.15pm from Waihi WMR sounded more on the western side of the river bank but hard to tell. definatley on the river... bird still in approximate location two hours later.. nesting over? very dry.")</f>
        <v>Started at 6pm cutwater rd, final listen at 8.15pm from Waihi WMR sounded more on the western side of the river bank but hard to tell. definatley on the river... bird still in approximate location two hours later.. nesting over? very dry.</v>
      </c>
      <c r="V158" s="2" t="str">
        <f ca="1">IFERROR(__xludf.DUMMYFUNCTION("""COMPUTED_VALUE"""),"")</f>
        <v/>
      </c>
      <c r="W158" s="2" t="str">
        <f ca="1">IFERROR(__xludf.DUMMYFUNCTION("""COMPUTED_VALUE"""),"")</f>
        <v/>
      </c>
      <c r="X158" s="2" t="str">
        <f ca="1">IFERROR(__xludf.DUMMYFUNCTION("""COMPUTED_VALUE"""),"")</f>
        <v/>
      </c>
      <c r="Y158" s="2" t="str">
        <f ca="1">IFERROR(__xludf.DUMMYFUNCTION("""COMPUTED_VALUE"""),"")</f>
        <v/>
      </c>
      <c r="Z158" s="2" t="str">
        <f ca="1">IFERROR(__xludf.DUMMYFUNCTION("""COMPUTED_VALUE"""),"")</f>
        <v/>
      </c>
      <c r="AA158" s="2" t="str">
        <f ca="1">IFERROR(__xludf.DUMMYFUNCTION("""COMPUTED_VALUE"""),"")</f>
        <v/>
      </c>
      <c r="AB158" s="2" t="str">
        <f ca="1">IFERROR(__xludf.DUMMYFUNCTION("""COMPUTED_VALUE"""),"")</f>
        <v/>
      </c>
      <c r="AC158" s="2" t="str">
        <f ca="1">IFERROR(__xludf.DUMMYFUNCTION("""COMPUTED_VALUE"""),"")</f>
        <v/>
      </c>
      <c r="AD158" s="2" t="str">
        <f ca="1">IFERROR(__xludf.DUMMYFUNCTION("""COMPUTED_VALUE"""),"")</f>
        <v/>
      </c>
      <c r="AE158" s="2" t="str">
        <f ca="1">IFERROR(__xludf.DUMMYFUNCTION("""COMPUTED_VALUE"""),"")</f>
        <v/>
      </c>
      <c r="AF158" s="2" t="str">
        <f ca="1">IFERROR(__xludf.DUMMYFUNCTION("""COMPUTED_VALUE"""),"")</f>
        <v/>
      </c>
      <c r="AG158" s="2" t="str">
        <f ca="1">IFERROR(__xludf.DUMMYFUNCTION("""COMPUTED_VALUE"""),"")</f>
        <v/>
      </c>
      <c r="AH158" s="2" t="str">
        <f ca="1">IFERROR(__xludf.DUMMYFUNCTION("""COMPUTED_VALUE"""),"")</f>
        <v/>
      </c>
      <c r="AI158" s="2" t="str">
        <f ca="1">IFERROR(__xludf.DUMMYFUNCTION("""COMPUTED_VALUE"""),"")</f>
        <v/>
      </c>
      <c r="AJ158" s="2" t="str">
        <f ca="1">IFERROR(__xludf.DUMMYFUNCTION("""COMPUTED_VALUE"""),"")</f>
        <v/>
      </c>
      <c r="AK158" s="2" t="str">
        <f ca="1">IFERROR(__xludf.DUMMYFUNCTION("""COMPUTED_VALUE"""),"")</f>
        <v/>
      </c>
      <c r="AL158" s="2" t="str">
        <f ca="1">IFERROR(__xludf.DUMMYFUNCTION("""COMPUTED_VALUE"""),"")</f>
        <v/>
      </c>
      <c r="AM158" s="2" t="str">
        <f ca="1">IFERROR(__xludf.DUMMYFUNCTION("""COMPUTED_VALUE"""),"")</f>
        <v/>
      </c>
      <c r="AN158" s="2" t="str">
        <f ca="1">IFERROR(__xludf.DUMMYFUNCTION("""COMPUTED_VALUE"""),"")</f>
        <v/>
      </c>
      <c r="AO158" s="2" t="str">
        <f ca="1">IFERROR(__xludf.DUMMYFUNCTION("""COMPUTED_VALUE"""),"")</f>
        <v/>
      </c>
      <c r="AP158" s="2" t="str">
        <f ca="1">IFERROR(__xludf.DUMMYFUNCTION("""COMPUTED_VALUE"""),"")</f>
        <v/>
      </c>
      <c r="AQ158" s="2" t="str">
        <f ca="1">IFERROR(__xludf.DUMMYFUNCTION("""COMPUTED_VALUE"""),"")</f>
        <v/>
      </c>
      <c r="AR158" s="2" t="str">
        <f ca="1">IFERROR(__xludf.DUMMYFUNCTION("""COMPUTED_VALUE"""),"")</f>
        <v/>
      </c>
      <c r="AS158" s="2" t="str">
        <f ca="1">IFERROR(__xludf.DUMMYFUNCTION("""COMPUTED_VALUE"""),"")</f>
        <v/>
      </c>
      <c r="AT158" s="2" t="str">
        <f ca="1">IFERROR(__xludf.DUMMYFUNCTION("""COMPUTED_VALUE"""),"")</f>
        <v/>
      </c>
      <c r="AU158" s="2" t="str">
        <f ca="1">IFERROR(__xludf.DUMMYFUNCTION("""COMPUTED_VALUE"""),"")</f>
        <v/>
      </c>
      <c r="AV158" s="2" t="str">
        <f ca="1">IFERROR(__xludf.DUMMYFUNCTION("""COMPUTED_VALUE"""),"")</f>
        <v/>
      </c>
      <c r="AW158" s="2" t="str">
        <f ca="1">IFERROR(__xludf.DUMMYFUNCTION("""COMPUTED_VALUE"""),"")</f>
        <v/>
      </c>
      <c r="AX158" s="2" t="str">
        <f ca="1">IFERROR(__xludf.DUMMYFUNCTION("""COMPUTED_VALUE"""),"")</f>
        <v/>
      </c>
      <c r="AY158" s="2" t="str">
        <f ca="1">IFERROR(__xludf.DUMMYFUNCTION("""COMPUTED_VALUE"""),"")</f>
        <v/>
      </c>
      <c r="AZ158" s="2" t="str">
        <f ca="1">IFERROR(__xludf.DUMMYFUNCTION("""COMPUTED_VALUE"""),"")</f>
        <v/>
      </c>
      <c r="BA158" s="2" t="str">
        <f ca="1">IFERROR(__xludf.DUMMYFUNCTION("""COMPUTED_VALUE"""),"")</f>
        <v/>
      </c>
      <c r="BB158" s="2" t="str">
        <f ca="1">IFERROR(__xludf.DUMMYFUNCTION("""COMPUTED_VALUE"""),"")</f>
        <v/>
      </c>
      <c r="BC158" s="2" t="str">
        <f ca="1">IFERROR(__xludf.DUMMYFUNCTION("""COMPUTED_VALUE"""),"")</f>
        <v/>
      </c>
      <c r="BD158" s="2" t="str">
        <f ca="1">IFERROR(__xludf.DUMMYFUNCTION("""COMPUTED_VALUE"""),"")</f>
        <v/>
      </c>
      <c r="BE158" s="2" t="str">
        <f ca="1">IFERROR(__xludf.DUMMYFUNCTION("""COMPUTED_VALUE"""),"")</f>
        <v/>
      </c>
      <c r="BF158" t="str">
        <f ca="1">IFERROR(__xludf.DUMMYFUNCTION("""COMPUTED_VALUE"""),"")</f>
        <v/>
      </c>
      <c r="BG158" t="str">
        <f ca="1">IFERROR(__xludf.DUMMYFUNCTION("""COMPUTED_VALUE"""),"")</f>
        <v/>
      </c>
      <c r="BH158" t="str">
        <f ca="1">IFERROR(__xludf.DUMMYFUNCTION("""COMPUTED_VALUE"""),"")</f>
        <v/>
      </c>
      <c r="BI158" t="str">
        <f ca="1">IFERROR(__xludf.DUMMYFUNCTION("""COMPUTED_VALUE"""),"")</f>
        <v/>
      </c>
      <c r="BJ158" s="3" t="str">
        <f ca="1">IFERROR(__xludf.DUMMYFUNCTION("""COMPUTED_VALUE"""),"")</f>
        <v/>
      </c>
    </row>
    <row r="159" spans="1:62" ht="12.5" x14ac:dyDescent="0.25">
      <c r="A159" s="6">
        <f ca="1">IFERROR(__xludf.DUMMYFUNCTION("""COMPUTED_VALUE"""),43490.5975921759)</f>
        <v>43490.597592175902</v>
      </c>
      <c r="B159" s="2" t="str">
        <f ca="1">IFERROR(__xludf.DUMMYFUNCTION("""COMPUTED_VALUE"""),"Bay of Plenty")</f>
        <v>Bay of Plenty</v>
      </c>
      <c r="C159" s="2" t="str">
        <f ca="1">IFERROR(__xludf.DUMMYFUNCTION("""COMPUTED_VALUE"""),"Tx 54")</f>
        <v>Tx 54</v>
      </c>
      <c r="D159" s="10">
        <f ca="1">IFERROR(__xludf.DUMMYFUNCTION("""COMPUTED_VALUE"""),43490)</f>
        <v>43490</v>
      </c>
      <c r="E159" s="4">
        <f ca="1">IFERROR(__xludf.DUMMYFUNCTION("""COMPUTED_VALUE"""),0.39583333333212)</f>
        <v>0.39583333333212001</v>
      </c>
      <c r="F159" s="2" t="str">
        <f ca="1">IFERROR(__xludf.DUMMYFUNCTION("""COMPUTED_VALUE"""),"Cutwater rd, Waihi WMR, Whakapoukorero, High point on Maketu")</f>
        <v>Cutwater rd, Waihi WMR, Whakapoukorero, High point on Maketu</v>
      </c>
      <c r="G159" s="2" t="str">
        <f ca="1">IFERROR(__xludf.DUMMYFUNCTION("""COMPUTED_VALUE"""),"None: I listened for the bird but was unable to find it")</f>
        <v>None: I listened for the bird but was unable to find it</v>
      </c>
      <c r="H159" s="2" t="str">
        <f ca="1">IFERROR(__xludf.DUMMYFUNCTION("""COMPUTED_VALUE"""),"")</f>
        <v/>
      </c>
      <c r="I159" s="2" t="str">
        <f ca="1">IFERROR(__xludf.DUMMYFUNCTION("""COMPUTED_VALUE"""),"")</f>
        <v/>
      </c>
      <c r="J159" s="2" t="str">
        <f ca="1">IFERROR(__xludf.DUMMYFUNCTION("""COMPUTED_VALUE"""),"")</f>
        <v/>
      </c>
      <c r="K159" s="2" t="str">
        <f ca="1">IFERROR(__xludf.DUMMYFUNCTION("""COMPUTED_VALUE"""),"")</f>
        <v/>
      </c>
      <c r="L159" s="2" t="str">
        <f ca="1">IFERROR(__xludf.DUMMYFUNCTION("""COMPUTED_VALUE"""),"")</f>
        <v/>
      </c>
      <c r="M159" s="5" t="str">
        <f ca="1">IFERROR(__xludf.DUMMYFUNCTION("""COMPUTED_VALUE"""),"")</f>
        <v/>
      </c>
      <c r="N159" s="5" t="str">
        <f ca="1">IFERROR(__xludf.DUMMYFUNCTION("""COMPUTED_VALUE"""),"")</f>
        <v/>
      </c>
      <c r="O159" s="2" t="str">
        <f ca="1">IFERROR(__xludf.DUMMYFUNCTION("""COMPUTED_VALUE"""),"")</f>
        <v/>
      </c>
      <c r="P159" s="2" t="str">
        <f ca="1">IFERROR(__xludf.DUMMYFUNCTION("""COMPUTED_VALUE"""),"")</f>
        <v/>
      </c>
      <c r="Q159" s="2" t="str">
        <f ca="1">IFERROR(__xludf.DUMMYFUNCTION("""COMPUTED_VALUE"""),"")</f>
        <v/>
      </c>
      <c r="R159" s="2" t="str">
        <f ca="1">IFERROR(__xludf.DUMMYFUNCTION("""COMPUTED_VALUE"""),"")</f>
        <v/>
      </c>
      <c r="S159" s="2" t="str">
        <f ca="1">IFERROR(__xludf.DUMMYFUNCTION("""COMPUTED_VALUE"""),"")</f>
        <v/>
      </c>
      <c r="T159" s="2" t="str">
        <f ca="1">IFERROR(__xludf.DUMMYFUNCTION("""COMPUTED_VALUE"""),"")</f>
        <v/>
      </c>
      <c r="U159" s="2" t="str">
        <f ca="1">IFERROR(__xludf.DUMMYFUNCTION("""COMPUTED_VALUE"""),"")</f>
        <v/>
      </c>
      <c r="V159" s="2" t="str">
        <f ca="1">IFERROR(__xludf.DUMMYFUNCTION("""COMPUTED_VALUE"""),"")</f>
        <v/>
      </c>
      <c r="W159" s="2" t="str">
        <f ca="1">IFERROR(__xludf.DUMMYFUNCTION("""COMPUTED_VALUE"""),"")</f>
        <v/>
      </c>
      <c r="X159" s="2" t="str">
        <f ca="1">IFERROR(__xludf.DUMMYFUNCTION("""COMPUTED_VALUE"""),"")</f>
        <v/>
      </c>
      <c r="Y159" s="2" t="str">
        <f ca="1">IFERROR(__xludf.DUMMYFUNCTION("""COMPUTED_VALUE"""),"")</f>
        <v/>
      </c>
      <c r="Z159" s="2" t="str">
        <f ca="1">IFERROR(__xludf.DUMMYFUNCTION("""COMPUTED_VALUE"""),"")</f>
        <v/>
      </c>
      <c r="AA159" s="2" t="str">
        <f ca="1">IFERROR(__xludf.DUMMYFUNCTION("""COMPUTED_VALUE"""),"")</f>
        <v/>
      </c>
      <c r="AB159" s="2" t="str">
        <f ca="1">IFERROR(__xludf.DUMMYFUNCTION("""COMPUTED_VALUE"""),"")</f>
        <v/>
      </c>
      <c r="AC159" s="2" t="str">
        <f ca="1">IFERROR(__xludf.DUMMYFUNCTION("""COMPUTED_VALUE"""),"")</f>
        <v/>
      </c>
      <c r="AD159" s="2" t="str">
        <f ca="1">IFERROR(__xludf.DUMMYFUNCTION("""COMPUTED_VALUE"""),"")</f>
        <v/>
      </c>
      <c r="AE159" s="2" t="str">
        <f ca="1">IFERROR(__xludf.DUMMYFUNCTION("""COMPUTED_VALUE"""),"")</f>
        <v/>
      </c>
      <c r="AF159" s="2" t="str">
        <f ca="1">IFERROR(__xludf.DUMMYFUNCTION("""COMPUTED_VALUE"""),"")</f>
        <v/>
      </c>
      <c r="AG159" s="2" t="str">
        <f ca="1">IFERROR(__xludf.DUMMYFUNCTION("""COMPUTED_VALUE"""),"")</f>
        <v/>
      </c>
      <c r="AH159" s="2" t="str">
        <f ca="1">IFERROR(__xludf.DUMMYFUNCTION("""COMPUTED_VALUE"""),"")</f>
        <v/>
      </c>
      <c r="AI159" s="2" t="str">
        <f ca="1">IFERROR(__xludf.DUMMYFUNCTION("""COMPUTED_VALUE"""),"")</f>
        <v/>
      </c>
      <c r="AJ159" s="2" t="str">
        <f ca="1">IFERROR(__xludf.DUMMYFUNCTION("""COMPUTED_VALUE"""),"")</f>
        <v/>
      </c>
      <c r="AK159" s="2" t="str">
        <f ca="1">IFERROR(__xludf.DUMMYFUNCTION("""COMPUTED_VALUE"""),"")</f>
        <v/>
      </c>
      <c r="AL159" s="2" t="str">
        <f ca="1">IFERROR(__xludf.DUMMYFUNCTION("""COMPUTED_VALUE"""),"")</f>
        <v/>
      </c>
      <c r="AM159" s="2" t="str">
        <f ca="1">IFERROR(__xludf.DUMMYFUNCTION("""COMPUTED_VALUE"""),"")</f>
        <v/>
      </c>
      <c r="AN159" s="2" t="str">
        <f ca="1">IFERROR(__xludf.DUMMYFUNCTION("""COMPUTED_VALUE"""),"")</f>
        <v/>
      </c>
      <c r="AO159" s="2" t="str">
        <f ca="1">IFERROR(__xludf.DUMMYFUNCTION("""COMPUTED_VALUE"""),"")</f>
        <v/>
      </c>
      <c r="AP159" s="2" t="str">
        <f ca="1">IFERROR(__xludf.DUMMYFUNCTION("""COMPUTED_VALUE"""),"")</f>
        <v/>
      </c>
      <c r="AQ159" s="2" t="str">
        <f ca="1">IFERROR(__xludf.DUMMYFUNCTION("""COMPUTED_VALUE"""),"")</f>
        <v/>
      </c>
      <c r="AR159" s="2" t="str">
        <f ca="1">IFERROR(__xludf.DUMMYFUNCTION("""COMPUTED_VALUE"""),"")</f>
        <v/>
      </c>
      <c r="AS159" s="2" t="str">
        <f ca="1">IFERROR(__xludf.DUMMYFUNCTION("""COMPUTED_VALUE"""),"")</f>
        <v/>
      </c>
      <c r="AT159" s="2" t="str">
        <f ca="1">IFERROR(__xludf.DUMMYFUNCTION("""COMPUTED_VALUE"""),"")</f>
        <v/>
      </c>
      <c r="AU159" s="2" t="str">
        <f ca="1">IFERROR(__xludf.DUMMYFUNCTION("""COMPUTED_VALUE"""),"")</f>
        <v/>
      </c>
      <c r="AV159" s="2" t="str">
        <f ca="1">IFERROR(__xludf.DUMMYFUNCTION("""COMPUTED_VALUE"""),"")</f>
        <v/>
      </c>
      <c r="AW159" s="2" t="str">
        <f ca="1">IFERROR(__xludf.DUMMYFUNCTION("""COMPUTED_VALUE"""),"")</f>
        <v/>
      </c>
      <c r="AX159" s="2" t="str">
        <f ca="1">IFERROR(__xludf.DUMMYFUNCTION("""COMPUTED_VALUE"""),"")</f>
        <v/>
      </c>
      <c r="AY159" s="2" t="str">
        <f ca="1">IFERROR(__xludf.DUMMYFUNCTION("""COMPUTED_VALUE"""),"")</f>
        <v/>
      </c>
      <c r="AZ159" s="2" t="str">
        <f ca="1">IFERROR(__xludf.DUMMYFUNCTION("""COMPUTED_VALUE"""),"")</f>
        <v/>
      </c>
      <c r="BA159" s="2" t="str">
        <f ca="1">IFERROR(__xludf.DUMMYFUNCTION("""COMPUTED_VALUE"""),"")</f>
        <v/>
      </c>
      <c r="BB159" s="2" t="str">
        <f ca="1">IFERROR(__xludf.DUMMYFUNCTION("""COMPUTED_VALUE"""),"")</f>
        <v/>
      </c>
      <c r="BC159" s="2" t="str">
        <f ca="1">IFERROR(__xludf.DUMMYFUNCTION("""COMPUTED_VALUE"""),"")</f>
        <v/>
      </c>
      <c r="BD159" s="2" t="str">
        <f ca="1">IFERROR(__xludf.DUMMYFUNCTION("""COMPUTED_VALUE"""),"Cutwater rd, Waihi WMR, Whakapuokorero, Maketu highpoint. ")</f>
        <v xml:space="preserve">Cutwater rd, Waihi WMR, Whakapuokorero, Maketu highpoint. </v>
      </c>
      <c r="BE159" s="2" t="str">
        <f ca="1">IFERROR(__xludf.DUMMYFUNCTION("""COMPUTED_VALUE"""),"Very dry, ... heat wave upon NZ saw two other bittern- (karl to enter into database).  ")</f>
        <v xml:space="preserve">Very dry, ... heat wave upon NZ saw two other bittern- (karl to enter into database).  </v>
      </c>
      <c r="BF159" t="str">
        <f ca="1">IFERROR(__xludf.DUMMYFUNCTION("""COMPUTED_VALUE"""),"")</f>
        <v/>
      </c>
      <c r="BG159" t="str">
        <f ca="1">IFERROR(__xludf.DUMMYFUNCTION("""COMPUTED_VALUE"""),"")</f>
        <v/>
      </c>
      <c r="BH159" t="str">
        <f ca="1">IFERROR(__xludf.DUMMYFUNCTION("""COMPUTED_VALUE"""),"")</f>
        <v/>
      </c>
      <c r="BI159" t="str">
        <f ca="1">IFERROR(__xludf.DUMMYFUNCTION("""COMPUTED_VALUE"""),"")</f>
        <v/>
      </c>
      <c r="BJ159" s="3" t="str">
        <f ca="1">IFERROR(__xludf.DUMMYFUNCTION("""COMPUTED_VALUE"""),"")</f>
        <v/>
      </c>
    </row>
    <row r="160" spans="1:62" ht="12.5" x14ac:dyDescent="0.25">
      <c r="A160" s="6">
        <f ca="1">IFERROR(__xludf.DUMMYFUNCTION("""COMPUTED_VALUE"""),43490.6034509722)</f>
        <v>43490.603450972201</v>
      </c>
      <c r="B160" s="2" t="str">
        <f ca="1">IFERROR(__xludf.DUMMYFUNCTION("""COMPUTED_VALUE"""),"Bay of Plenty")</f>
        <v>Bay of Plenty</v>
      </c>
      <c r="C160" s="2" t="str">
        <f ca="1">IFERROR(__xludf.DUMMYFUNCTION("""COMPUTED_VALUE"""),"Unmarked bird")</f>
        <v>Unmarked bird</v>
      </c>
      <c r="D160" s="10">
        <f ca="1">IFERROR(__xludf.DUMMYFUNCTION("""COMPUTED_VALUE"""),43490)</f>
        <v>43490</v>
      </c>
      <c r="E160" s="4">
        <f ca="1">IFERROR(__xludf.DUMMYFUNCTION("""COMPUTED_VALUE"""),0.4375)</f>
        <v>0.4375</v>
      </c>
      <c r="F160" s="2" t="str">
        <f ca="1">IFERROR(__xludf.DUMMYFUNCTION("""COMPUTED_VALUE"""),"Farm off cutwater rd")</f>
        <v>Farm off cutwater rd</v>
      </c>
      <c r="G160" s="2" t="str">
        <f ca="1">IFERROR(__xludf.DUMMYFUNCTION("""COMPUTED_VALUE"""),"VHF (close approach): I followed the signal until I got within 50 m of the bird")</f>
        <v>VHF (close approach): I followed the signal until I got within 50 m of the bird</v>
      </c>
      <c r="H160" s="2" t="str">
        <f ca="1">IFERROR(__xludf.DUMMYFUNCTION("""COMPUTED_VALUE"""),"")</f>
        <v/>
      </c>
      <c r="I160" s="2" t="str">
        <f ca="1">IFERROR(__xludf.DUMMYFUNCTION("""COMPUTED_VALUE"""),"")</f>
        <v/>
      </c>
      <c r="J160" s="2" t="str">
        <f ca="1">IFERROR(__xludf.DUMMYFUNCTION("""COMPUTED_VALUE"""),"")</f>
        <v/>
      </c>
      <c r="K160" s="2" t="str">
        <f ca="1">IFERROR(__xludf.DUMMYFUNCTION("""COMPUTED_VALUE"""),"")</f>
        <v/>
      </c>
      <c r="L160" s="2" t="str">
        <f ca="1">IFERROR(__xludf.DUMMYFUNCTION("""COMPUTED_VALUE"""),"Yes - it flushed")</f>
        <v>Yes - it flushed</v>
      </c>
      <c r="M160" s="5">
        <f ca="1">IFERROR(__xludf.DUMMYFUNCTION("""COMPUTED_VALUE"""),1908540)</f>
        <v>1908540</v>
      </c>
      <c r="N160" s="5">
        <f ca="1">IFERROR(__xludf.DUMMYFUNCTION("""COMPUTED_VALUE"""),5811766)</f>
        <v>5811766</v>
      </c>
      <c r="O160" s="2" t="str">
        <f ca="1">IFERROR(__xludf.DUMMYFUNCTION("""COMPUTED_VALUE"""),"")</f>
        <v/>
      </c>
      <c r="P160" s="2" t="str">
        <f ca="1">IFERROR(__xludf.DUMMYFUNCTION("""COMPUTED_VALUE"""),"No")</f>
        <v>No</v>
      </c>
      <c r="Q160" s="2" t="str">
        <f ca="1">IFERROR(__xludf.DUMMYFUNCTION("""COMPUTED_VALUE"""),"Dry")</f>
        <v>Dry</v>
      </c>
      <c r="R160" s="2" t="str">
        <f ca="1">IFERROR(__xludf.DUMMYFUNCTION("""COMPUTED_VALUE"""),"dont know")</f>
        <v>dont know</v>
      </c>
      <c r="S160" s="2" t="str">
        <f ca="1">IFERROR(__xludf.DUMMYFUNCTION("""COMPUTED_VALUE"""),"drain edge")</f>
        <v>drain edge</v>
      </c>
      <c r="T160" s="2" t="str">
        <f ca="1">IFERROR(__xludf.DUMMYFUNCTION("""COMPUTED_VALUE"""),"Bird came out of dry looking drain...cant of been much/any water in there")</f>
        <v>Bird came out of dry looking drain...cant of been much/any water in there</v>
      </c>
      <c r="U160" s="2" t="str">
        <f ca="1">IFERROR(__xludf.DUMMYFUNCTION("""COMPUTED_VALUE"""),"Very big looking bird. Good good look at its legs as it flew off. no bands. Volunteer Ashley Prentice took some average photos on her phone.")</f>
        <v>Very big looking bird. Good good look at its legs as it flew off. no bands. Volunteer Ashley Prentice took some average photos on her phone.</v>
      </c>
      <c r="V160" s="2" t="str">
        <f ca="1">IFERROR(__xludf.DUMMYFUNCTION("""COMPUTED_VALUE"""),"")</f>
        <v/>
      </c>
      <c r="W160" s="2" t="str">
        <f ca="1">IFERROR(__xludf.DUMMYFUNCTION("""COMPUTED_VALUE"""),"")</f>
        <v/>
      </c>
      <c r="X160" s="2" t="str">
        <f ca="1">IFERROR(__xludf.DUMMYFUNCTION("""COMPUTED_VALUE"""),"")</f>
        <v/>
      </c>
      <c r="Y160" s="2" t="str">
        <f ca="1">IFERROR(__xludf.DUMMYFUNCTION("""COMPUTED_VALUE"""),"")</f>
        <v/>
      </c>
      <c r="Z160" s="2" t="str">
        <f ca="1">IFERROR(__xludf.DUMMYFUNCTION("""COMPUTED_VALUE"""),"")</f>
        <v/>
      </c>
      <c r="AA160" s="2" t="str">
        <f ca="1">IFERROR(__xludf.DUMMYFUNCTION("""COMPUTED_VALUE"""),"")</f>
        <v/>
      </c>
      <c r="AB160" s="2" t="str">
        <f ca="1">IFERROR(__xludf.DUMMYFUNCTION("""COMPUTED_VALUE"""),"")</f>
        <v/>
      </c>
      <c r="AC160" s="2" t="str">
        <f ca="1">IFERROR(__xludf.DUMMYFUNCTION("""COMPUTED_VALUE"""),"")</f>
        <v/>
      </c>
      <c r="AD160" s="2" t="str">
        <f ca="1">IFERROR(__xludf.DUMMYFUNCTION("""COMPUTED_VALUE"""),"")</f>
        <v/>
      </c>
      <c r="AE160" s="2" t="str">
        <f ca="1">IFERROR(__xludf.DUMMYFUNCTION("""COMPUTED_VALUE"""),"")</f>
        <v/>
      </c>
      <c r="AF160" s="2" t="str">
        <f ca="1">IFERROR(__xludf.DUMMYFUNCTION("""COMPUTED_VALUE"""),"")</f>
        <v/>
      </c>
      <c r="AG160" s="2" t="str">
        <f ca="1">IFERROR(__xludf.DUMMYFUNCTION("""COMPUTED_VALUE"""),"")</f>
        <v/>
      </c>
      <c r="AH160" s="2" t="str">
        <f ca="1">IFERROR(__xludf.DUMMYFUNCTION("""COMPUTED_VALUE"""),"")</f>
        <v/>
      </c>
      <c r="AI160" s="2" t="str">
        <f ca="1">IFERROR(__xludf.DUMMYFUNCTION("""COMPUTED_VALUE"""),"")</f>
        <v/>
      </c>
      <c r="AJ160" s="2" t="str">
        <f ca="1">IFERROR(__xludf.DUMMYFUNCTION("""COMPUTED_VALUE"""),"")</f>
        <v/>
      </c>
      <c r="AK160" s="2" t="str">
        <f ca="1">IFERROR(__xludf.DUMMYFUNCTION("""COMPUTED_VALUE"""),"")</f>
        <v/>
      </c>
      <c r="AL160" s="2" t="str">
        <f ca="1">IFERROR(__xludf.DUMMYFUNCTION("""COMPUTED_VALUE"""),"")</f>
        <v/>
      </c>
      <c r="AM160" s="2" t="str">
        <f ca="1">IFERROR(__xludf.DUMMYFUNCTION("""COMPUTED_VALUE"""),"")</f>
        <v/>
      </c>
      <c r="AN160" s="2" t="str">
        <f ca="1">IFERROR(__xludf.DUMMYFUNCTION("""COMPUTED_VALUE"""),"")</f>
        <v/>
      </c>
      <c r="AO160" s="2" t="str">
        <f ca="1">IFERROR(__xludf.DUMMYFUNCTION("""COMPUTED_VALUE"""),"")</f>
        <v/>
      </c>
      <c r="AP160" s="2" t="str">
        <f ca="1">IFERROR(__xludf.DUMMYFUNCTION("""COMPUTED_VALUE"""),"")</f>
        <v/>
      </c>
      <c r="AQ160" s="2" t="str">
        <f ca="1">IFERROR(__xludf.DUMMYFUNCTION("""COMPUTED_VALUE"""),"")</f>
        <v/>
      </c>
      <c r="AR160" s="2" t="str">
        <f ca="1">IFERROR(__xludf.DUMMYFUNCTION("""COMPUTED_VALUE"""),"")</f>
        <v/>
      </c>
      <c r="AS160" s="2" t="str">
        <f ca="1">IFERROR(__xludf.DUMMYFUNCTION("""COMPUTED_VALUE"""),"")</f>
        <v/>
      </c>
      <c r="AT160" s="2" t="str">
        <f ca="1">IFERROR(__xludf.DUMMYFUNCTION("""COMPUTED_VALUE"""),"")</f>
        <v/>
      </c>
      <c r="AU160" s="2" t="str">
        <f ca="1">IFERROR(__xludf.DUMMYFUNCTION("""COMPUTED_VALUE"""),"")</f>
        <v/>
      </c>
      <c r="AV160" s="2" t="str">
        <f ca="1">IFERROR(__xludf.DUMMYFUNCTION("""COMPUTED_VALUE"""),"")</f>
        <v/>
      </c>
      <c r="AW160" s="2" t="str">
        <f ca="1">IFERROR(__xludf.DUMMYFUNCTION("""COMPUTED_VALUE"""),"")</f>
        <v/>
      </c>
      <c r="AX160" s="2" t="str">
        <f ca="1">IFERROR(__xludf.DUMMYFUNCTION("""COMPUTED_VALUE"""),"")</f>
        <v/>
      </c>
      <c r="AY160" s="2" t="str">
        <f ca="1">IFERROR(__xludf.DUMMYFUNCTION("""COMPUTED_VALUE"""),"")</f>
        <v/>
      </c>
      <c r="AZ160" s="2" t="str">
        <f ca="1">IFERROR(__xludf.DUMMYFUNCTION("""COMPUTED_VALUE"""),"")</f>
        <v/>
      </c>
      <c r="BA160" s="2" t="str">
        <f ca="1">IFERROR(__xludf.DUMMYFUNCTION("""COMPUTED_VALUE"""),"")</f>
        <v/>
      </c>
      <c r="BB160" s="2" t="str">
        <f ca="1">IFERROR(__xludf.DUMMYFUNCTION("""COMPUTED_VALUE"""),"")</f>
        <v/>
      </c>
      <c r="BC160" s="2" t="str">
        <f ca="1">IFERROR(__xludf.DUMMYFUNCTION("""COMPUTED_VALUE"""),"")</f>
        <v/>
      </c>
      <c r="BD160" s="2" t="str">
        <f ca="1">IFERROR(__xludf.DUMMYFUNCTION("""COMPUTED_VALUE"""),"")</f>
        <v/>
      </c>
      <c r="BE160" s="2" t="str">
        <f ca="1">IFERROR(__xludf.DUMMYFUNCTION("""COMPUTED_VALUE"""),"")</f>
        <v/>
      </c>
      <c r="BF160" t="str">
        <f ca="1">IFERROR(__xludf.DUMMYFUNCTION("""COMPUTED_VALUE"""),"")</f>
        <v/>
      </c>
      <c r="BG160" t="str">
        <f ca="1">IFERROR(__xludf.DUMMYFUNCTION("""COMPUTED_VALUE"""),"")</f>
        <v/>
      </c>
      <c r="BH160" t="str">
        <f ca="1">IFERROR(__xludf.DUMMYFUNCTION("""COMPUTED_VALUE"""),"")</f>
        <v/>
      </c>
      <c r="BI160" t="str">
        <f ca="1">IFERROR(__xludf.DUMMYFUNCTION("""COMPUTED_VALUE"""),"")</f>
        <v/>
      </c>
      <c r="BJ160" s="3" t="str">
        <f ca="1">IFERROR(__xludf.DUMMYFUNCTION("""COMPUTED_VALUE"""),"")</f>
        <v/>
      </c>
    </row>
    <row r="161" spans="1:62" ht="12.5" x14ac:dyDescent="0.25">
      <c r="A161" s="6">
        <f ca="1">IFERROR(__xludf.DUMMYFUNCTION("""COMPUTED_VALUE"""),43490.6057503356)</f>
        <v>43490.605750335599</v>
      </c>
      <c r="B161" s="2" t="str">
        <f ca="1">IFERROR(__xludf.DUMMYFUNCTION("""COMPUTED_VALUE"""),"Bay of Plenty")</f>
        <v>Bay of Plenty</v>
      </c>
      <c r="C161" s="2" t="str">
        <f ca="1">IFERROR(__xludf.DUMMYFUNCTION("""COMPUTED_VALUE"""),"Unmarked bird")</f>
        <v>Unmarked bird</v>
      </c>
      <c r="D161" s="10">
        <f ca="1">IFERROR(__xludf.DUMMYFUNCTION("""COMPUTED_VALUE"""),43490)</f>
        <v>43490</v>
      </c>
      <c r="E161" s="4">
        <f ca="1">IFERROR(__xludf.DUMMYFUNCTION("""COMPUTED_VALUE"""),0.45833333333212)</f>
        <v>0.45833333333212001</v>
      </c>
      <c r="F161" s="2" t="str">
        <f ca="1">IFERROR(__xludf.DUMMYFUNCTION("""COMPUTED_VALUE"""),"Waihi WMR East")</f>
        <v>Waihi WMR East</v>
      </c>
      <c r="G161" s="2" t="str">
        <f ca="1">IFERROR(__xludf.DUMMYFUNCTION("""COMPUTED_VALUE"""),"VHF (close approach): I followed the signal until I got within 50 m of the bird")</f>
        <v>VHF (close approach): I followed the signal until I got within 50 m of the bird</v>
      </c>
      <c r="H161" s="2" t="str">
        <f ca="1">IFERROR(__xludf.DUMMYFUNCTION("""COMPUTED_VALUE"""),"")</f>
        <v/>
      </c>
      <c r="I161" s="2" t="str">
        <f ca="1">IFERROR(__xludf.DUMMYFUNCTION("""COMPUTED_VALUE"""),"")</f>
        <v/>
      </c>
      <c r="J161" s="2" t="str">
        <f ca="1">IFERROR(__xludf.DUMMYFUNCTION("""COMPUTED_VALUE"""),"")</f>
        <v/>
      </c>
      <c r="K161" s="2" t="str">
        <f ca="1">IFERROR(__xludf.DUMMYFUNCTION("""COMPUTED_VALUE"""),"")</f>
        <v/>
      </c>
      <c r="L161" s="2" t="str">
        <f ca="1">IFERROR(__xludf.DUMMYFUNCTION("""COMPUTED_VALUE"""),"Yes - it flushed")</f>
        <v>Yes - it flushed</v>
      </c>
      <c r="M161" s="5">
        <f ca="1">IFERROR(__xludf.DUMMYFUNCTION("""COMPUTED_VALUE"""),1907616)</f>
        <v>1907616</v>
      </c>
      <c r="N161" s="5">
        <f ca="1">IFERROR(__xludf.DUMMYFUNCTION("""COMPUTED_VALUE"""),5812922)</f>
        <v>5812922</v>
      </c>
      <c r="O161" s="2" t="str">
        <f ca="1">IFERROR(__xludf.DUMMYFUNCTION("""COMPUTED_VALUE"""),"")</f>
        <v/>
      </c>
      <c r="P161" s="2" t="str">
        <f ca="1">IFERROR(__xludf.DUMMYFUNCTION("""COMPUTED_VALUE"""),"N/A - not grazed")</f>
        <v>N/A - not grazed</v>
      </c>
      <c r="Q161" s="2" t="str">
        <f ca="1">IFERROR(__xludf.DUMMYFUNCTION("""COMPUTED_VALUE"""),"Wet")</f>
        <v>Wet</v>
      </c>
      <c r="R161" s="2" t="str">
        <f ca="1">IFERROR(__xludf.DUMMYFUNCTION("""COMPUTED_VALUE"""),"dont know")</f>
        <v>dont know</v>
      </c>
      <c r="S161" s="2" t="str">
        <f ca="1">IFERROR(__xludf.DUMMYFUNCTION("""COMPUTED_VALUE"""),"see map")</f>
        <v>see map</v>
      </c>
      <c r="T161" s="2" t="str">
        <f ca="1">IFERROR(__xludf.DUMMYFUNCTION("""COMPUTED_VALUE"""),"River bank/weed - saltmarsh")</f>
        <v>River bank/weed - saltmarsh</v>
      </c>
      <c r="U161" s="2" t="str">
        <f ca="1">IFERROR(__xludf.DUMMYFUNCTION("""COMPUTED_VALUE"""),"bird seen flying into saltmarsh... very small bird. possibly juv? didnt look like it had a bum/tail feathers if that is a thing ??")</f>
        <v>bird seen flying into saltmarsh... very small bird. possibly juv? didnt look like it had a bum/tail feathers if that is a thing ??</v>
      </c>
      <c r="V161" s="2" t="str">
        <f ca="1">IFERROR(__xludf.DUMMYFUNCTION("""COMPUTED_VALUE"""),"")</f>
        <v/>
      </c>
      <c r="W161" s="2" t="str">
        <f ca="1">IFERROR(__xludf.DUMMYFUNCTION("""COMPUTED_VALUE"""),"")</f>
        <v/>
      </c>
      <c r="X161" s="2" t="str">
        <f ca="1">IFERROR(__xludf.DUMMYFUNCTION("""COMPUTED_VALUE"""),"")</f>
        <v/>
      </c>
      <c r="Y161" s="2" t="str">
        <f ca="1">IFERROR(__xludf.DUMMYFUNCTION("""COMPUTED_VALUE"""),"")</f>
        <v/>
      </c>
      <c r="Z161" s="2" t="str">
        <f ca="1">IFERROR(__xludf.DUMMYFUNCTION("""COMPUTED_VALUE"""),"")</f>
        <v/>
      </c>
      <c r="AA161" s="2" t="str">
        <f ca="1">IFERROR(__xludf.DUMMYFUNCTION("""COMPUTED_VALUE"""),"")</f>
        <v/>
      </c>
      <c r="AB161" s="2" t="str">
        <f ca="1">IFERROR(__xludf.DUMMYFUNCTION("""COMPUTED_VALUE"""),"")</f>
        <v/>
      </c>
      <c r="AC161" s="2" t="str">
        <f ca="1">IFERROR(__xludf.DUMMYFUNCTION("""COMPUTED_VALUE"""),"")</f>
        <v/>
      </c>
      <c r="AD161" s="2" t="str">
        <f ca="1">IFERROR(__xludf.DUMMYFUNCTION("""COMPUTED_VALUE"""),"")</f>
        <v/>
      </c>
      <c r="AE161" s="2" t="str">
        <f ca="1">IFERROR(__xludf.DUMMYFUNCTION("""COMPUTED_VALUE"""),"")</f>
        <v/>
      </c>
      <c r="AF161" s="2" t="str">
        <f ca="1">IFERROR(__xludf.DUMMYFUNCTION("""COMPUTED_VALUE"""),"")</f>
        <v/>
      </c>
      <c r="AG161" s="2" t="str">
        <f ca="1">IFERROR(__xludf.DUMMYFUNCTION("""COMPUTED_VALUE"""),"")</f>
        <v/>
      </c>
      <c r="AH161" s="2" t="str">
        <f ca="1">IFERROR(__xludf.DUMMYFUNCTION("""COMPUTED_VALUE"""),"")</f>
        <v/>
      </c>
      <c r="AI161" s="2" t="str">
        <f ca="1">IFERROR(__xludf.DUMMYFUNCTION("""COMPUTED_VALUE"""),"")</f>
        <v/>
      </c>
      <c r="AJ161" s="2" t="str">
        <f ca="1">IFERROR(__xludf.DUMMYFUNCTION("""COMPUTED_VALUE"""),"")</f>
        <v/>
      </c>
      <c r="AK161" s="2" t="str">
        <f ca="1">IFERROR(__xludf.DUMMYFUNCTION("""COMPUTED_VALUE"""),"")</f>
        <v/>
      </c>
      <c r="AL161" s="2" t="str">
        <f ca="1">IFERROR(__xludf.DUMMYFUNCTION("""COMPUTED_VALUE"""),"")</f>
        <v/>
      </c>
      <c r="AM161" s="2" t="str">
        <f ca="1">IFERROR(__xludf.DUMMYFUNCTION("""COMPUTED_VALUE"""),"")</f>
        <v/>
      </c>
      <c r="AN161" s="2" t="str">
        <f ca="1">IFERROR(__xludf.DUMMYFUNCTION("""COMPUTED_VALUE"""),"")</f>
        <v/>
      </c>
      <c r="AO161" s="2" t="str">
        <f ca="1">IFERROR(__xludf.DUMMYFUNCTION("""COMPUTED_VALUE"""),"")</f>
        <v/>
      </c>
      <c r="AP161" s="2" t="str">
        <f ca="1">IFERROR(__xludf.DUMMYFUNCTION("""COMPUTED_VALUE"""),"")</f>
        <v/>
      </c>
      <c r="AQ161" s="2" t="str">
        <f ca="1">IFERROR(__xludf.DUMMYFUNCTION("""COMPUTED_VALUE"""),"")</f>
        <v/>
      </c>
      <c r="AR161" s="2" t="str">
        <f ca="1">IFERROR(__xludf.DUMMYFUNCTION("""COMPUTED_VALUE"""),"")</f>
        <v/>
      </c>
      <c r="AS161" s="2" t="str">
        <f ca="1">IFERROR(__xludf.DUMMYFUNCTION("""COMPUTED_VALUE"""),"")</f>
        <v/>
      </c>
      <c r="AT161" s="2" t="str">
        <f ca="1">IFERROR(__xludf.DUMMYFUNCTION("""COMPUTED_VALUE"""),"")</f>
        <v/>
      </c>
      <c r="AU161" s="2" t="str">
        <f ca="1">IFERROR(__xludf.DUMMYFUNCTION("""COMPUTED_VALUE"""),"")</f>
        <v/>
      </c>
      <c r="AV161" s="2" t="str">
        <f ca="1">IFERROR(__xludf.DUMMYFUNCTION("""COMPUTED_VALUE"""),"")</f>
        <v/>
      </c>
      <c r="AW161" s="2" t="str">
        <f ca="1">IFERROR(__xludf.DUMMYFUNCTION("""COMPUTED_VALUE"""),"")</f>
        <v/>
      </c>
      <c r="AX161" s="2" t="str">
        <f ca="1">IFERROR(__xludf.DUMMYFUNCTION("""COMPUTED_VALUE"""),"")</f>
        <v/>
      </c>
      <c r="AY161" s="2" t="str">
        <f ca="1">IFERROR(__xludf.DUMMYFUNCTION("""COMPUTED_VALUE"""),"")</f>
        <v/>
      </c>
      <c r="AZ161" s="2" t="str">
        <f ca="1">IFERROR(__xludf.DUMMYFUNCTION("""COMPUTED_VALUE"""),"")</f>
        <v/>
      </c>
      <c r="BA161" s="2" t="str">
        <f ca="1">IFERROR(__xludf.DUMMYFUNCTION("""COMPUTED_VALUE"""),"")</f>
        <v/>
      </c>
      <c r="BB161" s="2" t="str">
        <f ca="1">IFERROR(__xludf.DUMMYFUNCTION("""COMPUTED_VALUE"""),"")</f>
        <v/>
      </c>
      <c r="BC161" s="2" t="str">
        <f ca="1">IFERROR(__xludf.DUMMYFUNCTION("""COMPUTED_VALUE"""),"")</f>
        <v/>
      </c>
      <c r="BD161" s="2" t="str">
        <f ca="1">IFERROR(__xludf.DUMMYFUNCTION("""COMPUTED_VALUE"""),"")</f>
        <v/>
      </c>
      <c r="BE161" s="2" t="str">
        <f ca="1">IFERROR(__xludf.DUMMYFUNCTION("""COMPUTED_VALUE"""),"")</f>
        <v/>
      </c>
      <c r="BF161" t="str">
        <f ca="1">IFERROR(__xludf.DUMMYFUNCTION("""COMPUTED_VALUE"""),"")</f>
        <v/>
      </c>
      <c r="BG161" t="str">
        <f ca="1">IFERROR(__xludf.DUMMYFUNCTION("""COMPUTED_VALUE"""),"")</f>
        <v/>
      </c>
      <c r="BH161" t="str">
        <f ca="1">IFERROR(__xludf.DUMMYFUNCTION("""COMPUTED_VALUE"""),"")</f>
        <v/>
      </c>
      <c r="BI161" t="str">
        <f ca="1">IFERROR(__xludf.DUMMYFUNCTION("""COMPUTED_VALUE"""),"")</f>
        <v/>
      </c>
      <c r="BJ161" s="3" t="str">
        <f ca="1">IFERROR(__xludf.DUMMYFUNCTION("""COMPUTED_VALUE"""),"")</f>
        <v/>
      </c>
    </row>
    <row r="162" spans="1:62" ht="12.5" x14ac:dyDescent="0.25">
      <c r="A162" s="6">
        <f ca="1">IFERROR(__xludf.DUMMYFUNCTION("""COMPUTED_VALUE"""),43497.4174717245)</f>
        <v>43497.417471724497</v>
      </c>
      <c r="B162" s="2" t="str">
        <f ca="1">IFERROR(__xludf.DUMMYFUNCTION("""COMPUTED_VALUE"""),"Bay of Plenty")</f>
        <v>Bay of Plenty</v>
      </c>
      <c r="C162" s="2" t="str">
        <f ca="1">IFERROR(__xludf.DUMMYFUNCTION("""COMPUTED_VALUE"""),"Tx 54")</f>
        <v>Tx 54</v>
      </c>
      <c r="D162" s="10">
        <f ca="1">IFERROR(__xludf.DUMMYFUNCTION("""COMPUTED_VALUE"""),43495)</f>
        <v>43495</v>
      </c>
      <c r="E162" s="4">
        <f ca="1">IFERROR(__xludf.DUMMYFUNCTION("""COMPUTED_VALUE"""),0.33333333333212)</f>
        <v>0.33333333333212001</v>
      </c>
      <c r="F162" s="2" t="str">
        <f ca="1">IFERROR(__xludf.DUMMYFUNCTION("""COMPUTED_VALUE"""),"Waewaetutuki/Waihi WMR/Cutwater Rd")</f>
        <v>Waewaetutuki/Waihi WMR/Cutwater Rd</v>
      </c>
      <c r="G162" s="2" t="str">
        <f ca="1">IFERROR(__xludf.DUMMYFUNCTION("""COMPUTED_VALUE"""),"None: I listened for the bird but was unable to find it")</f>
        <v>None: I listened for the bird but was unable to find it</v>
      </c>
      <c r="H162" s="2" t="str">
        <f ca="1">IFERROR(__xludf.DUMMYFUNCTION("""COMPUTED_VALUE"""),"")</f>
        <v/>
      </c>
      <c r="I162" s="2" t="str">
        <f ca="1">IFERROR(__xludf.DUMMYFUNCTION("""COMPUTED_VALUE"""),"")</f>
        <v/>
      </c>
      <c r="J162" s="2" t="str">
        <f ca="1">IFERROR(__xludf.DUMMYFUNCTION("""COMPUTED_VALUE"""),"")</f>
        <v/>
      </c>
      <c r="K162" s="2" t="str">
        <f ca="1">IFERROR(__xludf.DUMMYFUNCTION("""COMPUTED_VALUE"""),"")</f>
        <v/>
      </c>
      <c r="L162" s="2" t="str">
        <f ca="1">IFERROR(__xludf.DUMMYFUNCTION("""COMPUTED_VALUE"""),"")</f>
        <v/>
      </c>
      <c r="M162" s="5" t="str">
        <f ca="1">IFERROR(__xludf.DUMMYFUNCTION("""COMPUTED_VALUE"""),"")</f>
        <v/>
      </c>
      <c r="N162" s="5" t="str">
        <f ca="1">IFERROR(__xludf.DUMMYFUNCTION("""COMPUTED_VALUE"""),"")</f>
        <v/>
      </c>
      <c r="O162" s="2" t="str">
        <f ca="1">IFERROR(__xludf.DUMMYFUNCTION("""COMPUTED_VALUE"""),"")</f>
        <v/>
      </c>
      <c r="P162" s="2" t="str">
        <f ca="1">IFERROR(__xludf.DUMMYFUNCTION("""COMPUTED_VALUE"""),"")</f>
        <v/>
      </c>
      <c r="Q162" s="2" t="str">
        <f ca="1">IFERROR(__xludf.DUMMYFUNCTION("""COMPUTED_VALUE"""),"")</f>
        <v/>
      </c>
      <c r="R162" s="2" t="str">
        <f ca="1">IFERROR(__xludf.DUMMYFUNCTION("""COMPUTED_VALUE"""),"")</f>
        <v/>
      </c>
      <c r="S162" s="2" t="str">
        <f ca="1">IFERROR(__xludf.DUMMYFUNCTION("""COMPUTED_VALUE"""),"")</f>
        <v/>
      </c>
      <c r="T162" s="2" t="str">
        <f ca="1">IFERROR(__xludf.DUMMYFUNCTION("""COMPUTED_VALUE"""),"")</f>
        <v/>
      </c>
      <c r="U162" s="2" t="str">
        <f ca="1">IFERROR(__xludf.DUMMYFUNCTION("""COMPUTED_VALUE"""),"")</f>
        <v/>
      </c>
      <c r="V162" s="2" t="str">
        <f ca="1">IFERROR(__xludf.DUMMYFUNCTION("""COMPUTED_VALUE"""),"")</f>
        <v/>
      </c>
      <c r="W162" s="2" t="str">
        <f ca="1">IFERROR(__xludf.DUMMYFUNCTION("""COMPUTED_VALUE"""),"")</f>
        <v/>
      </c>
      <c r="X162" s="2" t="str">
        <f ca="1">IFERROR(__xludf.DUMMYFUNCTION("""COMPUTED_VALUE"""),"")</f>
        <v/>
      </c>
      <c r="Y162" s="2" t="str">
        <f ca="1">IFERROR(__xludf.DUMMYFUNCTION("""COMPUTED_VALUE"""),"")</f>
        <v/>
      </c>
      <c r="Z162" s="2" t="str">
        <f ca="1">IFERROR(__xludf.DUMMYFUNCTION("""COMPUTED_VALUE"""),"")</f>
        <v/>
      </c>
      <c r="AA162" s="2" t="str">
        <f ca="1">IFERROR(__xludf.DUMMYFUNCTION("""COMPUTED_VALUE"""),"")</f>
        <v/>
      </c>
      <c r="AB162" s="2" t="str">
        <f ca="1">IFERROR(__xludf.DUMMYFUNCTION("""COMPUTED_VALUE"""),"")</f>
        <v/>
      </c>
      <c r="AC162" s="2" t="str">
        <f ca="1">IFERROR(__xludf.DUMMYFUNCTION("""COMPUTED_VALUE"""),"")</f>
        <v/>
      </c>
      <c r="AD162" s="2" t="str">
        <f ca="1">IFERROR(__xludf.DUMMYFUNCTION("""COMPUTED_VALUE"""),"")</f>
        <v/>
      </c>
      <c r="AE162" s="2" t="str">
        <f ca="1">IFERROR(__xludf.DUMMYFUNCTION("""COMPUTED_VALUE"""),"")</f>
        <v/>
      </c>
      <c r="AF162" s="2" t="str">
        <f ca="1">IFERROR(__xludf.DUMMYFUNCTION("""COMPUTED_VALUE"""),"")</f>
        <v/>
      </c>
      <c r="AG162" s="2" t="str">
        <f ca="1">IFERROR(__xludf.DUMMYFUNCTION("""COMPUTED_VALUE"""),"")</f>
        <v/>
      </c>
      <c r="AH162" s="2" t="str">
        <f ca="1">IFERROR(__xludf.DUMMYFUNCTION("""COMPUTED_VALUE"""),"")</f>
        <v/>
      </c>
      <c r="AI162" s="2" t="str">
        <f ca="1">IFERROR(__xludf.DUMMYFUNCTION("""COMPUTED_VALUE"""),"")</f>
        <v/>
      </c>
      <c r="AJ162" s="2" t="str">
        <f ca="1">IFERROR(__xludf.DUMMYFUNCTION("""COMPUTED_VALUE"""),"")</f>
        <v/>
      </c>
      <c r="AK162" s="2" t="str">
        <f ca="1">IFERROR(__xludf.DUMMYFUNCTION("""COMPUTED_VALUE"""),"")</f>
        <v/>
      </c>
      <c r="AL162" s="2" t="str">
        <f ca="1">IFERROR(__xludf.DUMMYFUNCTION("""COMPUTED_VALUE"""),"")</f>
        <v/>
      </c>
      <c r="AM162" s="2" t="str">
        <f ca="1">IFERROR(__xludf.DUMMYFUNCTION("""COMPUTED_VALUE"""),"")</f>
        <v/>
      </c>
      <c r="AN162" s="2" t="str">
        <f ca="1">IFERROR(__xludf.DUMMYFUNCTION("""COMPUTED_VALUE"""),"")</f>
        <v/>
      </c>
      <c r="AO162" s="2" t="str">
        <f ca="1">IFERROR(__xludf.DUMMYFUNCTION("""COMPUTED_VALUE"""),"")</f>
        <v/>
      </c>
      <c r="AP162" s="2" t="str">
        <f ca="1">IFERROR(__xludf.DUMMYFUNCTION("""COMPUTED_VALUE"""),"")</f>
        <v/>
      </c>
      <c r="AQ162" s="2" t="str">
        <f ca="1">IFERROR(__xludf.DUMMYFUNCTION("""COMPUTED_VALUE"""),"")</f>
        <v/>
      </c>
      <c r="AR162" s="2" t="str">
        <f ca="1">IFERROR(__xludf.DUMMYFUNCTION("""COMPUTED_VALUE"""),"")</f>
        <v/>
      </c>
      <c r="AS162" s="2" t="str">
        <f ca="1">IFERROR(__xludf.DUMMYFUNCTION("""COMPUTED_VALUE"""),"")</f>
        <v/>
      </c>
      <c r="AT162" s="2" t="str">
        <f ca="1">IFERROR(__xludf.DUMMYFUNCTION("""COMPUTED_VALUE"""),"")</f>
        <v/>
      </c>
      <c r="AU162" s="2" t="str">
        <f ca="1">IFERROR(__xludf.DUMMYFUNCTION("""COMPUTED_VALUE"""),"")</f>
        <v/>
      </c>
      <c r="AV162" s="2" t="str">
        <f ca="1">IFERROR(__xludf.DUMMYFUNCTION("""COMPUTED_VALUE"""),"")</f>
        <v/>
      </c>
      <c r="AW162" s="2" t="str">
        <f ca="1">IFERROR(__xludf.DUMMYFUNCTION("""COMPUTED_VALUE"""),"")</f>
        <v/>
      </c>
      <c r="AX162" s="2" t="str">
        <f ca="1">IFERROR(__xludf.DUMMYFUNCTION("""COMPUTED_VALUE"""),"")</f>
        <v/>
      </c>
      <c r="AY162" s="2" t="str">
        <f ca="1">IFERROR(__xludf.DUMMYFUNCTION("""COMPUTED_VALUE"""),"")</f>
        <v/>
      </c>
      <c r="AZ162" s="2" t="str">
        <f ca="1">IFERROR(__xludf.DUMMYFUNCTION("""COMPUTED_VALUE"""),"")</f>
        <v/>
      </c>
      <c r="BA162" s="2" t="str">
        <f ca="1">IFERROR(__xludf.DUMMYFUNCTION("""COMPUTED_VALUE"""),"")</f>
        <v/>
      </c>
      <c r="BB162" s="2" t="str">
        <f ca="1">IFERROR(__xludf.DUMMYFUNCTION("""COMPUTED_VALUE"""),"")</f>
        <v/>
      </c>
      <c r="BC162" s="2" t="str">
        <f ca="1">IFERROR(__xludf.DUMMYFUNCTION("""COMPUTED_VALUE"""),"")</f>
        <v/>
      </c>
      <c r="BD162" s="2" t="str">
        <f ca="1">IFERROR(__xludf.DUMMYFUNCTION("""COMPUTED_VALUE"""),"Waewaetutuki/Waihi WMR/Cutwater Rd")</f>
        <v>Waewaetutuki/Waihi WMR/Cutwater Rd</v>
      </c>
      <c r="BE162" s="2" t="str">
        <f ca="1">IFERROR(__xludf.DUMMYFUNCTION("""COMPUTED_VALUE"""),"Melv hasnt picked up for awhile either... will go for a listen out towards Matata saturday")</f>
        <v>Melv hasnt picked up for awhile either... will go for a listen out towards Matata saturday</v>
      </c>
      <c r="BF162" t="str">
        <f ca="1">IFERROR(__xludf.DUMMYFUNCTION("""COMPUTED_VALUE"""),"")</f>
        <v/>
      </c>
      <c r="BG162" t="str">
        <f ca="1">IFERROR(__xludf.DUMMYFUNCTION("""COMPUTED_VALUE"""),"")</f>
        <v/>
      </c>
      <c r="BH162" t="str">
        <f ca="1">IFERROR(__xludf.DUMMYFUNCTION("""COMPUTED_VALUE"""),"")</f>
        <v/>
      </c>
      <c r="BI162" t="str">
        <f ca="1">IFERROR(__xludf.DUMMYFUNCTION("""COMPUTED_VALUE"""),"")</f>
        <v/>
      </c>
      <c r="BJ162" s="3" t="str">
        <f ca="1">IFERROR(__xludf.DUMMYFUNCTION("""COMPUTED_VALUE"""),"")</f>
        <v/>
      </c>
    </row>
    <row r="163" spans="1:62" ht="12.5" x14ac:dyDescent="0.25">
      <c r="A163" s="6">
        <f ca="1">IFERROR(__xludf.DUMMYFUNCTION("""COMPUTED_VALUE"""),43500.3458489467)</f>
        <v>43500.345848946701</v>
      </c>
      <c r="B163" s="2" t="str">
        <f ca="1">IFERROR(__xludf.DUMMYFUNCTION("""COMPUTED_VALUE"""),"Bay of Plenty")</f>
        <v>Bay of Plenty</v>
      </c>
      <c r="C163" s="2" t="str">
        <f ca="1">IFERROR(__xludf.DUMMYFUNCTION("""COMPUTED_VALUE"""),"Tx 54")</f>
        <v>Tx 54</v>
      </c>
      <c r="D163" s="10">
        <f ca="1">IFERROR(__xludf.DUMMYFUNCTION("""COMPUTED_VALUE"""),43499)</f>
        <v>43499</v>
      </c>
      <c r="E163" s="4">
        <f ca="1">IFERROR(__xludf.DUMMYFUNCTION("""COMPUTED_VALUE"""),0.58333333333212)</f>
        <v>0.58333333333212001</v>
      </c>
      <c r="F163" s="2" t="str">
        <f ca="1">IFERROR(__xludf.DUMMYFUNCTION("""COMPUTED_VALUE"""),"Chedder Valley - Matata ")</f>
        <v xml:space="preserve">Chedder Valley - Matata </v>
      </c>
      <c r="G163" s="2" t="str">
        <f ca="1">IFERROR(__xludf.DUMMYFUNCTION("""COMPUTED_VALUE"""),"None: I listened for the bird but was unable to find it")</f>
        <v>None: I listened for the bird but was unable to find it</v>
      </c>
      <c r="H163" s="2" t="str">
        <f ca="1">IFERROR(__xludf.DUMMYFUNCTION("""COMPUTED_VALUE"""),"")</f>
        <v/>
      </c>
      <c r="I163" s="2" t="str">
        <f ca="1">IFERROR(__xludf.DUMMYFUNCTION("""COMPUTED_VALUE"""),"")</f>
        <v/>
      </c>
      <c r="J163" s="2" t="str">
        <f ca="1">IFERROR(__xludf.DUMMYFUNCTION("""COMPUTED_VALUE"""),"")</f>
        <v/>
      </c>
      <c r="K163" s="2" t="str">
        <f ca="1">IFERROR(__xludf.DUMMYFUNCTION("""COMPUTED_VALUE"""),"")</f>
        <v/>
      </c>
      <c r="L163" s="2" t="str">
        <f ca="1">IFERROR(__xludf.DUMMYFUNCTION("""COMPUTED_VALUE"""),"")</f>
        <v/>
      </c>
      <c r="M163" s="5" t="str">
        <f ca="1">IFERROR(__xludf.DUMMYFUNCTION("""COMPUTED_VALUE"""),"")</f>
        <v/>
      </c>
      <c r="N163" s="5" t="str">
        <f ca="1">IFERROR(__xludf.DUMMYFUNCTION("""COMPUTED_VALUE"""),"")</f>
        <v/>
      </c>
      <c r="O163" s="2" t="str">
        <f ca="1">IFERROR(__xludf.DUMMYFUNCTION("""COMPUTED_VALUE"""),"")</f>
        <v/>
      </c>
      <c r="P163" s="2" t="str">
        <f ca="1">IFERROR(__xludf.DUMMYFUNCTION("""COMPUTED_VALUE"""),"")</f>
        <v/>
      </c>
      <c r="Q163" s="2" t="str">
        <f ca="1">IFERROR(__xludf.DUMMYFUNCTION("""COMPUTED_VALUE"""),"")</f>
        <v/>
      </c>
      <c r="R163" s="2" t="str">
        <f ca="1">IFERROR(__xludf.DUMMYFUNCTION("""COMPUTED_VALUE"""),"")</f>
        <v/>
      </c>
      <c r="S163" s="2" t="str">
        <f ca="1">IFERROR(__xludf.DUMMYFUNCTION("""COMPUTED_VALUE"""),"")</f>
        <v/>
      </c>
      <c r="T163" s="2" t="str">
        <f ca="1">IFERROR(__xludf.DUMMYFUNCTION("""COMPUTED_VALUE"""),"")</f>
        <v/>
      </c>
      <c r="U163" s="2" t="str">
        <f ca="1">IFERROR(__xludf.DUMMYFUNCTION("""COMPUTED_VALUE"""),"")</f>
        <v/>
      </c>
      <c r="V163" s="2" t="str">
        <f ca="1">IFERROR(__xludf.DUMMYFUNCTION("""COMPUTED_VALUE"""),"")</f>
        <v/>
      </c>
      <c r="W163" s="2" t="str">
        <f ca="1">IFERROR(__xludf.DUMMYFUNCTION("""COMPUTED_VALUE"""),"")</f>
        <v/>
      </c>
      <c r="X163" s="2" t="str">
        <f ca="1">IFERROR(__xludf.DUMMYFUNCTION("""COMPUTED_VALUE"""),"")</f>
        <v/>
      </c>
      <c r="Y163" s="2" t="str">
        <f ca="1">IFERROR(__xludf.DUMMYFUNCTION("""COMPUTED_VALUE"""),"")</f>
        <v/>
      </c>
      <c r="Z163" s="2" t="str">
        <f ca="1">IFERROR(__xludf.DUMMYFUNCTION("""COMPUTED_VALUE"""),"")</f>
        <v/>
      </c>
      <c r="AA163" s="2" t="str">
        <f ca="1">IFERROR(__xludf.DUMMYFUNCTION("""COMPUTED_VALUE"""),"")</f>
        <v/>
      </c>
      <c r="AB163" s="2" t="str">
        <f ca="1">IFERROR(__xludf.DUMMYFUNCTION("""COMPUTED_VALUE"""),"")</f>
        <v/>
      </c>
      <c r="AC163" s="2" t="str">
        <f ca="1">IFERROR(__xludf.DUMMYFUNCTION("""COMPUTED_VALUE"""),"")</f>
        <v/>
      </c>
      <c r="AD163" s="2" t="str">
        <f ca="1">IFERROR(__xludf.DUMMYFUNCTION("""COMPUTED_VALUE"""),"")</f>
        <v/>
      </c>
      <c r="AE163" s="2" t="str">
        <f ca="1">IFERROR(__xludf.DUMMYFUNCTION("""COMPUTED_VALUE"""),"")</f>
        <v/>
      </c>
      <c r="AF163" s="2" t="str">
        <f ca="1">IFERROR(__xludf.DUMMYFUNCTION("""COMPUTED_VALUE"""),"")</f>
        <v/>
      </c>
      <c r="AG163" s="2" t="str">
        <f ca="1">IFERROR(__xludf.DUMMYFUNCTION("""COMPUTED_VALUE"""),"")</f>
        <v/>
      </c>
      <c r="AH163" s="2" t="str">
        <f ca="1">IFERROR(__xludf.DUMMYFUNCTION("""COMPUTED_VALUE"""),"")</f>
        <v/>
      </c>
      <c r="AI163" s="2" t="str">
        <f ca="1">IFERROR(__xludf.DUMMYFUNCTION("""COMPUTED_VALUE"""),"")</f>
        <v/>
      </c>
      <c r="AJ163" s="2" t="str">
        <f ca="1">IFERROR(__xludf.DUMMYFUNCTION("""COMPUTED_VALUE"""),"")</f>
        <v/>
      </c>
      <c r="AK163" s="2" t="str">
        <f ca="1">IFERROR(__xludf.DUMMYFUNCTION("""COMPUTED_VALUE"""),"")</f>
        <v/>
      </c>
      <c r="AL163" s="2" t="str">
        <f ca="1">IFERROR(__xludf.DUMMYFUNCTION("""COMPUTED_VALUE"""),"")</f>
        <v/>
      </c>
      <c r="AM163" s="2" t="str">
        <f ca="1">IFERROR(__xludf.DUMMYFUNCTION("""COMPUTED_VALUE"""),"")</f>
        <v/>
      </c>
      <c r="AN163" s="2" t="str">
        <f ca="1">IFERROR(__xludf.DUMMYFUNCTION("""COMPUTED_VALUE"""),"")</f>
        <v/>
      </c>
      <c r="AO163" s="2" t="str">
        <f ca="1">IFERROR(__xludf.DUMMYFUNCTION("""COMPUTED_VALUE"""),"")</f>
        <v/>
      </c>
      <c r="AP163" s="2" t="str">
        <f ca="1">IFERROR(__xludf.DUMMYFUNCTION("""COMPUTED_VALUE"""),"")</f>
        <v/>
      </c>
      <c r="AQ163" s="2" t="str">
        <f ca="1">IFERROR(__xludf.DUMMYFUNCTION("""COMPUTED_VALUE"""),"")</f>
        <v/>
      </c>
      <c r="AR163" s="2" t="str">
        <f ca="1">IFERROR(__xludf.DUMMYFUNCTION("""COMPUTED_VALUE"""),"")</f>
        <v/>
      </c>
      <c r="AS163" s="2" t="str">
        <f ca="1">IFERROR(__xludf.DUMMYFUNCTION("""COMPUTED_VALUE"""),"")</f>
        <v/>
      </c>
      <c r="AT163" s="2" t="str">
        <f ca="1">IFERROR(__xludf.DUMMYFUNCTION("""COMPUTED_VALUE"""),"")</f>
        <v/>
      </c>
      <c r="AU163" s="2" t="str">
        <f ca="1">IFERROR(__xludf.DUMMYFUNCTION("""COMPUTED_VALUE"""),"")</f>
        <v/>
      </c>
      <c r="AV163" s="2" t="str">
        <f ca="1">IFERROR(__xludf.DUMMYFUNCTION("""COMPUTED_VALUE"""),"")</f>
        <v/>
      </c>
      <c r="AW163" s="2" t="str">
        <f ca="1">IFERROR(__xludf.DUMMYFUNCTION("""COMPUTED_VALUE"""),"")</f>
        <v/>
      </c>
      <c r="AX163" s="2" t="str">
        <f ca="1">IFERROR(__xludf.DUMMYFUNCTION("""COMPUTED_VALUE"""),"")</f>
        <v/>
      </c>
      <c r="AY163" s="2" t="str">
        <f ca="1">IFERROR(__xludf.DUMMYFUNCTION("""COMPUTED_VALUE"""),"")</f>
        <v/>
      </c>
      <c r="AZ163" s="2" t="str">
        <f ca="1">IFERROR(__xludf.DUMMYFUNCTION("""COMPUTED_VALUE"""),"")</f>
        <v/>
      </c>
      <c r="BA163" s="2" t="str">
        <f ca="1">IFERROR(__xludf.DUMMYFUNCTION("""COMPUTED_VALUE"""),"")</f>
        <v/>
      </c>
      <c r="BB163" s="2" t="str">
        <f ca="1">IFERROR(__xludf.DUMMYFUNCTION("""COMPUTED_VALUE"""),"")</f>
        <v/>
      </c>
      <c r="BC163" s="2" t="str">
        <f ca="1">IFERROR(__xludf.DUMMYFUNCTION("""COMPUTED_VALUE"""),"")</f>
        <v/>
      </c>
      <c r="BD163" s="2" t="str">
        <f ca="1">IFERROR(__xludf.DUMMYFUNCTION("""COMPUTED_VALUE"""),"Cheddar Valley &amp; Matata ")</f>
        <v xml:space="preserve">Cheddar Valley &amp; Matata </v>
      </c>
      <c r="BE163" s="2" t="str">
        <f ca="1">IFERROR(__xludf.DUMMYFUNCTION("""COMPUTED_VALUE"""),"Melv also out looking 2/2/19 - ")</f>
        <v xml:space="preserve">Melv also out looking 2/2/19 - </v>
      </c>
      <c r="BF163" t="str">
        <f ca="1">IFERROR(__xludf.DUMMYFUNCTION("""COMPUTED_VALUE"""),"")</f>
        <v/>
      </c>
      <c r="BG163" t="str">
        <f ca="1">IFERROR(__xludf.DUMMYFUNCTION("""COMPUTED_VALUE"""),"")</f>
        <v/>
      </c>
      <c r="BH163" t="str">
        <f ca="1">IFERROR(__xludf.DUMMYFUNCTION("""COMPUTED_VALUE"""),"")</f>
        <v/>
      </c>
      <c r="BI163" t="str">
        <f ca="1">IFERROR(__xludf.DUMMYFUNCTION("""COMPUTED_VALUE"""),"")</f>
        <v/>
      </c>
      <c r="BJ163" s="3" t="str">
        <f ca="1">IFERROR(__xludf.DUMMYFUNCTION("""COMPUTED_VALUE"""),"")</f>
        <v/>
      </c>
    </row>
    <row r="164" spans="1:62" ht="12.5" x14ac:dyDescent="0.25">
      <c r="A164" s="6">
        <f ca="1">IFERROR(__xludf.DUMMYFUNCTION("""COMPUTED_VALUE"""),43500.4960666319)</f>
        <v>43500.496066631902</v>
      </c>
      <c r="B164" s="2" t="str">
        <f ca="1">IFERROR(__xludf.DUMMYFUNCTION("""COMPUTED_VALUE"""),"Bay of Plenty")</f>
        <v>Bay of Plenty</v>
      </c>
      <c r="C164" s="2" t="str">
        <f ca="1">IFERROR(__xludf.DUMMYFUNCTION("""COMPUTED_VALUE"""),"Unmarked bird")</f>
        <v>Unmarked bird</v>
      </c>
      <c r="D164" s="10">
        <f ca="1">IFERROR(__xludf.DUMMYFUNCTION("""COMPUTED_VALUE"""),43466)</f>
        <v>43466</v>
      </c>
      <c r="E164" s="4">
        <f ca="1">IFERROR(__xludf.DUMMYFUNCTION("""COMPUTED_VALUE"""),0.5)</f>
        <v>0.5</v>
      </c>
      <c r="F164" s="2" t="str">
        <f ca="1">IFERROR(__xludf.DUMMYFUNCTION("""COMPUTED_VALUE"""),"Saltmarsh &amp; farmland of Sharp rd")</f>
        <v>Saltmarsh &amp; farmland of Sharp rd</v>
      </c>
      <c r="G164" s="2" t="str">
        <f ca="1">IFERROR(__xludf.DUMMYFUNCTION("""COMPUTED_VALUE"""),"VHF (close approach): I followed the signal until I got within 50 m of the bird")</f>
        <v>VHF (close approach): I followed the signal until I got within 50 m of the bird</v>
      </c>
      <c r="H164" s="2" t="str">
        <f ca="1">IFERROR(__xludf.DUMMYFUNCTION("""COMPUTED_VALUE"""),"")</f>
        <v/>
      </c>
      <c r="I164" s="2" t="str">
        <f ca="1">IFERROR(__xludf.DUMMYFUNCTION("""COMPUTED_VALUE"""),"")</f>
        <v/>
      </c>
      <c r="J164" s="2" t="str">
        <f ca="1">IFERROR(__xludf.DUMMYFUNCTION("""COMPUTED_VALUE"""),"")</f>
        <v/>
      </c>
      <c r="K164" s="2" t="str">
        <f ca="1">IFERROR(__xludf.DUMMYFUNCTION("""COMPUTED_VALUE"""),"")</f>
        <v/>
      </c>
      <c r="L164" s="2" t="str">
        <f ca="1">IFERROR(__xludf.DUMMYFUNCTION("""COMPUTED_VALUE"""),"Yes - it flushed")</f>
        <v>Yes - it flushed</v>
      </c>
      <c r="M164" s="5">
        <f ca="1">IFERROR(__xludf.DUMMYFUNCTION("""COMPUTED_VALUE"""),1859768)</f>
        <v>1859768</v>
      </c>
      <c r="N164" s="5">
        <f ca="1">IFERROR(__xludf.DUMMYFUNCTION("""COMPUTED_VALUE"""),5836643)</f>
        <v>5836643</v>
      </c>
      <c r="O164" s="2" t="str">
        <f ca="1">IFERROR(__xludf.DUMMYFUNCTION("""COMPUTED_VALUE"""),"")</f>
        <v/>
      </c>
      <c r="P164" s="2" t="str">
        <f ca="1">IFERROR(__xludf.DUMMYFUNCTION("""COMPUTED_VALUE"""),"Yes")</f>
        <v>Yes</v>
      </c>
      <c r="Q164" s="2" t="str">
        <f ca="1">IFERROR(__xludf.DUMMYFUNCTION("""COMPUTED_VALUE"""),"Don't know")</f>
        <v>Don't know</v>
      </c>
      <c r="R164" s="2" t="str">
        <f ca="1">IFERROR(__xludf.DUMMYFUNCTION("""COMPUTED_VALUE"""),"dont know")</f>
        <v>dont know</v>
      </c>
      <c r="S164" s="2" t="str">
        <f ca="1">IFERROR(__xludf.DUMMYFUNCTION("""COMPUTED_VALUE"""),"in and around")</f>
        <v>in and around</v>
      </c>
      <c r="T164" s="2" t="str">
        <f ca="1">IFERROR(__xludf.DUMMYFUNCTION("""COMPUTED_VALUE"""),"saltmarsh/farmland ")</f>
        <v xml:space="preserve">saltmarsh/farmland </v>
      </c>
      <c r="U164" s="2" t="str">
        <f ca="1">IFERROR(__xludf.DUMMYFUNCTION("""COMPUTED_VALUE"""),"two regular sightings of bittern on farm &amp; saltmarsh of Sharp rd Katikati. ")</f>
        <v xml:space="preserve">two regular sightings of bittern on farm &amp; saltmarsh of Sharp rd Katikati. </v>
      </c>
      <c r="V164" s="2" t="str">
        <f ca="1">IFERROR(__xludf.DUMMYFUNCTION("""COMPUTED_VALUE"""),"")</f>
        <v/>
      </c>
      <c r="W164" s="2" t="str">
        <f ca="1">IFERROR(__xludf.DUMMYFUNCTION("""COMPUTED_VALUE"""),"")</f>
        <v/>
      </c>
      <c r="X164" s="2" t="str">
        <f ca="1">IFERROR(__xludf.DUMMYFUNCTION("""COMPUTED_VALUE"""),"")</f>
        <v/>
      </c>
      <c r="Y164" s="2" t="str">
        <f ca="1">IFERROR(__xludf.DUMMYFUNCTION("""COMPUTED_VALUE"""),"")</f>
        <v/>
      </c>
      <c r="Z164" s="2" t="str">
        <f ca="1">IFERROR(__xludf.DUMMYFUNCTION("""COMPUTED_VALUE"""),"")</f>
        <v/>
      </c>
      <c r="AA164" s="2" t="str">
        <f ca="1">IFERROR(__xludf.DUMMYFUNCTION("""COMPUTED_VALUE"""),"")</f>
        <v/>
      </c>
      <c r="AB164" s="2" t="str">
        <f ca="1">IFERROR(__xludf.DUMMYFUNCTION("""COMPUTED_VALUE"""),"")</f>
        <v/>
      </c>
      <c r="AC164" s="2" t="str">
        <f ca="1">IFERROR(__xludf.DUMMYFUNCTION("""COMPUTED_VALUE"""),"")</f>
        <v/>
      </c>
      <c r="AD164" s="2" t="str">
        <f ca="1">IFERROR(__xludf.DUMMYFUNCTION("""COMPUTED_VALUE"""),"")</f>
        <v/>
      </c>
      <c r="AE164" s="2" t="str">
        <f ca="1">IFERROR(__xludf.DUMMYFUNCTION("""COMPUTED_VALUE"""),"")</f>
        <v/>
      </c>
      <c r="AF164" s="2" t="str">
        <f ca="1">IFERROR(__xludf.DUMMYFUNCTION("""COMPUTED_VALUE"""),"")</f>
        <v/>
      </c>
      <c r="AG164" s="2" t="str">
        <f ca="1">IFERROR(__xludf.DUMMYFUNCTION("""COMPUTED_VALUE"""),"")</f>
        <v/>
      </c>
      <c r="AH164" s="2" t="str">
        <f ca="1">IFERROR(__xludf.DUMMYFUNCTION("""COMPUTED_VALUE"""),"")</f>
        <v/>
      </c>
      <c r="AI164" s="2" t="str">
        <f ca="1">IFERROR(__xludf.DUMMYFUNCTION("""COMPUTED_VALUE"""),"")</f>
        <v/>
      </c>
      <c r="AJ164" s="2" t="str">
        <f ca="1">IFERROR(__xludf.DUMMYFUNCTION("""COMPUTED_VALUE"""),"")</f>
        <v/>
      </c>
      <c r="AK164" s="2" t="str">
        <f ca="1">IFERROR(__xludf.DUMMYFUNCTION("""COMPUTED_VALUE"""),"")</f>
        <v/>
      </c>
      <c r="AL164" s="2" t="str">
        <f ca="1">IFERROR(__xludf.DUMMYFUNCTION("""COMPUTED_VALUE"""),"")</f>
        <v/>
      </c>
      <c r="AM164" s="2" t="str">
        <f ca="1">IFERROR(__xludf.DUMMYFUNCTION("""COMPUTED_VALUE"""),"")</f>
        <v/>
      </c>
      <c r="AN164" s="2" t="str">
        <f ca="1">IFERROR(__xludf.DUMMYFUNCTION("""COMPUTED_VALUE"""),"")</f>
        <v/>
      </c>
      <c r="AO164" s="2" t="str">
        <f ca="1">IFERROR(__xludf.DUMMYFUNCTION("""COMPUTED_VALUE"""),"")</f>
        <v/>
      </c>
      <c r="AP164" s="2" t="str">
        <f ca="1">IFERROR(__xludf.DUMMYFUNCTION("""COMPUTED_VALUE"""),"")</f>
        <v/>
      </c>
      <c r="AQ164" s="2" t="str">
        <f ca="1">IFERROR(__xludf.DUMMYFUNCTION("""COMPUTED_VALUE"""),"")</f>
        <v/>
      </c>
      <c r="AR164" s="2" t="str">
        <f ca="1">IFERROR(__xludf.DUMMYFUNCTION("""COMPUTED_VALUE"""),"")</f>
        <v/>
      </c>
      <c r="AS164" s="2" t="str">
        <f ca="1">IFERROR(__xludf.DUMMYFUNCTION("""COMPUTED_VALUE"""),"")</f>
        <v/>
      </c>
      <c r="AT164" s="2" t="str">
        <f ca="1">IFERROR(__xludf.DUMMYFUNCTION("""COMPUTED_VALUE"""),"")</f>
        <v/>
      </c>
      <c r="AU164" s="2" t="str">
        <f ca="1">IFERROR(__xludf.DUMMYFUNCTION("""COMPUTED_VALUE"""),"")</f>
        <v/>
      </c>
      <c r="AV164" s="2" t="str">
        <f ca="1">IFERROR(__xludf.DUMMYFUNCTION("""COMPUTED_VALUE"""),"")</f>
        <v/>
      </c>
      <c r="AW164" s="2" t="str">
        <f ca="1">IFERROR(__xludf.DUMMYFUNCTION("""COMPUTED_VALUE"""),"")</f>
        <v/>
      </c>
      <c r="AX164" s="2" t="str">
        <f ca="1">IFERROR(__xludf.DUMMYFUNCTION("""COMPUTED_VALUE"""),"")</f>
        <v/>
      </c>
      <c r="AY164" s="2" t="str">
        <f ca="1">IFERROR(__xludf.DUMMYFUNCTION("""COMPUTED_VALUE"""),"")</f>
        <v/>
      </c>
      <c r="AZ164" s="2" t="str">
        <f ca="1">IFERROR(__xludf.DUMMYFUNCTION("""COMPUTED_VALUE"""),"")</f>
        <v/>
      </c>
      <c r="BA164" s="2" t="str">
        <f ca="1">IFERROR(__xludf.DUMMYFUNCTION("""COMPUTED_VALUE"""),"")</f>
        <v/>
      </c>
      <c r="BB164" s="2" t="str">
        <f ca="1">IFERROR(__xludf.DUMMYFUNCTION("""COMPUTED_VALUE"""),"")</f>
        <v/>
      </c>
      <c r="BC164" s="2" t="str">
        <f ca="1">IFERROR(__xludf.DUMMYFUNCTION("""COMPUTED_VALUE"""),"")</f>
        <v/>
      </c>
      <c r="BD164" s="2" t="str">
        <f ca="1">IFERROR(__xludf.DUMMYFUNCTION("""COMPUTED_VALUE"""),"")</f>
        <v/>
      </c>
      <c r="BE164" s="2" t="str">
        <f ca="1">IFERROR(__xludf.DUMMYFUNCTION("""COMPUTED_VALUE"""),"")</f>
        <v/>
      </c>
      <c r="BF164" t="str">
        <f ca="1">IFERROR(__xludf.DUMMYFUNCTION("""COMPUTED_VALUE"""),"")</f>
        <v/>
      </c>
      <c r="BG164" t="str">
        <f ca="1">IFERROR(__xludf.DUMMYFUNCTION("""COMPUTED_VALUE"""),"")</f>
        <v/>
      </c>
      <c r="BH164" t="str">
        <f ca="1">IFERROR(__xludf.DUMMYFUNCTION("""COMPUTED_VALUE"""),"")</f>
        <v/>
      </c>
      <c r="BI164" t="str">
        <f ca="1">IFERROR(__xludf.DUMMYFUNCTION("""COMPUTED_VALUE"""),"")</f>
        <v/>
      </c>
      <c r="BJ164" s="3" t="str">
        <f ca="1">IFERROR(__xludf.DUMMYFUNCTION("""COMPUTED_VALUE"""),"")</f>
        <v/>
      </c>
    </row>
    <row r="165" spans="1:62" ht="12.5" x14ac:dyDescent="0.25">
      <c r="A165" s="6">
        <f ca="1">IFERROR(__xludf.DUMMYFUNCTION("""COMPUTED_VALUE"""),43500.6722453009)</f>
        <v>43500.672245300899</v>
      </c>
      <c r="B165" s="2" t="str">
        <f ca="1">IFERROR(__xludf.DUMMYFUNCTION("""COMPUTED_VALUE"""),"Bay of Plenty")</f>
        <v>Bay of Plenty</v>
      </c>
      <c r="C165" s="2" t="str">
        <f ca="1">IFERROR(__xludf.DUMMYFUNCTION("""COMPUTED_VALUE"""),"Tx 54")</f>
        <v>Tx 54</v>
      </c>
      <c r="D165" s="10">
        <f ca="1">IFERROR(__xludf.DUMMYFUNCTION("""COMPUTED_VALUE"""),43499)</f>
        <v>43499</v>
      </c>
      <c r="E165" s="4">
        <f ca="1">IFERROR(__xludf.DUMMYFUNCTION("""COMPUTED_VALUE"""),0.9375)</f>
        <v>0.9375</v>
      </c>
      <c r="F165" s="2" t="str">
        <f ca="1">IFERROR(__xludf.DUMMYFUNCTION("""COMPUTED_VALUE"""),"Little Waihi")</f>
        <v>Little Waihi</v>
      </c>
      <c r="G165" s="2" t="str">
        <f ca="1">IFERROR(__xludf.DUMMYFUNCTION("""COMPUTED_VALUE"""),"None: I listened for the bird but was unable to find it")</f>
        <v>None: I listened for the bird but was unable to find it</v>
      </c>
      <c r="H165" s="2" t="str">
        <f ca="1">IFERROR(__xludf.DUMMYFUNCTION("""COMPUTED_VALUE"""),"")</f>
        <v/>
      </c>
      <c r="I165" s="2" t="str">
        <f ca="1">IFERROR(__xludf.DUMMYFUNCTION("""COMPUTED_VALUE"""),"")</f>
        <v/>
      </c>
      <c r="J165" s="2" t="str">
        <f ca="1">IFERROR(__xludf.DUMMYFUNCTION("""COMPUTED_VALUE"""),"")</f>
        <v/>
      </c>
      <c r="K165" s="2" t="str">
        <f ca="1">IFERROR(__xludf.DUMMYFUNCTION("""COMPUTED_VALUE"""),"")</f>
        <v/>
      </c>
      <c r="L165" s="2" t="str">
        <f ca="1">IFERROR(__xludf.DUMMYFUNCTION("""COMPUTED_VALUE"""),"")</f>
        <v/>
      </c>
      <c r="M165" s="5" t="str">
        <f ca="1">IFERROR(__xludf.DUMMYFUNCTION("""COMPUTED_VALUE"""),"")</f>
        <v/>
      </c>
      <c r="N165" s="5" t="str">
        <f ca="1">IFERROR(__xludf.DUMMYFUNCTION("""COMPUTED_VALUE"""),"")</f>
        <v/>
      </c>
      <c r="O165" s="2" t="str">
        <f ca="1">IFERROR(__xludf.DUMMYFUNCTION("""COMPUTED_VALUE"""),"")</f>
        <v/>
      </c>
      <c r="P165" s="2" t="str">
        <f ca="1">IFERROR(__xludf.DUMMYFUNCTION("""COMPUTED_VALUE"""),"")</f>
        <v/>
      </c>
      <c r="Q165" s="2" t="str">
        <f ca="1">IFERROR(__xludf.DUMMYFUNCTION("""COMPUTED_VALUE"""),"")</f>
        <v/>
      </c>
      <c r="R165" s="2" t="str">
        <f ca="1">IFERROR(__xludf.DUMMYFUNCTION("""COMPUTED_VALUE"""),"")</f>
        <v/>
      </c>
      <c r="S165" s="2" t="str">
        <f ca="1">IFERROR(__xludf.DUMMYFUNCTION("""COMPUTED_VALUE"""),"")</f>
        <v/>
      </c>
      <c r="T165" s="2" t="str">
        <f ca="1">IFERROR(__xludf.DUMMYFUNCTION("""COMPUTED_VALUE"""),"")</f>
        <v/>
      </c>
      <c r="U165" s="2" t="str">
        <f ca="1">IFERROR(__xludf.DUMMYFUNCTION("""COMPUTED_VALUE"""),"")</f>
        <v/>
      </c>
      <c r="V165" s="2" t="str">
        <f ca="1">IFERROR(__xludf.DUMMYFUNCTION("""COMPUTED_VALUE"""),"")</f>
        <v/>
      </c>
      <c r="W165" s="2" t="str">
        <f ca="1">IFERROR(__xludf.DUMMYFUNCTION("""COMPUTED_VALUE"""),"")</f>
        <v/>
      </c>
      <c r="X165" s="2" t="str">
        <f ca="1">IFERROR(__xludf.DUMMYFUNCTION("""COMPUTED_VALUE"""),"")</f>
        <v/>
      </c>
      <c r="Y165" s="2" t="str">
        <f ca="1">IFERROR(__xludf.DUMMYFUNCTION("""COMPUTED_VALUE"""),"")</f>
        <v/>
      </c>
      <c r="Z165" s="2" t="str">
        <f ca="1">IFERROR(__xludf.DUMMYFUNCTION("""COMPUTED_VALUE"""),"")</f>
        <v/>
      </c>
      <c r="AA165" s="2" t="str">
        <f ca="1">IFERROR(__xludf.DUMMYFUNCTION("""COMPUTED_VALUE"""),"")</f>
        <v/>
      </c>
      <c r="AB165" s="2" t="str">
        <f ca="1">IFERROR(__xludf.DUMMYFUNCTION("""COMPUTED_VALUE"""),"")</f>
        <v/>
      </c>
      <c r="AC165" s="2" t="str">
        <f ca="1">IFERROR(__xludf.DUMMYFUNCTION("""COMPUTED_VALUE"""),"")</f>
        <v/>
      </c>
      <c r="AD165" s="2" t="str">
        <f ca="1">IFERROR(__xludf.DUMMYFUNCTION("""COMPUTED_VALUE"""),"")</f>
        <v/>
      </c>
      <c r="AE165" s="2" t="str">
        <f ca="1">IFERROR(__xludf.DUMMYFUNCTION("""COMPUTED_VALUE"""),"")</f>
        <v/>
      </c>
      <c r="AF165" s="2" t="str">
        <f ca="1">IFERROR(__xludf.DUMMYFUNCTION("""COMPUTED_VALUE"""),"")</f>
        <v/>
      </c>
      <c r="AG165" s="2" t="str">
        <f ca="1">IFERROR(__xludf.DUMMYFUNCTION("""COMPUTED_VALUE"""),"")</f>
        <v/>
      </c>
      <c r="AH165" s="2" t="str">
        <f ca="1">IFERROR(__xludf.DUMMYFUNCTION("""COMPUTED_VALUE"""),"")</f>
        <v/>
      </c>
      <c r="AI165" s="2" t="str">
        <f ca="1">IFERROR(__xludf.DUMMYFUNCTION("""COMPUTED_VALUE"""),"")</f>
        <v/>
      </c>
      <c r="AJ165" s="2" t="str">
        <f ca="1">IFERROR(__xludf.DUMMYFUNCTION("""COMPUTED_VALUE"""),"")</f>
        <v/>
      </c>
      <c r="AK165" s="2" t="str">
        <f ca="1">IFERROR(__xludf.DUMMYFUNCTION("""COMPUTED_VALUE"""),"")</f>
        <v/>
      </c>
      <c r="AL165" s="2" t="str">
        <f ca="1">IFERROR(__xludf.DUMMYFUNCTION("""COMPUTED_VALUE"""),"")</f>
        <v/>
      </c>
      <c r="AM165" s="2" t="str">
        <f ca="1">IFERROR(__xludf.DUMMYFUNCTION("""COMPUTED_VALUE"""),"")</f>
        <v/>
      </c>
      <c r="AN165" s="2" t="str">
        <f ca="1">IFERROR(__xludf.DUMMYFUNCTION("""COMPUTED_VALUE"""),"")</f>
        <v/>
      </c>
      <c r="AO165" s="2" t="str">
        <f ca="1">IFERROR(__xludf.DUMMYFUNCTION("""COMPUTED_VALUE"""),"")</f>
        <v/>
      </c>
      <c r="AP165" s="2" t="str">
        <f ca="1">IFERROR(__xludf.DUMMYFUNCTION("""COMPUTED_VALUE"""),"")</f>
        <v/>
      </c>
      <c r="AQ165" s="2" t="str">
        <f ca="1">IFERROR(__xludf.DUMMYFUNCTION("""COMPUTED_VALUE"""),"")</f>
        <v/>
      </c>
      <c r="AR165" s="2" t="str">
        <f ca="1">IFERROR(__xludf.DUMMYFUNCTION("""COMPUTED_VALUE"""),"")</f>
        <v/>
      </c>
      <c r="AS165" s="2" t="str">
        <f ca="1">IFERROR(__xludf.DUMMYFUNCTION("""COMPUTED_VALUE"""),"")</f>
        <v/>
      </c>
      <c r="AT165" s="2" t="str">
        <f ca="1">IFERROR(__xludf.DUMMYFUNCTION("""COMPUTED_VALUE"""),"")</f>
        <v/>
      </c>
      <c r="AU165" s="2" t="str">
        <f ca="1">IFERROR(__xludf.DUMMYFUNCTION("""COMPUTED_VALUE"""),"")</f>
        <v/>
      </c>
      <c r="AV165" s="2" t="str">
        <f ca="1">IFERROR(__xludf.DUMMYFUNCTION("""COMPUTED_VALUE"""),"")</f>
        <v/>
      </c>
      <c r="AW165" s="2" t="str">
        <f ca="1">IFERROR(__xludf.DUMMYFUNCTION("""COMPUTED_VALUE"""),"")</f>
        <v/>
      </c>
      <c r="AX165" s="2" t="str">
        <f ca="1">IFERROR(__xludf.DUMMYFUNCTION("""COMPUTED_VALUE"""),"")</f>
        <v/>
      </c>
      <c r="AY165" s="2" t="str">
        <f ca="1">IFERROR(__xludf.DUMMYFUNCTION("""COMPUTED_VALUE"""),"")</f>
        <v/>
      </c>
      <c r="AZ165" s="2" t="str">
        <f ca="1">IFERROR(__xludf.DUMMYFUNCTION("""COMPUTED_VALUE"""),"")</f>
        <v/>
      </c>
      <c r="BA165" s="2" t="str">
        <f ca="1">IFERROR(__xludf.DUMMYFUNCTION("""COMPUTED_VALUE"""),"")</f>
        <v/>
      </c>
      <c r="BB165" s="2" t="str">
        <f ca="1">IFERROR(__xludf.DUMMYFUNCTION("""COMPUTED_VALUE"""),"")</f>
        <v/>
      </c>
      <c r="BC165" s="2" t="str">
        <f ca="1">IFERROR(__xludf.DUMMYFUNCTION("""COMPUTED_VALUE"""),"")</f>
        <v/>
      </c>
      <c r="BD165" s="2" t="str">
        <f ca="1">IFERROR(__xludf.DUMMYFUNCTION("""COMPUTED_VALUE"""),"Home (opposite WHMR). E1907650 N5814148")</f>
        <v>Home (opposite WHMR). E1907650 N5814148</v>
      </c>
      <c r="BE165" s="2" t="str">
        <f ca="1">IFERROR(__xludf.DUMMYFUNCTION("""COMPUTED_VALUE"""),"Area hotter and drier than in recent years")</f>
        <v>Area hotter and drier than in recent years</v>
      </c>
      <c r="BF165" t="str">
        <f ca="1">IFERROR(__xludf.DUMMYFUNCTION("""COMPUTED_VALUE"""),"")</f>
        <v/>
      </c>
      <c r="BG165" t="str">
        <f ca="1">IFERROR(__xludf.DUMMYFUNCTION("""COMPUTED_VALUE"""),"")</f>
        <v/>
      </c>
      <c r="BH165" t="str">
        <f ca="1">IFERROR(__xludf.DUMMYFUNCTION("""COMPUTED_VALUE"""),"")</f>
        <v/>
      </c>
      <c r="BI165" t="str">
        <f ca="1">IFERROR(__xludf.DUMMYFUNCTION("""COMPUTED_VALUE"""),"")</f>
        <v/>
      </c>
      <c r="BJ165" s="3" t="str">
        <f ca="1">IFERROR(__xludf.DUMMYFUNCTION("""COMPUTED_VALUE"""),"")</f>
        <v/>
      </c>
    </row>
    <row r="166" spans="1:62" ht="12.5" x14ac:dyDescent="0.25">
      <c r="A166" s="6">
        <f ca="1">IFERROR(__xludf.DUMMYFUNCTION("""COMPUTED_VALUE"""),43523.5021356018)</f>
        <v>43523.502135601797</v>
      </c>
      <c r="B166" s="2" t="str">
        <f ca="1">IFERROR(__xludf.DUMMYFUNCTION("""COMPUTED_VALUE"""),"Bay of Plenty")</f>
        <v>Bay of Plenty</v>
      </c>
      <c r="C166" s="2" t="str">
        <f ca="1">IFERROR(__xludf.DUMMYFUNCTION("""COMPUTED_VALUE"""),"Unmarked bird")</f>
        <v>Unmarked bird</v>
      </c>
      <c r="D166" s="10">
        <f ca="1">IFERROR(__xludf.DUMMYFUNCTION("""COMPUTED_VALUE"""),43523)</f>
        <v>43523</v>
      </c>
      <c r="E166" s="4">
        <f ca="1">IFERROR(__xludf.DUMMYFUNCTION("""COMPUTED_VALUE"""),0.479166666667879)</f>
        <v>0.47916666666787899</v>
      </c>
      <c r="F166" s="2" t="str">
        <f ca="1">IFERROR(__xludf.DUMMYFUNCTION("""COMPUTED_VALUE"""),"Athenree ")</f>
        <v xml:space="preserve">Athenree </v>
      </c>
      <c r="G166" s="2" t="str">
        <f ca="1">IFERROR(__xludf.DUMMYFUNCTION("""COMPUTED_VALUE"""),"VHF (close approach): I followed the signal until I got within 50 m of the bird")</f>
        <v>VHF (close approach): I followed the signal until I got within 50 m of the bird</v>
      </c>
      <c r="H166" s="2" t="str">
        <f ca="1">IFERROR(__xludf.DUMMYFUNCTION("""COMPUTED_VALUE"""),"")</f>
        <v/>
      </c>
      <c r="I166" s="2" t="str">
        <f ca="1">IFERROR(__xludf.DUMMYFUNCTION("""COMPUTED_VALUE"""),"")</f>
        <v/>
      </c>
      <c r="J166" s="2" t="str">
        <f ca="1">IFERROR(__xludf.DUMMYFUNCTION("""COMPUTED_VALUE"""),"")</f>
        <v/>
      </c>
      <c r="K166" s="2" t="str">
        <f ca="1">IFERROR(__xludf.DUMMYFUNCTION("""COMPUTED_VALUE"""),"")</f>
        <v/>
      </c>
      <c r="L166" s="2" t="str">
        <f ca="1">IFERROR(__xludf.DUMMYFUNCTION("""COMPUTED_VALUE"""),"Yes - it flushed")</f>
        <v>Yes - it flushed</v>
      </c>
      <c r="M166" s="5">
        <f ca="1">IFERROR(__xludf.DUMMYFUNCTION("""COMPUTED_VALUE"""),1861359)</f>
        <v>1861359</v>
      </c>
      <c r="N166" s="5">
        <f ca="1">IFERROR(__xludf.DUMMYFUNCTION("""COMPUTED_VALUE"""),5852081)</f>
        <v>5852081</v>
      </c>
      <c r="O166" s="2" t="str">
        <f ca="1">IFERROR(__xludf.DUMMYFUNCTION("""COMPUTED_VALUE"""),"")</f>
        <v/>
      </c>
      <c r="P166" s="2" t="str">
        <f ca="1">IFERROR(__xludf.DUMMYFUNCTION("""COMPUTED_VALUE"""),"No")</f>
        <v>No</v>
      </c>
      <c r="Q166" s="2" t="str">
        <f ca="1">IFERROR(__xludf.DUMMYFUNCTION("""COMPUTED_VALUE"""),"Don't know")</f>
        <v>Don't know</v>
      </c>
      <c r="R166" s="2" t="str">
        <f ca="1">IFERROR(__xludf.DUMMYFUNCTION("""COMPUTED_VALUE"""),"dont know")</f>
        <v>dont know</v>
      </c>
      <c r="S166" s="2" t="str">
        <f ca="1">IFERROR(__xludf.DUMMYFUNCTION("""COMPUTED_VALUE"""),"close")</f>
        <v>close</v>
      </c>
      <c r="T166" s="2" t="str">
        <f ca="1">IFERROR(__xludf.DUMMYFUNCTION("""COMPUTED_VALUE"""),"flushed from area of back drain")</f>
        <v>flushed from area of back drain</v>
      </c>
      <c r="U166" s="2" t="str">
        <f ca="1">IFERROR(__xludf.DUMMYFUNCTION("""COMPUTED_VALUE"""),"Shona Evans also reports seeing Bittern at her pond a week eariler. ")</f>
        <v xml:space="preserve">Shona Evans also reports seeing Bittern at her pond a week eariler. </v>
      </c>
      <c r="V166" s="2" t="str">
        <f ca="1">IFERROR(__xludf.DUMMYFUNCTION("""COMPUTED_VALUE"""),"")</f>
        <v/>
      </c>
      <c r="W166" s="2" t="str">
        <f ca="1">IFERROR(__xludf.DUMMYFUNCTION("""COMPUTED_VALUE"""),"")</f>
        <v/>
      </c>
      <c r="X166" s="2" t="str">
        <f ca="1">IFERROR(__xludf.DUMMYFUNCTION("""COMPUTED_VALUE"""),"")</f>
        <v/>
      </c>
      <c r="Y166" s="2" t="str">
        <f ca="1">IFERROR(__xludf.DUMMYFUNCTION("""COMPUTED_VALUE"""),"")</f>
        <v/>
      </c>
      <c r="Z166" s="2" t="str">
        <f ca="1">IFERROR(__xludf.DUMMYFUNCTION("""COMPUTED_VALUE"""),"")</f>
        <v/>
      </c>
      <c r="AA166" s="2" t="str">
        <f ca="1">IFERROR(__xludf.DUMMYFUNCTION("""COMPUTED_VALUE"""),"")</f>
        <v/>
      </c>
      <c r="AB166" s="2" t="str">
        <f ca="1">IFERROR(__xludf.DUMMYFUNCTION("""COMPUTED_VALUE"""),"")</f>
        <v/>
      </c>
      <c r="AC166" s="2" t="str">
        <f ca="1">IFERROR(__xludf.DUMMYFUNCTION("""COMPUTED_VALUE"""),"")</f>
        <v/>
      </c>
      <c r="AD166" s="2" t="str">
        <f ca="1">IFERROR(__xludf.DUMMYFUNCTION("""COMPUTED_VALUE"""),"")</f>
        <v/>
      </c>
      <c r="AE166" s="2" t="str">
        <f ca="1">IFERROR(__xludf.DUMMYFUNCTION("""COMPUTED_VALUE"""),"")</f>
        <v/>
      </c>
      <c r="AF166" s="2" t="str">
        <f ca="1">IFERROR(__xludf.DUMMYFUNCTION("""COMPUTED_VALUE"""),"")</f>
        <v/>
      </c>
      <c r="AG166" s="2" t="str">
        <f ca="1">IFERROR(__xludf.DUMMYFUNCTION("""COMPUTED_VALUE"""),"")</f>
        <v/>
      </c>
      <c r="AH166" s="2" t="str">
        <f ca="1">IFERROR(__xludf.DUMMYFUNCTION("""COMPUTED_VALUE"""),"")</f>
        <v/>
      </c>
      <c r="AI166" s="2" t="str">
        <f ca="1">IFERROR(__xludf.DUMMYFUNCTION("""COMPUTED_VALUE"""),"")</f>
        <v/>
      </c>
      <c r="AJ166" s="2" t="str">
        <f ca="1">IFERROR(__xludf.DUMMYFUNCTION("""COMPUTED_VALUE"""),"")</f>
        <v/>
      </c>
      <c r="AK166" s="2" t="str">
        <f ca="1">IFERROR(__xludf.DUMMYFUNCTION("""COMPUTED_VALUE"""),"")</f>
        <v/>
      </c>
      <c r="AL166" s="2" t="str">
        <f ca="1">IFERROR(__xludf.DUMMYFUNCTION("""COMPUTED_VALUE"""),"")</f>
        <v/>
      </c>
      <c r="AM166" s="2" t="str">
        <f ca="1">IFERROR(__xludf.DUMMYFUNCTION("""COMPUTED_VALUE"""),"")</f>
        <v/>
      </c>
      <c r="AN166" s="2" t="str">
        <f ca="1">IFERROR(__xludf.DUMMYFUNCTION("""COMPUTED_VALUE"""),"")</f>
        <v/>
      </c>
      <c r="AO166" s="2" t="str">
        <f ca="1">IFERROR(__xludf.DUMMYFUNCTION("""COMPUTED_VALUE"""),"")</f>
        <v/>
      </c>
      <c r="AP166" s="2" t="str">
        <f ca="1">IFERROR(__xludf.DUMMYFUNCTION("""COMPUTED_VALUE"""),"")</f>
        <v/>
      </c>
      <c r="AQ166" s="2" t="str">
        <f ca="1">IFERROR(__xludf.DUMMYFUNCTION("""COMPUTED_VALUE"""),"")</f>
        <v/>
      </c>
      <c r="AR166" s="2" t="str">
        <f ca="1">IFERROR(__xludf.DUMMYFUNCTION("""COMPUTED_VALUE"""),"")</f>
        <v/>
      </c>
      <c r="AS166" s="2" t="str">
        <f ca="1">IFERROR(__xludf.DUMMYFUNCTION("""COMPUTED_VALUE"""),"")</f>
        <v/>
      </c>
      <c r="AT166" s="2" t="str">
        <f ca="1">IFERROR(__xludf.DUMMYFUNCTION("""COMPUTED_VALUE"""),"")</f>
        <v/>
      </c>
      <c r="AU166" s="2" t="str">
        <f ca="1">IFERROR(__xludf.DUMMYFUNCTION("""COMPUTED_VALUE"""),"")</f>
        <v/>
      </c>
      <c r="AV166" s="2" t="str">
        <f ca="1">IFERROR(__xludf.DUMMYFUNCTION("""COMPUTED_VALUE"""),"")</f>
        <v/>
      </c>
      <c r="AW166" s="2" t="str">
        <f ca="1">IFERROR(__xludf.DUMMYFUNCTION("""COMPUTED_VALUE"""),"")</f>
        <v/>
      </c>
      <c r="AX166" s="2" t="str">
        <f ca="1">IFERROR(__xludf.DUMMYFUNCTION("""COMPUTED_VALUE"""),"")</f>
        <v/>
      </c>
      <c r="AY166" s="2" t="str">
        <f ca="1">IFERROR(__xludf.DUMMYFUNCTION("""COMPUTED_VALUE"""),"")</f>
        <v/>
      </c>
      <c r="AZ166" s="2" t="str">
        <f ca="1">IFERROR(__xludf.DUMMYFUNCTION("""COMPUTED_VALUE"""),"")</f>
        <v/>
      </c>
      <c r="BA166" s="2" t="str">
        <f ca="1">IFERROR(__xludf.DUMMYFUNCTION("""COMPUTED_VALUE"""),"")</f>
        <v/>
      </c>
      <c r="BB166" s="2" t="str">
        <f ca="1">IFERROR(__xludf.DUMMYFUNCTION("""COMPUTED_VALUE"""),"")</f>
        <v/>
      </c>
      <c r="BC166" s="2" t="str">
        <f ca="1">IFERROR(__xludf.DUMMYFUNCTION("""COMPUTED_VALUE"""),"")</f>
        <v/>
      </c>
      <c r="BD166" s="2" t="str">
        <f ca="1">IFERROR(__xludf.DUMMYFUNCTION("""COMPUTED_VALUE"""),"")</f>
        <v/>
      </c>
      <c r="BE166" s="2" t="str">
        <f ca="1">IFERROR(__xludf.DUMMYFUNCTION("""COMPUTED_VALUE"""),"")</f>
        <v/>
      </c>
      <c r="BF166" t="str">
        <f ca="1">IFERROR(__xludf.DUMMYFUNCTION("""COMPUTED_VALUE"""),"")</f>
        <v/>
      </c>
      <c r="BG166" t="str">
        <f ca="1">IFERROR(__xludf.DUMMYFUNCTION("""COMPUTED_VALUE"""),"")</f>
        <v/>
      </c>
      <c r="BH166" t="str">
        <f ca="1">IFERROR(__xludf.DUMMYFUNCTION("""COMPUTED_VALUE"""),"")</f>
        <v/>
      </c>
      <c r="BI166" t="str">
        <f ca="1">IFERROR(__xludf.DUMMYFUNCTION("""COMPUTED_VALUE"""),"")</f>
        <v/>
      </c>
      <c r="BJ166" s="3" t="str">
        <f ca="1">IFERROR(__xludf.DUMMYFUNCTION("""COMPUTED_VALUE"""),"")</f>
        <v/>
      </c>
    </row>
    <row r="167" spans="1:62" ht="12.5" x14ac:dyDescent="0.25">
      <c r="A167" s="6">
        <f ca="1">IFERROR(__xludf.DUMMYFUNCTION("""COMPUTED_VALUE"""),43538.3645648958)</f>
        <v>43538.364564895797</v>
      </c>
      <c r="B167" s="2" t="str">
        <f ca="1">IFERROR(__xludf.DUMMYFUNCTION("""COMPUTED_VALUE"""),"Bay of Plenty")</f>
        <v>Bay of Plenty</v>
      </c>
      <c r="C167" s="2" t="str">
        <f ca="1">IFERROR(__xludf.DUMMYFUNCTION("""COMPUTED_VALUE"""),"Tx 54")</f>
        <v>Tx 54</v>
      </c>
      <c r="D167" s="10">
        <f ca="1">IFERROR(__xludf.DUMMYFUNCTION("""COMPUTED_VALUE"""),43537)</f>
        <v>43537</v>
      </c>
      <c r="E167" s="4">
        <f ca="1">IFERROR(__xludf.DUMMYFUNCTION("""COMPUTED_VALUE"""),0.48958333333212)</f>
        <v>0.48958333333212001</v>
      </c>
      <c r="F167" s="2" t="str">
        <f ca="1">IFERROR(__xludf.DUMMYFUNCTION("""COMPUTED_VALUE"""),"LKWMR")</f>
        <v>LKWMR</v>
      </c>
      <c r="G167" s="2" t="str">
        <f ca="1">IFERROR(__xludf.DUMMYFUNCTION("""COMPUTED_VALUE"""),"VHF (close approach): I followed the signal until I got within 50 m of the bird")</f>
        <v>VHF (close approach): I followed the signal until I got within 50 m of the bird</v>
      </c>
      <c r="H167" s="2" t="str">
        <f ca="1">IFERROR(__xludf.DUMMYFUNCTION("""COMPUTED_VALUE"""),"")</f>
        <v/>
      </c>
      <c r="I167" s="2" t="str">
        <f ca="1">IFERROR(__xludf.DUMMYFUNCTION("""COMPUTED_VALUE"""),"")</f>
        <v/>
      </c>
      <c r="J167" s="2" t="str">
        <f ca="1">IFERROR(__xludf.DUMMYFUNCTION("""COMPUTED_VALUE"""),"")</f>
        <v/>
      </c>
      <c r="K167" s="2" t="str">
        <f ca="1">IFERROR(__xludf.DUMMYFUNCTION("""COMPUTED_VALUE"""),"")</f>
        <v/>
      </c>
      <c r="L167" s="2" t="str">
        <f ca="1">IFERROR(__xludf.DUMMYFUNCTION("""COMPUTED_VALUE"""),"No - I got very close to the bird but it was well hidden in the vegetation")</f>
        <v>No - I got very close to the bird but it was well hidden in the vegetation</v>
      </c>
      <c r="M167" s="5">
        <f ca="1">IFERROR(__xludf.DUMMYFUNCTION("""COMPUTED_VALUE"""),1897709)</f>
        <v>1897709</v>
      </c>
      <c r="N167" s="5">
        <f ca="1">IFERROR(__xludf.DUMMYFUNCTION("""COMPUTED_VALUE"""),5816087)</f>
        <v>5816087</v>
      </c>
      <c r="O167" s="2" t="str">
        <f ca="1">IFERROR(__xludf.DUMMYFUNCTION("""COMPUTED_VALUE"""),"")</f>
        <v/>
      </c>
      <c r="P167" s="2" t="str">
        <f ca="1">IFERROR(__xludf.DUMMYFUNCTION("""COMPUTED_VALUE"""),"No")</f>
        <v>No</v>
      </c>
      <c r="Q167" s="2" t="str">
        <f ca="1">IFERROR(__xludf.DUMMYFUNCTION("""COMPUTED_VALUE"""),"Don't know")</f>
        <v>Don't know</v>
      </c>
      <c r="R167" s="2" t="str">
        <f ca="1">IFERROR(__xludf.DUMMYFUNCTION("""COMPUTED_VALUE"""),"dont know")</f>
        <v>dont know</v>
      </c>
      <c r="S167" s="2" t="str">
        <f ca="1">IFERROR(__xludf.DUMMYFUNCTION("""COMPUTED_VALUE"""),"within 50m of open water.. ")</f>
        <v xml:space="preserve">within 50m of open water.. </v>
      </c>
      <c r="T167" s="2" t="str">
        <f ca="1">IFERROR(__xludf.DUMMYFUNCTION("""COMPUTED_VALUE"""),"dont know")</f>
        <v>dont know</v>
      </c>
      <c r="U167" s="2" t="str">
        <f ca="1">IFERROR(__xludf.DUMMYFUNCTION("""COMPUTED_VALUE"""),"picked up while doing tour for Kuaka... within 70m of gps mark ")</f>
        <v xml:space="preserve">picked up while doing tour for Kuaka... within 70m of gps mark </v>
      </c>
      <c r="V167" s="2" t="str">
        <f ca="1">IFERROR(__xludf.DUMMYFUNCTION("""COMPUTED_VALUE"""),"")</f>
        <v/>
      </c>
      <c r="W167" s="2" t="str">
        <f ca="1">IFERROR(__xludf.DUMMYFUNCTION("""COMPUTED_VALUE"""),"")</f>
        <v/>
      </c>
      <c r="X167" s="2" t="str">
        <f ca="1">IFERROR(__xludf.DUMMYFUNCTION("""COMPUTED_VALUE"""),"")</f>
        <v/>
      </c>
      <c r="Y167" s="2" t="str">
        <f ca="1">IFERROR(__xludf.DUMMYFUNCTION("""COMPUTED_VALUE"""),"")</f>
        <v/>
      </c>
      <c r="Z167" s="2" t="str">
        <f ca="1">IFERROR(__xludf.DUMMYFUNCTION("""COMPUTED_VALUE"""),"")</f>
        <v/>
      </c>
      <c r="AA167" s="2" t="str">
        <f ca="1">IFERROR(__xludf.DUMMYFUNCTION("""COMPUTED_VALUE"""),"")</f>
        <v/>
      </c>
      <c r="AB167" s="2" t="str">
        <f ca="1">IFERROR(__xludf.DUMMYFUNCTION("""COMPUTED_VALUE"""),"")</f>
        <v/>
      </c>
      <c r="AC167" s="2" t="str">
        <f ca="1">IFERROR(__xludf.DUMMYFUNCTION("""COMPUTED_VALUE"""),"")</f>
        <v/>
      </c>
      <c r="AD167" s="2" t="str">
        <f ca="1">IFERROR(__xludf.DUMMYFUNCTION("""COMPUTED_VALUE"""),"")</f>
        <v/>
      </c>
      <c r="AE167" s="2" t="str">
        <f ca="1">IFERROR(__xludf.DUMMYFUNCTION("""COMPUTED_VALUE"""),"")</f>
        <v/>
      </c>
      <c r="AF167" s="2" t="str">
        <f ca="1">IFERROR(__xludf.DUMMYFUNCTION("""COMPUTED_VALUE"""),"")</f>
        <v/>
      </c>
      <c r="AG167" s="2" t="str">
        <f ca="1">IFERROR(__xludf.DUMMYFUNCTION("""COMPUTED_VALUE"""),"")</f>
        <v/>
      </c>
      <c r="AH167" s="2" t="str">
        <f ca="1">IFERROR(__xludf.DUMMYFUNCTION("""COMPUTED_VALUE"""),"")</f>
        <v/>
      </c>
      <c r="AI167" s="2" t="str">
        <f ca="1">IFERROR(__xludf.DUMMYFUNCTION("""COMPUTED_VALUE"""),"")</f>
        <v/>
      </c>
      <c r="AJ167" s="2" t="str">
        <f ca="1">IFERROR(__xludf.DUMMYFUNCTION("""COMPUTED_VALUE"""),"")</f>
        <v/>
      </c>
      <c r="AK167" s="2" t="str">
        <f ca="1">IFERROR(__xludf.DUMMYFUNCTION("""COMPUTED_VALUE"""),"")</f>
        <v/>
      </c>
      <c r="AL167" s="2" t="str">
        <f ca="1">IFERROR(__xludf.DUMMYFUNCTION("""COMPUTED_VALUE"""),"")</f>
        <v/>
      </c>
      <c r="AM167" s="2" t="str">
        <f ca="1">IFERROR(__xludf.DUMMYFUNCTION("""COMPUTED_VALUE"""),"")</f>
        <v/>
      </c>
      <c r="AN167" s="2" t="str">
        <f ca="1">IFERROR(__xludf.DUMMYFUNCTION("""COMPUTED_VALUE"""),"")</f>
        <v/>
      </c>
      <c r="AO167" s="2" t="str">
        <f ca="1">IFERROR(__xludf.DUMMYFUNCTION("""COMPUTED_VALUE"""),"")</f>
        <v/>
      </c>
      <c r="AP167" s="2" t="str">
        <f ca="1">IFERROR(__xludf.DUMMYFUNCTION("""COMPUTED_VALUE"""),"")</f>
        <v/>
      </c>
      <c r="AQ167" s="2" t="str">
        <f ca="1">IFERROR(__xludf.DUMMYFUNCTION("""COMPUTED_VALUE"""),"")</f>
        <v/>
      </c>
      <c r="AR167" s="2" t="str">
        <f ca="1">IFERROR(__xludf.DUMMYFUNCTION("""COMPUTED_VALUE"""),"")</f>
        <v/>
      </c>
      <c r="AS167" s="2" t="str">
        <f ca="1">IFERROR(__xludf.DUMMYFUNCTION("""COMPUTED_VALUE"""),"")</f>
        <v/>
      </c>
      <c r="AT167" s="2" t="str">
        <f ca="1">IFERROR(__xludf.DUMMYFUNCTION("""COMPUTED_VALUE"""),"")</f>
        <v/>
      </c>
      <c r="AU167" s="2" t="str">
        <f ca="1">IFERROR(__xludf.DUMMYFUNCTION("""COMPUTED_VALUE"""),"")</f>
        <v/>
      </c>
      <c r="AV167" s="2" t="str">
        <f ca="1">IFERROR(__xludf.DUMMYFUNCTION("""COMPUTED_VALUE"""),"")</f>
        <v/>
      </c>
      <c r="AW167" s="2" t="str">
        <f ca="1">IFERROR(__xludf.DUMMYFUNCTION("""COMPUTED_VALUE"""),"")</f>
        <v/>
      </c>
      <c r="AX167" s="2" t="str">
        <f ca="1">IFERROR(__xludf.DUMMYFUNCTION("""COMPUTED_VALUE"""),"")</f>
        <v/>
      </c>
      <c r="AY167" s="2" t="str">
        <f ca="1">IFERROR(__xludf.DUMMYFUNCTION("""COMPUTED_VALUE"""),"")</f>
        <v/>
      </c>
      <c r="AZ167" s="2" t="str">
        <f ca="1">IFERROR(__xludf.DUMMYFUNCTION("""COMPUTED_VALUE"""),"")</f>
        <v/>
      </c>
      <c r="BA167" s="2" t="str">
        <f ca="1">IFERROR(__xludf.DUMMYFUNCTION("""COMPUTED_VALUE"""),"")</f>
        <v/>
      </c>
      <c r="BB167" s="2" t="str">
        <f ca="1">IFERROR(__xludf.DUMMYFUNCTION("""COMPUTED_VALUE"""),"")</f>
        <v/>
      </c>
      <c r="BC167" s="2" t="str">
        <f ca="1">IFERROR(__xludf.DUMMYFUNCTION("""COMPUTED_VALUE"""),"")</f>
        <v/>
      </c>
      <c r="BD167" s="2" t="str">
        <f ca="1">IFERROR(__xludf.DUMMYFUNCTION("""COMPUTED_VALUE"""),"")</f>
        <v/>
      </c>
      <c r="BE167" s="2" t="str">
        <f ca="1">IFERROR(__xludf.DUMMYFUNCTION("""COMPUTED_VALUE"""),"")</f>
        <v/>
      </c>
      <c r="BF167" t="str">
        <f ca="1">IFERROR(__xludf.DUMMYFUNCTION("""COMPUTED_VALUE"""),"")</f>
        <v/>
      </c>
      <c r="BG167" t="str">
        <f ca="1">IFERROR(__xludf.DUMMYFUNCTION("""COMPUTED_VALUE"""),"")</f>
        <v/>
      </c>
      <c r="BH167" t="str">
        <f ca="1">IFERROR(__xludf.DUMMYFUNCTION("""COMPUTED_VALUE"""),"")</f>
        <v/>
      </c>
      <c r="BI167" t="str">
        <f ca="1">IFERROR(__xludf.DUMMYFUNCTION("""COMPUTED_VALUE"""),"")</f>
        <v/>
      </c>
      <c r="BJ167" s="3" t="str">
        <f ca="1">IFERROR(__xludf.DUMMYFUNCTION("""COMPUTED_VALUE"""),"")</f>
        <v/>
      </c>
    </row>
    <row r="168" spans="1:62" ht="12.5" x14ac:dyDescent="0.25">
      <c r="A168" s="6">
        <f ca="1">IFERROR(__xludf.DUMMYFUNCTION("""COMPUTED_VALUE"""),43615.4047890393)</f>
        <v>43615.404789039298</v>
      </c>
      <c r="B168" s="2" t="str">
        <f ca="1">IFERROR(__xludf.DUMMYFUNCTION("""COMPUTED_VALUE"""),"Bay of Plenty")</f>
        <v>Bay of Plenty</v>
      </c>
      <c r="C168" s="2" t="str">
        <f ca="1">IFERROR(__xludf.DUMMYFUNCTION("""COMPUTED_VALUE"""),"Tx 54")</f>
        <v>Tx 54</v>
      </c>
      <c r="D168" s="10">
        <f ca="1">IFERROR(__xludf.DUMMYFUNCTION("""COMPUTED_VALUE"""),43614)</f>
        <v>43614</v>
      </c>
      <c r="E168" s="4">
        <f ca="1">IFERROR(__xludf.DUMMYFUNCTION("""COMPUTED_VALUE"""),0.89583333333212)</f>
        <v>0.89583333333212001</v>
      </c>
      <c r="F168" s="2" t="str">
        <f ca="1">IFERROR(__xludf.DUMMYFUNCTION("""COMPUTED_VALUE"""),"Little Waihi")</f>
        <v>Little Waihi</v>
      </c>
      <c r="G168" s="2" t="str">
        <f ca="1">IFERROR(__xludf.DUMMYFUNCTION("""COMPUTED_VALUE"""),"VHF (Mortality): I just listened to see if the signal was on mortality")</f>
        <v>VHF (Mortality): I just listened to see if the signal was on mortality</v>
      </c>
      <c r="H168" s="2" t="str">
        <f ca="1">IFERROR(__xludf.DUMMYFUNCTION("""COMPUTED_VALUE"""),"")</f>
        <v/>
      </c>
      <c r="I168" s="2" t="str">
        <f ca="1">IFERROR(__xludf.DUMMYFUNCTION("""COMPUTED_VALUE"""),"")</f>
        <v/>
      </c>
      <c r="J168" s="2" t="str">
        <f ca="1">IFERROR(__xludf.DUMMYFUNCTION("""COMPUTED_VALUE"""),"")</f>
        <v/>
      </c>
      <c r="K168" s="2" t="str">
        <f ca="1">IFERROR(__xludf.DUMMYFUNCTION("""COMPUTED_VALUE"""),"")</f>
        <v/>
      </c>
      <c r="L168" s="2" t="str">
        <f ca="1">IFERROR(__xludf.DUMMYFUNCTION("""COMPUTED_VALUE"""),"")</f>
        <v/>
      </c>
      <c r="M168" s="5" t="str">
        <f ca="1">IFERROR(__xludf.DUMMYFUNCTION("""COMPUTED_VALUE"""),"")</f>
        <v/>
      </c>
      <c r="N168" s="5" t="str">
        <f ca="1">IFERROR(__xludf.DUMMYFUNCTION("""COMPUTED_VALUE"""),"")</f>
        <v/>
      </c>
      <c r="O168" s="2" t="str">
        <f ca="1">IFERROR(__xludf.DUMMYFUNCTION("""COMPUTED_VALUE"""),"")</f>
        <v/>
      </c>
      <c r="P168" s="2" t="str">
        <f ca="1">IFERROR(__xludf.DUMMYFUNCTION("""COMPUTED_VALUE"""),"")</f>
        <v/>
      </c>
      <c r="Q168" s="2" t="str">
        <f ca="1">IFERROR(__xludf.DUMMYFUNCTION("""COMPUTED_VALUE"""),"")</f>
        <v/>
      </c>
      <c r="R168" s="2" t="str">
        <f ca="1">IFERROR(__xludf.DUMMYFUNCTION("""COMPUTED_VALUE"""),"")</f>
        <v/>
      </c>
      <c r="S168" s="2" t="str">
        <f ca="1">IFERROR(__xludf.DUMMYFUNCTION("""COMPUTED_VALUE"""),"")</f>
        <v/>
      </c>
      <c r="T168" s="2" t="str">
        <f ca="1">IFERROR(__xludf.DUMMYFUNCTION("""COMPUTED_VALUE"""),"")</f>
        <v/>
      </c>
      <c r="U168" s="2" t="str">
        <f ca="1">IFERROR(__xludf.DUMMYFUNCTION("""COMPUTED_VALUE"""),"")</f>
        <v/>
      </c>
      <c r="V168" s="2" t="str">
        <f ca="1">IFERROR(__xludf.DUMMYFUNCTION("""COMPUTED_VALUE"""),"")</f>
        <v/>
      </c>
      <c r="W168" s="2" t="str">
        <f ca="1">IFERROR(__xludf.DUMMYFUNCTION("""COMPUTED_VALUE"""),"")</f>
        <v/>
      </c>
      <c r="X168" s="2" t="str">
        <f ca="1">IFERROR(__xludf.DUMMYFUNCTION("""COMPUTED_VALUE"""),"")</f>
        <v/>
      </c>
      <c r="Y168" s="2" t="str">
        <f ca="1">IFERROR(__xludf.DUMMYFUNCTION("""COMPUTED_VALUE"""),"")</f>
        <v/>
      </c>
      <c r="Z168" s="2" t="str">
        <f ca="1">IFERROR(__xludf.DUMMYFUNCTION("""COMPUTED_VALUE"""),"")</f>
        <v/>
      </c>
      <c r="AA168" s="2" t="str">
        <f ca="1">IFERROR(__xludf.DUMMYFUNCTION("""COMPUTED_VALUE"""),"")</f>
        <v/>
      </c>
      <c r="AB168" s="2" t="str">
        <f ca="1">IFERROR(__xludf.DUMMYFUNCTION("""COMPUTED_VALUE"""),"")</f>
        <v/>
      </c>
      <c r="AC168" s="2" t="str">
        <f ca="1">IFERROR(__xludf.DUMMYFUNCTION("""COMPUTED_VALUE"""),"")</f>
        <v/>
      </c>
      <c r="AD168" s="2" t="str">
        <f ca="1">IFERROR(__xludf.DUMMYFUNCTION("""COMPUTED_VALUE"""),"")</f>
        <v/>
      </c>
      <c r="AE168" s="2" t="str">
        <f ca="1">IFERROR(__xludf.DUMMYFUNCTION("""COMPUTED_VALUE"""),"")</f>
        <v/>
      </c>
      <c r="AF168" s="2" t="str">
        <f ca="1">IFERROR(__xludf.DUMMYFUNCTION("""COMPUTED_VALUE"""),"")</f>
        <v/>
      </c>
      <c r="AG168" s="2" t="str">
        <f ca="1">IFERROR(__xludf.DUMMYFUNCTION("""COMPUTED_VALUE"""),"")</f>
        <v/>
      </c>
      <c r="AH168" s="2" t="str">
        <f ca="1">IFERROR(__xludf.DUMMYFUNCTION("""COMPUTED_VALUE"""),"")</f>
        <v/>
      </c>
      <c r="AI168" s="2" t="str">
        <f ca="1">IFERROR(__xludf.DUMMYFUNCTION("""COMPUTED_VALUE"""),"")</f>
        <v/>
      </c>
      <c r="AJ168" s="2" t="str">
        <f ca="1">IFERROR(__xludf.DUMMYFUNCTION("""COMPUTED_VALUE"""),"")</f>
        <v/>
      </c>
      <c r="AK168" s="2" t="str">
        <f ca="1">IFERROR(__xludf.DUMMYFUNCTION("""COMPUTED_VALUE"""),"")</f>
        <v/>
      </c>
      <c r="AL168" s="2" t="str">
        <f ca="1">IFERROR(__xludf.DUMMYFUNCTION("""COMPUTED_VALUE"""),"")</f>
        <v/>
      </c>
      <c r="AM168" s="2" t="str">
        <f ca="1">IFERROR(__xludf.DUMMYFUNCTION("""COMPUTED_VALUE"""),"")</f>
        <v/>
      </c>
      <c r="AN168" s="2" t="str">
        <f ca="1">IFERROR(__xludf.DUMMYFUNCTION("""COMPUTED_VALUE"""),"")</f>
        <v/>
      </c>
      <c r="AO168" s="2" t="str">
        <f ca="1">IFERROR(__xludf.DUMMYFUNCTION("""COMPUTED_VALUE"""),"")</f>
        <v/>
      </c>
      <c r="AP168" s="2" t="str">
        <f ca="1">IFERROR(__xludf.DUMMYFUNCTION("""COMPUTED_VALUE"""),"")</f>
        <v/>
      </c>
      <c r="AQ168" s="2" t="str">
        <f ca="1">IFERROR(__xludf.DUMMYFUNCTION("""COMPUTED_VALUE"""),"")</f>
        <v/>
      </c>
      <c r="AR168" s="2" t="str">
        <f ca="1">IFERROR(__xludf.DUMMYFUNCTION("""COMPUTED_VALUE"""),"")</f>
        <v/>
      </c>
      <c r="AS168" s="2" t="str">
        <f ca="1">IFERROR(__xludf.DUMMYFUNCTION("""COMPUTED_VALUE"""),"")</f>
        <v/>
      </c>
      <c r="AT168" s="2" t="str">
        <f ca="1">IFERROR(__xludf.DUMMYFUNCTION("""COMPUTED_VALUE"""),"")</f>
        <v/>
      </c>
      <c r="AU168" s="2" t="str">
        <f ca="1">IFERROR(__xludf.DUMMYFUNCTION("""COMPUTED_VALUE"""),"")</f>
        <v/>
      </c>
      <c r="AV168" s="2" t="str">
        <f ca="1">IFERROR(__xludf.DUMMYFUNCTION("""COMPUTED_VALUE"""),"30 pulses per minute - great all is well")</f>
        <v>30 pulses per minute - great all is well</v>
      </c>
      <c r="AW168" s="2">
        <f ca="1">IFERROR(__xludf.DUMMYFUNCTION("""COMPUTED_VALUE"""),1907394)</f>
        <v>1907394</v>
      </c>
      <c r="AX168" s="2">
        <f ca="1">IFERROR(__xludf.DUMMYFUNCTION("""COMPUTED_VALUE"""),5813179)</f>
        <v>5813179</v>
      </c>
      <c r="AY168" s="2" t="str">
        <f ca="1">IFERROR(__xludf.DUMMYFUNCTION("""COMPUTED_VALUE"""),"Good signal, late evening seems to be better than daytime.")</f>
        <v>Good signal, late evening seems to be better than daytime.</v>
      </c>
      <c r="AZ168" s="2" t="str">
        <f ca="1">IFERROR(__xludf.DUMMYFUNCTION("""COMPUTED_VALUE"""),"")</f>
        <v/>
      </c>
      <c r="BA168" s="2" t="str">
        <f ca="1">IFERROR(__xludf.DUMMYFUNCTION("""COMPUTED_VALUE"""),"")</f>
        <v/>
      </c>
      <c r="BB168" s="2" t="str">
        <f ca="1">IFERROR(__xludf.DUMMYFUNCTION("""COMPUTED_VALUE"""),"")</f>
        <v/>
      </c>
      <c r="BC168" s="2" t="str">
        <f ca="1">IFERROR(__xludf.DUMMYFUNCTION("""COMPUTED_VALUE"""),"")</f>
        <v/>
      </c>
      <c r="BD168" s="2" t="str">
        <f ca="1">IFERROR(__xludf.DUMMYFUNCTION("""COMPUTED_VALUE"""),"")</f>
        <v/>
      </c>
      <c r="BE168" s="2" t="str">
        <f ca="1">IFERROR(__xludf.DUMMYFUNCTION("""COMPUTED_VALUE"""),"")</f>
        <v/>
      </c>
      <c r="BF168" t="str">
        <f ca="1">IFERROR(__xludf.DUMMYFUNCTION("""COMPUTED_VALUE"""),"")</f>
        <v/>
      </c>
      <c r="BG168" t="str">
        <f ca="1">IFERROR(__xludf.DUMMYFUNCTION("""COMPUTED_VALUE"""),"")</f>
        <v/>
      </c>
      <c r="BH168" t="str">
        <f ca="1">IFERROR(__xludf.DUMMYFUNCTION("""COMPUTED_VALUE"""),"")</f>
        <v/>
      </c>
      <c r="BI168" t="str">
        <f ca="1">IFERROR(__xludf.DUMMYFUNCTION("""COMPUTED_VALUE"""),"")</f>
        <v/>
      </c>
      <c r="BJ168" s="3" t="str">
        <f ca="1">IFERROR(__xludf.DUMMYFUNCTION("""COMPUTED_VALUE"""),"")</f>
        <v/>
      </c>
    </row>
    <row r="169" spans="1:62" ht="12.5" x14ac:dyDescent="0.25">
      <c r="A169" s="6">
        <f ca="1">IFERROR(__xludf.DUMMYFUNCTION("""COMPUTED_VALUE"""),43702.5094231134)</f>
        <v>43702.509423113399</v>
      </c>
      <c r="B169" s="2" t="str">
        <f ca="1">IFERROR(__xludf.DUMMYFUNCTION("""COMPUTED_VALUE"""),"Bay of Plenty")</f>
        <v>Bay of Plenty</v>
      </c>
      <c r="C169" s="2" t="str">
        <f ca="1">IFERROR(__xludf.DUMMYFUNCTION("""COMPUTED_VALUE"""),"Tx 54")</f>
        <v>Tx 54</v>
      </c>
      <c r="D169" s="10">
        <f ca="1">IFERROR(__xludf.DUMMYFUNCTION("""COMPUTED_VALUE"""),43701)</f>
        <v>43701</v>
      </c>
      <c r="E169" s="4">
        <f ca="1">IFERROR(__xludf.DUMMYFUNCTION("""COMPUTED_VALUE"""),0.166666666667879)</f>
        <v>0.16666666666787899</v>
      </c>
      <c r="F169" s="2" t="str">
        <f ca="1">IFERROR(__xludf.DUMMYFUNCTION("""COMPUTED_VALUE"""),"Little Waihi")</f>
        <v>Little Waihi</v>
      </c>
      <c r="G169" s="2" t="str">
        <f ca="1">IFERROR(__xludf.DUMMYFUNCTION("""COMPUTED_VALUE"""),"VHF (Mortality): I just listened to see if the signal was on mortality")</f>
        <v>VHF (Mortality): I just listened to see if the signal was on mortality</v>
      </c>
      <c r="H169" s="2" t="str">
        <f ca="1">IFERROR(__xludf.DUMMYFUNCTION("""COMPUTED_VALUE"""),"")</f>
        <v/>
      </c>
      <c r="I169" s="2" t="str">
        <f ca="1">IFERROR(__xludf.DUMMYFUNCTION("""COMPUTED_VALUE"""),"")</f>
        <v/>
      </c>
      <c r="J169" s="2" t="str">
        <f ca="1">IFERROR(__xludf.DUMMYFUNCTION("""COMPUTED_VALUE"""),"")</f>
        <v/>
      </c>
      <c r="K169" s="2" t="str">
        <f ca="1">IFERROR(__xludf.DUMMYFUNCTION("""COMPUTED_VALUE"""),"")</f>
        <v/>
      </c>
      <c r="L169" s="2" t="str">
        <f ca="1">IFERROR(__xludf.DUMMYFUNCTION("""COMPUTED_VALUE"""),"")</f>
        <v/>
      </c>
      <c r="M169" s="5" t="str">
        <f ca="1">IFERROR(__xludf.DUMMYFUNCTION("""COMPUTED_VALUE"""),"")</f>
        <v/>
      </c>
      <c r="N169" s="5" t="str">
        <f ca="1">IFERROR(__xludf.DUMMYFUNCTION("""COMPUTED_VALUE"""),"")</f>
        <v/>
      </c>
      <c r="O169" s="2" t="str">
        <f ca="1">IFERROR(__xludf.DUMMYFUNCTION("""COMPUTED_VALUE"""),"")</f>
        <v/>
      </c>
      <c r="P169" s="2" t="str">
        <f ca="1">IFERROR(__xludf.DUMMYFUNCTION("""COMPUTED_VALUE"""),"")</f>
        <v/>
      </c>
      <c r="Q169" s="2" t="str">
        <f ca="1">IFERROR(__xludf.DUMMYFUNCTION("""COMPUTED_VALUE"""),"")</f>
        <v/>
      </c>
      <c r="R169" s="2" t="str">
        <f ca="1">IFERROR(__xludf.DUMMYFUNCTION("""COMPUTED_VALUE"""),"")</f>
        <v/>
      </c>
      <c r="S169" s="2" t="str">
        <f ca="1">IFERROR(__xludf.DUMMYFUNCTION("""COMPUTED_VALUE"""),"")</f>
        <v/>
      </c>
      <c r="T169" s="2" t="str">
        <f ca="1">IFERROR(__xludf.DUMMYFUNCTION("""COMPUTED_VALUE"""),"")</f>
        <v/>
      </c>
      <c r="U169" s="2" t="str">
        <f ca="1">IFERROR(__xludf.DUMMYFUNCTION("""COMPUTED_VALUE"""),"")</f>
        <v/>
      </c>
      <c r="V169" s="2" t="str">
        <f ca="1">IFERROR(__xludf.DUMMYFUNCTION("""COMPUTED_VALUE"""),"")</f>
        <v/>
      </c>
      <c r="W169" s="2" t="str">
        <f ca="1">IFERROR(__xludf.DUMMYFUNCTION("""COMPUTED_VALUE"""),"")</f>
        <v/>
      </c>
      <c r="X169" s="2" t="str">
        <f ca="1">IFERROR(__xludf.DUMMYFUNCTION("""COMPUTED_VALUE"""),"")</f>
        <v/>
      </c>
      <c r="Y169" s="2" t="str">
        <f ca="1">IFERROR(__xludf.DUMMYFUNCTION("""COMPUTED_VALUE"""),"")</f>
        <v/>
      </c>
      <c r="Z169" s="2" t="str">
        <f ca="1">IFERROR(__xludf.DUMMYFUNCTION("""COMPUTED_VALUE"""),"")</f>
        <v/>
      </c>
      <c r="AA169" s="2" t="str">
        <f ca="1">IFERROR(__xludf.DUMMYFUNCTION("""COMPUTED_VALUE"""),"")</f>
        <v/>
      </c>
      <c r="AB169" s="2" t="str">
        <f ca="1">IFERROR(__xludf.DUMMYFUNCTION("""COMPUTED_VALUE"""),"")</f>
        <v/>
      </c>
      <c r="AC169" s="2" t="str">
        <f ca="1">IFERROR(__xludf.DUMMYFUNCTION("""COMPUTED_VALUE"""),"")</f>
        <v/>
      </c>
      <c r="AD169" s="2" t="str">
        <f ca="1">IFERROR(__xludf.DUMMYFUNCTION("""COMPUTED_VALUE"""),"")</f>
        <v/>
      </c>
      <c r="AE169" s="2" t="str">
        <f ca="1">IFERROR(__xludf.DUMMYFUNCTION("""COMPUTED_VALUE"""),"")</f>
        <v/>
      </c>
      <c r="AF169" s="2" t="str">
        <f ca="1">IFERROR(__xludf.DUMMYFUNCTION("""COMPUTED_VALUE"""),"")</f>
        <v/>
      </c>
      <c r="AG169" s="2" t="str">
        <f ca="1">IFERROR(__xludf.DUMMYFUNCTION("""COMPUTED_VALUE"""),"")</f>
        <v/>
      </c>
      <c r="AH169" s="2" t="str">
        <f ca="1">IFERROR(__xludf.DUMMYFUNCTION("""COMPUTED_VALUE"""),"")</f>
        <v/>
      </c>
      <c r="AI169" s="2" t="str">
        <f ca="1">IFERROR(__xludf.DUMMYFUNCTION("""COMPUTED_VALUE"""),"")</f>
        <v/>
      </c>
      <c r="AJ169" s="2" t="str">
        <f ca="1">IFERROR(__xludf.DUMMYFUNCTION("""COMPUTED_VALUE"""),"")</f>
        <v/>
      </c>
      <c r="AK169" s="2" t="str">
        <f ca="1">IFERROR(__xludf.DUMMYFUNCTION("""COMPUTED_VALUE"""),"")</f>
        <v/>
      </c>
      <c r="AL169" s="2" t="str">
        <f ca="1">IFERROR(__xludf.DUMMYFUNCTION("""COMPUTED_VALUE"""),"")</f>
        <v/>
      </c>
      <c r="AM169" s="2" t="str">
        <f ca="1">IFERROR(__xludf.DUMMYFUNCTION("""COMPUTED_VALUE"""),"")</f>
        <v/>
      </c>
      <c r="AN169" s="2" t="str">
        <f ca="1">IFERROR(__xludf.DUMMYFUNCTION("""COMPUTED_VALUE"""),"")</f>
        <v/>
      </c>
      <c r="AO169" s="2" t="str">
        <f ca="1">IFERROR(__xludf.DUMMYFUNCTION("""COMPUTED_VALUE"""),"")</f>
        <v/>
      </c>
      <c r="AP169" s="2" t="str">
        <f ca="1">IFERROR(__xludf.DUMMYFUNCTION("""COMPUTED_VALUE"""),"")</f>
        <v/>
      </c>
      <c r="AQ169" s="2" t="str">
        <f ca="1">IFERROR(__xludf.DUMMYFUNCTION("""COMPUTED_VALUE"""),"")</f>
        <v/>
      </c>
      <c r="AR169" s="2" t="str">
        <f ca="1">IFERROR(__xludf.DUMMYFUNCTION("""COMPUTED_VALUE"""),"")</f>
        <v/>
      </c>
      <c r="AS169" s="2" t="str">
        <f ca="1">IFERROR(__xludf.DUMMYFUNCTION("""COMPUTED_VALUE"""),"")</f>
        <v/>
      </c>
      <c r="AT169" s="2" t="str">
        <f ca="1">IFERROR(__xludf.DUMMYFUNCTION("""COMPUTED_VALUE"""),"")</f>
        <v/>
      </c>
      <c r="AU169" s="2" t="str">
        <f ca="1">IFERROR(__xludf.DUMMYFUNCTION("""COMPUTED_VALUE"""),"")</f>
        <v/>
      </c>
      <c r="AV169" s="2" t="str">
        <f ca="1">IFERROR(__xludf.DUMMYFUNCTION("""COMPUTED_VALUE"""),"30 pulses per minute - great all is well")</f>
        <v>30 pulses per minute - great all is well</v>
      </c>
      <c r="AW169" s="2">
        <f ca="1">IFERROR(__xludf.DUMMYFUNCTION("""COMPUTED_VALUE"""),1907650)</f>
        <v>1907650</v>
      </c>
      <c r="AX169" s="2">
        <f ca="1">IFERROR(__xludf.DUMMYFUNCTION("""COMPUTED_VALUE"""),5914148)</f>
        <v>5914148</v>
      </c>
      <c r="AY169" s="2" t="str">
        <f ca="1">IFERROR(__xludf.DUMMYFUNCTION("""COMPUTED_VALUE"""),"WMR East")</f>
        <v>WMR East</v>
      </c>
      <c r="AZ169" s="2" t="str">
        <f ca="1">IFERROR(__xludf.DUMMYFUNCTION("""COMPUTED_VALUE"""),"")</f>
        <v/>
      </c>
      <c r="BA169" s="2" t="str">
        <f ca="1">IFERROR(__xludf.DUMMYFUNCTION("""COMPUTED_VALUE"""),"")</f>
        <v/>
      </c>
      <c r="BB169" s="2" t="str">
        <f ca="1">IFERROR(__xludf.DUMMYFUNCTION("""COMPUTED_VALUE"""),"")</f>
        <v/>
      </c>
      <c r="BC169" s="2" t="str">
        <f ca="1">IFERROR(__xludf.DUMMYFUNCTION("""COMPUTED_VALUE"""),"")</f>
        <v/>
      </c>
      <c r="BD169" s="2" t="str">
        <f ca="1">IFERROR(__xludf.DUMMYFUNCTION("""COMPUTED_VALUE"""),"")</f>
        <v/>
      </c>
      <c r="BE169" s="2" t="str">
        <f ca="1">IFERROR(__xludf.DUMMYFUNCTION("""COMPUTED_VALUE"""),"")</f>
        <v/>
      </c>
      <c r="BF169" t="str">
        <f ca="1">IFERROR(__xludf.DUMMYFUNCTION("""COMPUTED_VALUE"""),"")</f>
        <v/>
      </c>
      <c r="BG169" t="str">
        <f ca="1">IFERROR(__xludf.DUMMYFUNCTION("""COMPUTED_VALUE"""),"")</f>
        <v/>
      </c>
      <c r="BH169" t="str">
        <f ca="1">IFERROR(__xludf.DUMMYFUNCTION("""COMPUTED_VALUE"""),"")</f>
        <v/>
      </c>
      <c r="BI169" t="str">
        <f ca="1">IFERROR(__xludf.DUMMYFUNCTION("""COMPUTED_VALUE"""),"")</f>
        <v/>
      </c>
      <c r="BJ169" s="3" t="str">
        <f ca="1">IFERROR(__xludf.DUMMYFUNCTION("""COMPUTED_VALUE"""),"")</f>
        <v/>
      </c>
    </row>
    <row r="170" spans="1:62" ht="12.5" x14ac:dyDescent="0.25">
      <c r="A170" s="6">
        <f ca="1">IFERROR(__xludf.DUMMYFUNCTION("""COMPUTED_VALUE"""),43731.8300876967)</f>
        <v>43731.830087696697</v>
      </c>
      <c r="B170" s="2" t="str">
        <f ca="1">IFERROR(__xludf.DUMMYFUNCTION("""COMPUTED_VALUE"""),"Bay of Plenty")</f>
        <v>Bay of Plenty</v>
      </c>
      <c r="C170" s="2" t="str">
        <f ca="1">IFERROR(__xludf.DUMMYFUNCTION("""COMPUTED_VALUE"""),"Tx 54")</f>
        <v>Tx 54</v>
      </c>
      <c r="D170" s="10">
        <f ca="1">IFERROR(__xludf.DUMMYFUNCTION("""COMPUTED_VALUE"""),43731)</f>
        <v>43731</v>
      </c>
      <c r="E170" s="4">
        <f ca="1">IFERROR(__xludf.DUMMYFUNCTION("""COMPUTED_VALUE"""),0.791666666667879)</f>
        <v>0.79166666666787899</v>
      </c>
      <c r="F170" s="2" t="str">
        <f ca="1">IFERROR(__xludf.DUMMYFUNCTION("""COMPUTED_VALUE"""),"Little Waihi")</f>
        <v>Little Waihi</v>
      </c>
      <c r="G170" s="2" t="str">
        <f ca="1">IFERROR(__xludf.DUMMYFUNCTION("""COMPUTED_VALUE"""),"VHF (Mortality): I just listened to see if the signal was on mortality")</f>
        <v>VHF (Mortality): I just listened to see if the signal was on mortality</v>
      </c>
      <c r="H170" s="2" t="str">
        <f ca="1">IFERROR(__xludf.DUMMYFUNCTION("""COMPUTED_VALUE"""),"")</f>
        <v/>
      </c>
      <c r="I170" s="2" t="str">
        <f ca="1">IFERROR(__xludf.DUMMYFUNCTION("""COMPUTED_VALUE"""),"")</f>
        <v/>
      </c>
      <c r="J170" s="2" t="str">
        <f ca="1">IFERROR(__xludf.DUMMYFUNCTION("""COMPUTED_VALUE"""),"")</f>
        <v/>
      </c>
      <c r="K170" s="2" t="str">
        <f ca="1">IFERROR(__xludf.DUMMYFUNCTION("""COMPUTED_VALUE"""),"")</f>
        <v/>
      </c>
      <c r="L170" s="2" t="str">
        <f ca="1">IFERROR(__xludf.DUMMYFUNCTION("""COMPUTED_VALUE"""),"")</f>
        <v/>
      </c>
      <c r="M170" s="5" t="str">
        <f ca="1">IFERROR(__xludf.DUMMYFUNCTION("""COMPUTED_VALUE"""),"")</f>
        <v/>
      </c>
      <c r="N170" s="5" t="str">
        <f ca="1">IFERROR(__xludf.DUMMYFUNCTION("""COMPUTED_VALUE"""),"")</f>
        <v/>
      </c>
      <c r="O170" s="2" t="str">
        <f ca="1">IFERROR(__xludf.DUMMYFUNCTION("""COMPUTED_VALUE"""),"")</f>
        <v/>
      </c>
      <c r="P170" s="2" t="str">
        <f ca="1">IFERROR(__xludf.DUMMYFUNCTION("""COMPUTED_VALUE"""),"")</f>
        <v/>
      </c>
      <c r="Q170" s="2" t="str">
        <f ca="1">IFERROR(__xludf.DUMMYFUNCTION("""COMPUTED_VALUE"""),"")</f>
        <v/>
      </c>
      <c r="R170" s="2" t="str">
        <f ca="1">IFERROR(__xludf.DUMMYFUNCTION("""COMPUTED_VALUE"""),"")</f>
        <v/>
      </c>
      <c r="S170" s="2" t="str">
        <f ca="1">IFERROR(__xludf.DUMMYFUNCTION("""COMPUTED_VALUE"""),"")</f>
        <v/>
      </c>
      <c r="T170" s="2" t="str">
        <f ca="1">IFERROR(__xludf.DUMMYFUNCTION("""COMPUTED_VALUE"""),"")</f>
        <v/>
      </c>
      <c r="U170" s="2" t="str">
        <f ca="1">IFERROR(__xludf.DUMMYFUNCTION("""COMPUTED_VALUE"""),"")</f>
        <v/>
      </c>
      <c r="V170" s="2" t="str">
        <f ca="1">IFERROR(__xludf.DUMMYFUNCTION("""COMPUTED_VALUE"""),"")</f>
        <v/>
      </c>
      <c r="W170" s="2" t="str">
        <f ca="1">IFERROR(__xludf.DUMMYFUNCTION("""COMPUTED_VALUE"""),"")</f>
        <v/>
      </c>
      <c r="X170" s="2" t="str">
        <f ca="1">IFERROR(__xludf.DUMMYFUNCTION("""COMPUTED_VALUE"""),"")</f>
        <v/>
      </c>
      <c r="Y170" s="2" t="str">
        <f ca="1">IFERROR(__xludf.DUMMYFUNCTION("""COMPUTED_VALUE"""),"")</f>
        <v/>
      </c>
      <c r="Z170" s="2" t="str">
        <f ca="1">IFERROR(__xludf.DUMMYFUNCTION("""COMPUTED_VALUE"""),"")</f>
        <v/>
      </c>
      <c r="AA170" s="2" t="str">
        <f ca="1">IFERROR(__xludf.DUMMYFUNCTION("""COMPUTED_VALUE"""),"")</f>
        <v/>
      </c>
      <c r="AB170" s="2" t="str">
        <f ca="1">IFERROR(__xludf.DUMMYFUNCTION("""COMPUTED_VALUE"""),"")</f>
        <v/>
      </c>
      <c r="AC170" s="2" t="str">
        <f ca="1">IFERROR(__xludf.DUMMYFUNCTION("""COMPUTED_VALUE"""),"")</f>
        <v/>
      </c>
      <c r="AD170" s="2" t="str">
        <f ca="1">IFERROR(__xludf.DUMMYFUNCTION("""COMPUTED_VALUE"""),"")</f>
        <v/>
      </c>
      <c r="AE170" s="2" t="str">
        <f ca="1">IFERROR(__xludf.DUMMYFUNCTION("""COMPUTED_VALUE"""),"")</f>
        <v/>
      </c>
      <c r="AF170" s="2" t="str">
        <f ca="1">IFERROR(__xludf.DUMMYFUNCTION("""COMPUTED_VALUE"""),"")</f>
        <v/>
      </c>
      <c r="AG170" s="2" t="str">
        <f ca="1">IFERROR(__xludf.DUMMYFUNCTION("""COMPUTED_VALUE"""),"")</f>
        <v/>
      </c>
      <c r="AH170" s="2" t="str">
        <f ca="1">IFERROR(__xludf.DUMMYFUNCTION("""COMPUTED_VALUE"""),"")</f>
        <v/>
      </c>
      <c r="AI170" s="2" t="str">
        <f ca="1">IFERROR(__xludf.DUMMYFUNCTION("""COMPUTED_VALUE"""),"")</f>
        <v/>
      </c>
      <c r="AJ170" s="2" t="str">
        <f ca="1">IFERROR(__xludf.DUMMYFUNCTION("""COMPUTED_VALUE"""),"")</f>
        <v/>
      </c>
      <c r="AK170" s="2" t="str">
        <f ca="1">IFERROR(__xludf.DUMMYFUNCTION("""COMPUTED_VALUE"""),"")</f>
        <v/>
      </c>
      <c r="AL170" s="2" t="str">
        <f ca="1">IFERROR(__xludf.DUMMYFUNCTION("""COMPUTED_VALUE"""),"")</f>
        <v/>
      </c>
      <c r="AM170" s="2" t="str">
        <f ca="1">IFERROR(__xludf.DUMMYFUNCTION("""COMPUTED_VALUE"""),"")</f>
        <v/>
      </c>
      <c r="AN170" s="2" t="str">
        <f ca="1">IFERROR(__xludf.DUMMYFUNCTION("""COMPUTED_VALUE"""),"")</f>
        <v/>
      </c>
      <c r="AO170" s="2" t="str">
        <f ca="1">IFERROR(__xludf.DUMMYFUNCTION("""COMPUTED_VALUE"""),"")</f>
        <v/>
      </c>
      <c r="AP170" s="2" t="str">
        <f ca="1">IFERROR(__xludf.DUMMYFUNCTION("""COMPUTED_VALUE"""),"")</f>
        <v/>
      </c>
      <c r="AQ170" s="2" t="str">
        <f ca="1">IFERROR(__xludf.DUMMYFUNCTION("""COMPUTED_VALUE"""),"")</f>
        <v/>
      </c>
      <c r="AR170" s="2" t="str">
        <f ca="1">IFERROR(__xludf.DUMMYFUNCTION("""COMPUTED_VALUE"""),"")</f>
        <v/>
      </c>
      <c r="AS170" s="2" t="str">
        <f ca="1">IFERROR(__xludf.DUMMYFUNCTION("""COMPUTED_VALUE"""),"")</f>
        <v/>
      </c>
      <c r="AT170" s="2" t="str">
        <f ca="1">IFERROR(__xludf.DUMMYFUNCTION("""COMPUTED_VALUE"""),"")</f>
        <v/>
      </c>
      <c r="AU170" s="2" t="str">
        <f ca="1">IFERROR(__xludf.DUMMYFUNCTION("""COMPUTED_VALUE"""),"")</f>
        <v/>
      </c>
      <c r="AV170" s="2" t="str">
        <f ca="1">IFERROR(__xludf.DUMMYFUNCTION("""COMPUTED_VALUE"""),"30 pulses per minute - great all is well")</f>
        <v>30 pulses per minute - great all is well</v>
      </c>
      <c r="AW170" s="2">
        <f ca="1">IFERROR(__xludf.DUMMYFUNCTION("""COMPUTED_VALUE"""),1907650)</f>
        <v>1907650</v>
      </c>
      <c r="AX170" s="2">
        <f ca="1">IFERROR(__xludf.DUMMYFUNCTION("""COMPUTED_VALUE"""),5814148)</f>
        <v>5814148</v>
      </c>
      <c r="AY170" s="2" t="str">
        <f ca="1">IFERROR(__xludf.DUMMYFUNCTION("""COMPUTED_VALUE"""),"150 degrees, so looks like the eastern WMR again")</f>
        <v>150 degrees, so looks like the eastern WMR again</v>
      </c>
      <c r="AZ170" s="2" t="str">
        <f ca="1">IFERROR(__xludf.DUMMYFUNCTION("""COMPUTED_VALUE"""),"")</f>
        <v/>
      </c>
      <c r="BA170" s="2" t="str">
        <f ca="1">IFERROR(__xludf.DUMMYFUNCTION("""COMPUTED_VALUE"""),"")</f>
        <v/>
      </c>
      <c r="BB170" s="2" t="str">
        <f ca="1">IFERROR(__xludf.DUMMYFUNCTION("""COMPUTED_VALUE"""),"")</f>
        <v/>
      </c>
      <c r="BC170" s="2" t="str">
        <f ca="1">IFERROR(__xludf.DUMMYFUNCTION("""COMPUTED_VALUE"""),"")</f>
        <v/>
      </c>
      <c r="BD170" s="2" t="str">
        <f ca="1">IFERROR(__xludf.DUMMYFUNCTION("""COMPUTED_VALUE"""),"")</f>
        <v/>
      </c>
      <c r="BE170" s="2" t="str">
        <f ca="1">IFERROR(__xludf.DUMMYFUNCTION("""COMPUTED_VALUE"""),"")</f>
        <v/>
      </c>
      <c r="BF170" t="str">
        <f ca="1">IFERROR(__xludf.DUMMYFUNCTION("""COMPUTED_VALUE"""),"")</f>
        <v/>
      </c>
      <c r="BG170" t="str">
        <f ca="1">IFERROR(__xludf.DUMMYFUNCTION("""COMPUTED_VALUE"""),"")</f>
        <v/>
      </c>
      <c r="BH170" t="str">
        <f ca="1">IFERROR(__xludf.DUMMYFUNCTION("""COMPUTED_VALUE"""),"")</f>
        <v/>
      </c>
      <c r="BI170" t="str">
        <f ca="1">IFERROR(__xludf.DUMMYFUNCTION("""COMPUTED_VALUE"""),"")</f>
        <v/>
      </c>
      <c r="BJ170" s="3" t="str">
        <f ca="1">IFERROR(__xludf.DUMMYFUNCTION("""COMPUTED_VALUE"""),"")</f>
        <v/>
      </c>
    </row>
    <row r="171" spans="1:62" ht="12.5" x14ac:dyDescent="0.25">
      <c r="A171" s="6">
        <f ca="1">IFERROR(__xludf.DUMMYFUNCTION("""COMPUTED_VALUE"""),43745.4162280207)</f>
        <v>43745.416228020702</v>
      </c>
      <c r="B171" s="2" t="str">
        <f ca="1">IFERROR(__xludf.DUMMYFUNCTION("""COMPUTED_VALUE"""),"Bay of Plenty")</f>
        <v>Bay of Plenty</v>
      </c>
      <c r="C171" s="2" t="str">
        <f ca="1">IFERROR(__xludf.DUMMYFUNCTION("""COMPUTED_VALUE"""),"Tx 54")</f>
        <v>Tx 54</v>
      </c>
      <c r="D171" s="10">
        <f ca="1">IFERROR(__xludf.DUMMYFUNCTION("""COMPUTED_VALUE"""),43735)</f>
        <v>43735</v>
      </c>
      <c r="E171" s="4">
        <f ca="1">IFERROR(__xludf.DUMMYFUNCTION("""COMPUTED_VALUE"""),0.58333333333212)</f>
        <v>0.58333333333212001</v>
      </c>
      <c r="F171" s="2" t="str">
        <f ca="1">IFERROR(__xludf.DUMMYFUNCTION("""COMPUTED_VALUE"""),"Cutwater Road Saltmarsh")</f>
        <v>Cutwater Road Saltmarsh</v>
      </c>
      <c r="G171" s="2" t="str">
        <f ca="1">IFERROR(__xludf.DUMMYFUNCTION("""COMPUTED_VALUE"""),"VHF (close approach): I followed the signal until I got within 50 m of the bird")</f>
        <v>VHF (close approach): I followed the signal until I got within 50 m of the bird</v>
      </c>
      <c r="H171" s="2" t="str">
        <f ca="1">IFERROR(__xludf.DUMMYFUNCTION("""COMPUTED_VALUE"""),"")</f>
        <v/>
      </c>
      <c r="I171" s="2" t="str">
        <f ca="1">IFERROR(__xludf.DUMMYFUNCTION("""COMPUTED_VALUE"""),"")</f>
        <v/>
      </c>
      <c r="J171" s="2" t="str">
        <f ca="1">IFERROR(__xludf.DUMMYFUNCTION("""COMPUTED_VALUE"""),"")</f>
        <v/>
      </c>
      <c r="K171" s="2" t="str">
        <f ca="1">IFERROR(__xludf.DUMMYFUNCTION("""COMPUTED_VALUE"""),"")</f>
        <v/>
      </c>
      <c r="L171" s="2" t="str">
        <f ca="1">IFERROR(__xludf.DUMMYFUNCTION("""COMPUTED_VALUE"""),"Yes - it flushed")</f>
        <v>Yes - it flushed</v>
      </c>
      <c r="M171" s="5">
        <f ca="1">IFERROR(__xludf.DUMMYFUNCTION("""COMPUTED_VALUE"""),1907603)</f>
        <v>1907603</v>
      </c>
      <c r="N171" s="5">
        <f ca="1">IFERROR(__xludf.DUMMYFUNCTION("""COMPUTED_VALUE"""),5813109)</f>
        <v>5813109</v>
      </c>
      <c r="O171" s="2" t="str">
        <f ca="1">IFERROR(__xludf.DUMMYFUNCTION("""COMPUTED_VALUE"""),"")</f>
        <v/>
      </c>
      <c r="P171" s="2" t="str">
        <f ca="1">IFERROR(__xludf.DUMMYFUNCTION("""COMPUTED_VALUE"""),"No")</f>
        <v>No</v>
      </c>
      <c r="Q171" s="2" t="str">
        <f ca="1">IFERROR(__xludf.DUMMYFUNCTION("""COMPUTED_VALUE"""),"Wet")</f>
        <v>Wet</v>
      </c>
      <c r="R171" s="2" t="str">
        <f ca="1">IFERROR(__xludf.DUMMYFUNCTION("""COMPUTED_VALUE"""),"dont know")</f>
        <v>dont know</v>
      </c>
      <c r="S171" s="2" t="str">
        <f ca="1">IFERROR(__xludf.DUMMYFUNCTION("""COMPUTED_VALUE"""),"Dont know")</f>
        <v>Dont know</v>
      </c>
      <c r="T171" s="2" t="str">
        <f ca="1">IFERROR(__xludf.DUMMYFUNCTION("""COMPUTED_VALUE"""),"Saltmarsh")</f>
        <v>Saltmarsh</v>
      </c>
      <c r="U171" s="2" t="str">
        <f ca="1">IFERROR(__xludf.DUMMYFUNCTION("""COMPUTED_VALUE"""),"Spotted 1st bird (possibly54) @ 1907701.56  5812867.22 (flushed at sound of truck?) which flew further into saltmarsh @ 1907644.83   5812943.06. then shortly after a bird from simliar/same? location flew off and another bird flew off from 1907652  5812959"&amp;".78    joining it flying closer to the water  @ aprx 1907603.03  5813109.07   54   triangulated in posision where both birds flew to. lots of hawks about. swooping in at bittern.    2-3 birds seen")</f>
        <v>Spotted 1st bird (possibly54) @ 1907701.56  5812867.22 (flushed at sound of truck?) which flew further into saltmarsh @ 1907644.83   5812943.06. then shortly after a bird from simliar/same? location flew off and another bird flew off from 1907652  5812959.78    joining it flying closer to the water  @ aprx 1907603.03  5813109.07   54   triangulated in posision where both birds flew to. lots of hawks about. swooping in at bittern.    2-3 birds seen</v>
      </c>
      <c r="V171" s="2" t="str">
        <f ca="1">IFERROR(__xludf.DUMMYFUNCTION("""COMPUTED_VALUE"""),"")</f>
        <v/>
      </c>
      <c r="W171" s="2" t="str">
        <f ca="1">IFERROR(__xludf.DUMMYFUNCTION("""COMPUTED_VALUE"""),"")</f>
        <v/>
      </c>
      <c r="X171" s="2" t="str">
        <f ca="1">IFERROR(__xludf.DUMMYFUNCTION("""COMPUTED_VALUE"""),"")</f>
        <v/>
      </c>
      <c r="Y171" s="2" t="str">
        <f ca="1">IFERROR(__xludf.DUMMYFUNCTION("""COMPUTED_VALUE"""),"")</f>
        <v/>
      </c>
      <c r="Z171" s="2" t="str">
        <f ca="1">IFERROR(__xludf.DUMMYFUNCTION("""COMPUTED_VALUE"""),"")</f>
        <v/>
      </c>
      <c r="AA171" s="2" t="str">
        <f ca="1">IFERROR(__xludf.DUMMYFUNCTION("""COMPUTED_VALUE"""),"")</f>
        <v/>
      </c>
      <c r="AB171" s="2" t="str">
        <f ca="1">IFERROR(__xludf.DUMMYFUNCTION("""COMPUTED_VALUE"""),"")</f>
        <v/>
      </c>
      <c r="AC171" s="2" t="str">
        <f ca="1">IFERROR(__xludf.DUMMYFUNCTION("""COMPUTED_VALUE"""),"")</f>
        <v/>
      </c>
      <c r="AD171" s="2" t="str">
        <f ca="1">IFERROR(__xludf.DUMMYFUNCTION("""COMPUTED_VALUE"""),"")</f>
        <v/>
      </c>
      <c r="AE171" s="2" t="str">
        <f ca="1">IFERROR(__xludf.DUMMYFUNCTION("""COMPUTED_VALUE"""),"")</f>
        <v/>
      </c>
      <c r="AF171" s="2" t="str">
        <f ca="1">IFERROR(__xludf.DUMMYFUNCTION("""COMPUTED_VALUE"""),"")</f>
        <v/>
      </c>
      <c r="AG171" s="2" t="str">
        <f ca="1">IFERROR(__xludf.DUMMYFUNCTION("""COMPUTED_VALUE"""),"")</f>
        <v/>
      </c>
      <c r="AH171" s="2" t="str">
        <f ca="1">IFERROR(__xludf.DUMMYFUNCTION("""COMPUTED_VALUE"""),"")</f>
        <v/>
      </c>
      <c r="AI171" s="2" t="str">
        <f ca="1">IFERROR(__xludf.DUMMYFUNCTION("""COMPUTED_VALUE"""),"")</f>
        <v/>
      </c>
      <c r="AJ171" s="2" t="str">
        <f ca="1">IFERROR(__xludf.DUMMYFUNCTION("""COMPUTED_VALUE"""),"")</f>
        <v/>
      </c>
      <c r="AK171" s="2" t="str">
        <f ca="1">IFERROR(__xludf.DUMMYFUNCTION("""COMPUTED_VALUE"""),"")</f>
        <v/>
      </c>
      <c r="AL171" s="2" t="str">
        <f ca="1">IFERROR(__xludf.DUMMYFUNCTION("""COMPUTED_VALUE"""),"")</f>
        <v/>
      </c>
      <c r="AM171" s="2" t="str">
        <f ca="1">IFERROR(__xludf.DUMMYFUNCTION("""COMPUTED_VALUE"""),"")</f>
        <v/>
      </c>
      <c r="AN171" s="2" t="str">
        <f ca="1">IFERROR(__xludf.DUMMYFUNCTION("""COMPUTED_VALUE"""),"")</f>
        <v/>
      </c>
      <c r="AO171" s="2" t="str">
        <f ca="1">IFERROR(__xludf.DUMMYFUNCTION("""COMPUTED_VALUE"""),"")</f>
        <v/>
      </c>
      <c r="AP171" s="2" t="str">
        <f ca="1">IFERROR(__xludf.DUMMYFUNCTION("""COMPUTED_VALUE"""),"")</f>
        <v/>
      </c>
      <c r="AQ171" s="2" t="str">
        <f ca="1">IFERROR(__xludf.DUMMYFUNCTION("""COMPUTED_VALUE"""),"")</f>
        <v/>
      </c>
      <c r="AR171" s="2" t="str">
        <f ca="1">IFERROR(__xludf.DUMMYFUNCTION("""COMPUTED_VALUE"""),"")</f>
        <v/>
      </c>
      <c r="AS171" s="2" t="str">
        <f ca="1">IFERROR(__xludf.DUMMYFUNCTION("""COMPUTED_VALUE"""),"")</f>
        <v/>
      </c>
      <c r="AT171" s="2" t="str">
        <f ca="1">IFERROR(__xludf.DUMMYFUNCTION("""COMPUTED_VALUE"""),"")</f>
        <v/>
      </c>
      <c r="AU171" s="2" t="str">
        <f ca="1">IFERROR(__xludf.DUMMYFUNCTION("""COMPUTED_VALUE"""),"")</f>
        <v/>
      </c>
      <c r="AV171" s="2" t="str">
        <f ca="1">IFERROR(__xludf.DUMMYFUNCTION("""COMPUTED_VALUE"""),"")</f>
        <v/>
      </c>
      <c r="AW171" s="2" t="str">
        <f ca="1">IFERROR(__xludf.DUMMYFUNCTION("""COMPUTED_VALUE"""),"")</f>
        <v/>
      </c>
      <c r="AX171" s="2" t="str">
        <f ca="1">IFERROR(__xludf.DUMMYFUNCTION("""COMPUTED_VALUE"""),"")</f>
        <v/>
      </c>
      <c r="AY171" s="2" t="str">
        <f ca="1">IFERROR(__xludf.DUMMYFUNCTION("""COMPUTED_VALUE"""),"")</f>
        <v/>
      </c>
      <c r="AZ171" s="2" t="str">
        <f ca="1">IFERROR(__xludf.DUMMYFUNCTION("""COMPUTED_VALUE"""),"")</f>
        <v/>
      </c>
      <c r="BA171" s="2" t="str">
        <f ca="1">IFERROR(__xludf.DUMMYFUNCTION("""COMPUTED_VALUE"""),"")</f>
        <v/>
      </c>
      <c r="BB171" s="2" t="str">
        <f ca="1">IFERROR(__xludf.DUMMYFUNCTION("""COMPUTED_VALUE"""),"")</f>
        <v/>
      </c>
      <c r="BC171" s="2" t="str">
        <f ca="1">IFERROR(__xludf.DUMMYFUNCTION("""COMPUTED_VALUE"""),"")</f>
        <v/>
      </c>
      <c r="BD171" s="2" t="str">
        <f ca="1">IFERROR(__xludf.DUMMYFUNCTION("""COMPUTED_VALUE"""),"")</f>
        <v/>
      </c>
      <c r="BE171" s="2" t="str">
        <f ca="1">IFERROR(__xludf.DUMMYFUNCTION("""COMPUTED_VALUE"""),"")</f>
        <v/>
      </c>
      <c r="BF171" t="str">
        <f ca="1">IFERROR(__xludf.DUMMYFUNCTION("""COMPUTED_VALUE"""),"")</f>
        <v/>
      </c>
      <c r="BG171" t="str">
        <f ca="1">IFERROR(__xludf.DUMMYFUNCTION("""COMPUTED_VALUE"""),"")</f>
        <v/>
      </c>
      <c r="BH171" t="str">
        <f ca="1">IFERROR(__xludf.DUMMYFUNCTION("""COMPUTED_VALUE"""),"")</f>
        <v/>
      </c>
      <c r="BI171" t="str">
        <f ca="1">IFERROR(__xludf.DUMMYFUNCTION("""COMPUTED_VALUE"""),"")</f>
        <v/>
      </c>
      <c r="BJ171" s="3" t="str">
        <f ca="1">IFERROR(__xludf.DUMMYFUNCTION("""COMPUTED_VALUE"""),"")</f>
        <v/>
      </c>
    </row>
    <row r="172" spans="1:62" ht="12.5" x14ac:dyDescent="0.25">
      <c r="A172" s="6">
        <f ca="1">IFERROR(__xludf.DUMMYFUNCTION("""COMPUTED_VALUE"""),43749.4153898032)</f>
        <v>43749.415389803202</v>
      </c>
      <c r="B172" s="2" t="str">
        <f ca="1">IFERROR(__xludf.DUMMYFUNCTION("""COMPUTED_VALUE"""),"Bay of Plenty")</f>
        <v>Bay of Plenty</v>
      </c>
      <c r="C172" s="2" t="str">
        <f ca="1">IFERROR(__xludf.DUMMYFUNCTION("""COMPUTED_VALUE"""),"Tx 54")</f>
        <v>Tx 54</v>
      </c>
      <c r="D172" s="10">
        <f ca="1">IFERROR(__xludf.DUMMYFUNCTION("""COMPUTED_VALUE"""),43747)</f>
        <v>43747</v>
      </c>
      <c r="E172" s="4">
        <f ca="1">IFERROR(__xludf.DUMMYFUNCTION("""COMPUTED_VALUE"""),0.854166666667879)</f>
        <v>0.85416666666787899</v>
      </c>
      <c r="F172" s="2" t="str">
        <f ca="1">IFERROR(__xludf.DUMMYFUNCTION("""COMPUTED_VALUE"""),"Little Waihi")</f>
        <v>Little Waihi</v>
      </c>
      <c r="G172" s="2" t="str">
        <f ca="1">IFERROR(__xludf.DUMMYFUNCTION("""COMPUTED_VALUE"""),"VHF (Mortality): I just listened to see if the signal was on mortality")</f>
        <v>VHF (Mortality): I just listened to see if the signal was on mortality</v>
      </c>
      <c r="H172" s="2" t="str">
        <f ca="1">IFERROR(__xludf.DUMMYFUNCTION("""COMPUTED_VALUE"""),"")</f>
        <v/>
      </c>
      <c r="I172" s="2" t="str">
        <f ca="1">IFERROR(__xludf.DUMMYFUNCTION("""COMPUTED_VALUE"""),"")</f>
        <v/>
      </c>
      <c r="J172" s="2" t="str">
        <f ca="1">IFERROR(__xludf.DUMMYFUNCTION("""COMPUTED_VALUE"""),"")</f>
        <v/>
      </c>
      <c r="K172" s="2" t="str">
        <f ca="1">IFERROR(__xludf.DUMMYFUNCTION("""COMPUTED_VALUE"""),"")</f>
        <v/>
      </c>
      <c r="L172" s="2" t="str">
        <f ca="1">IFERROR(__xludf.DUMMYFUNCTION("""COMPUTED_VALUE"""),"")</f>
        <v/>
      </c>
      <c r="M172" s="5" t="str">
        <f ca="1">IFERROR(__xludf.DUMMYFUNCTION("""COMPUTED_VALUE"""),"")</f>
        <v/>
      </c>
      <c r="N172" s="5" t="str">
        <f ca="1">IFERROR(__xludf.DUMMYFUNCTION("""COMPUTED_VALUE"""),"")</f>
        <v/>
      </c>
      <c r="O172" s="2" t="str">
        <f ca="1">IFERROR(__xludf.DUMMYFUNCTION("""COMPUTED_VALUE"""),"")</f>
        <v/>
      </c>
      <c r="P172" s="2" t="str">
        <f ca="1">IFERROR(__xludf.DUMMYFUNCTION("""COMPUTED_VALUE"""),"")</f>
        <v/>
      </c>
      <c r="Q172" s="2" t="str">
        <f ca="1">IFERROR(__xludf.DUMMYFUNCTION("""COMPUTED_VALUE"""),"")</f>
        <v/>
      </c>
      <c r="R172" s="2" t="str">
        <f ca="1">IFERROR(__xludf.DUMMYFUNCTION("""COMPUTED_VALUE"""),"")</f>
        <v/>
      </c>
      <c r="S172" s="2" t="str">
        <f ca="1">IFERROR(__xludf.DUMMYFUNCTION("""COMPUTED_VALUE"""),"")</f>
        <v/>
      </c>
      <c r="T172" s="2" t="str">
        <f ca="1">IFERROR(__xludf.DUMMYFUNCTION("""COMPUTED_VALUE"""),"")</f>
        <v/>
      </c>
      <c r="U172" s="2" t="str">
        <f ca="1">IFERROR(__xludf.DUMMYFUNCTION("""COMPUTED_VALUE"""),"")</f>
        <v/>
      </c>
      <c r="V172" s="2" t="str">
        <f ca="1">IFERROR(__xludf.DUMMYFUNCTION("""COMPUTED_VALUE"""),"")</f>
        <v/>
      </c>
      <c r="W172" s="2" t="str">
        <f ca="1">IFERROR(__xludf.DUMMYFUNCTION("""COMPUTED_VALUE"""),"")</f>
        <v/>
      </c>
      <c r="X172" s="2" t="str">
        <f ca="1">IFERROR(__xludf.DUMMYFUNCTION("""COMPUTED_VALUE"""),"")</f>
        <v/>
      </c>
      <c r="Y172" s="2" t="str">
        <f ca="1">IFERROR(__xludf.DUMMYFUNCTION("""COMPUTED_VALUE"""),"")</f>
        <v/>
      </c>
      <c r="Z172" s="2" t="str">
        <f ca="1">IFERROR(__xludf.DUMMYFUNCTION("""COMPUTED_VALUE"""),"")</f>
        <v/>
      </c>
      <c r="AA172" s="2" t="str">
        <f ca="1">IFERROR(__xludf.DUMMYFUNCTION("""COMPUTED_VALUE"""),"")</f>
        <v/>
      </c>
      <c r="AB172" s="2" t="str">
        <f ca="1">IFERROR(__xludf.DUMMYFUNCTION("""COMPUTED_VALUE"""),"")</f>
        <v/>
      </c>
      <c r="AC172" s="2" t="str">
        <f ca="1">IFERROR(__xludf.DUMMYFUNCTION("""COMPUTED_VALUE"""),"")</f>
        <v/>
      </c>
      <c r="AD172" s="2" t="str">
        <f ca="1">IFERROR(__xludf.DUMMYFUNCTION("""COMPUTED_VALUE"""),"")</f>
        <v/>
      </c>
      <c r="AE172" s="2" t="str">
        <f ca="1">IFERROR(__xludf.DUMMYFUNCTION("""COMPUTED_VALUE"""),"")</f>
        <v/>
      </c>
      <c r="AF172" s="2" t="str">
        <f ca="1">IFERROR(__xludf.DUMMYFUNCTION("""COMPUTED_VALUE"""),"")</f>
        <v/>
      </c>
      <c r="AG172" s="2" t="str">
        <f ca="1">IFERROR(__xludf.DUMMYFUNCTION("""COMPUTED_VALUE"""),"")</f>
        <v/>
      </c>
      <c r="AH172" s="2" t="str">
        <f ca="1">IFERROR(__xludf.DUMMYFUNCTION("""COMPUTED_VALUE"""),"")</f>
        <v/>
      </c>
      <c r="AI172" s="2" t="str">
        <f ca="1">IFERROR(__xludf.DUMMYFUNCTION("""COMPUTED_VALUE"""),"")</f>
        <v/>
      </c>
      <c r="AJ172" s="2" t="str">
        <f ca="1">IFERROR(__xludf.DUMMYFUNCTION("""COMPUTED_VALUE"""),"")</f>
        <v/>
      </c>
      <c r="AK172" s="2" t="str">
        <f ca="1">IFERROR(__xludf.DUMMYFUNCTION("""COMPUTED_VALUE"""),"")</f>
        <v/>
      </c>
      <c r="AL172" s="2" t="str">
        <f ca="1">IFERROR(__xludf.DUMMYFUNCTION("""COMPUTED_VALUE"""),"")</f>
        <v/>
      </c>
      <c r="AM172" s="2" t="str">
        <f ca="1">IFERROR(__xludf.DUMMYFUNCTION("""COMPUTED_VALUE"""),"")</f>
        <v/>
      </c>
      <c r="AN172" s="2" t="str">
        <f ca="1">IFERROR(__xludf.DUMMYFUNCTION("""COMPUTED_VALUE"""),"")</f>
        <v/>
      </c>
      <c r="AO172" s="2" t="str">
        <f ca="1">IFERROR(__xludf.DUMMYFUNCTION("""COMPUTED_VALUE"""),"")</f>
        <v/>
      </c>
      <c r="AP172" s="2" t="str">
        <f ca="1">IFERROR(__xludf.DUMMYFUNCTION("""COMPUTED_VALUE"""),"")</f>
        <v/>
      </c>
      <c r="AQ172" s="2" t="str">
        <f ca="1">IFERROR(__xludf.DUMMYFUNCTION("""COMPUTED_VALUE"""),"")</f>
        <v/>
      </c>
      <c r="AR172" s="2" t="str">
        <f ca="1">IFERROR(__xludf.DUMMYFUNCTION("""COMPUTED_VALUE"""),"")</f>
        <v/>
      </c>
      <c r="AS172" s="2" t="str">
        <f ca="1">IFERROR(__xludf.DUMMYFUNCTION("""COMPUTED_VALUE"""),"")</f>
        <v/>
      </c>
      <c r="AT172" s="2" t="str">
        <f ca="1">IFERROR(__xludf.DUMMYFUNCTION("""COMPUTED_VALUE"""),"")</f>
        <v/>
      </c>
      <c r="AU172" s="2" t="str">
        <f ca="1">IFERROR(__xludf.DUMMYFUNCTION("""COMPUTED_VALUE"""),"")</f>
        <v/>
      </c>
      <c r="AV172" s="2" t="str">
        <f ca="1">IFERROR(__xludf.DUMMYFUNCTION("""COMPUTED_VALUE"""),"30 pulses per minute - great all is well")</f>
        <v>30 pulses per minute - great all is well</v>
      </c>
      <c r="AW172" s="2">
        <f ca="1">IFERROR(__xludf.DUMMYFUNCTION("""COMPUTED_VALUE"""),1907650)</f>
        <v>1907650</v>
      </c>
      <c r="AX172" s="2">
        <f ca="1">IFERROR(__xludf.DUMMYFUNCTION("""COMPUTED_VALUE"""),5814148)</f>
        <v>5814148</v>
      </c>
      <c r="AY172" s="2" t="str">
        <f ca="1">IFERROR(__xludf.DUMMYFUNCTION("""COMPUTED_VALUE"""),"Eastern WMR")</f>
        <v>Eastern WMR</v>
      </c>
      <c r="AZ172" s="2" t="str">
        <f ca="1">IFERROR(__xludf.DUMMYFUNCTION("""COMPUTED_VALUE"""),"")</f>
        <v/>
      </c>
      <c r="BA172" s="2" t="str">
        <f ca="1">IFERROR(__xludf.DUMMYFUNCTION("""COMPUTED_VALUE"""),"")</f>
        <v/>
      </c>
      <c r="BB172" s="2" t="str">
        <f ca="1">IFERROR(__xludf.DUMMYFUNCTION("""COMPUTED_VALUE"""),"")</f>
        <v/>
      </c>
      <c r="BC172" s="2" t="str">
        <f ca="1">IFERROR(__xludf.DUMMYFUNCTION("""COMPUTED_VALUE"""),"")</f>
        <v/>
      </c>
      <c r="BD172" s="2" t="str">
        <f ca="1">IFERROR(__xludf.DUMMYFUNCTION("""COMPUTED_VALUE"""),"")</f>
        <v/>
      </c>
      <c r="BE172" s="2" t="str">
        <f ca="1">IFERROR(__xludf.DUMMYFUNCTION("""COMPUTED_VALUE"""),"")</f>
        <v/>
      </c>
      <c r="BF172" t="str">
        <f ca="1">IFERROR(__xludf.DUMMYFUNCTION("""COMPUTED_VALUE"""),"")</f>
        <v/>
      </c>
      <c r="BG172" t="str">
        <f ca="1">IFERROR(__xludf.DUMMYFUNCTION("""COMPUTED_VALUE"""),"")</f>
        <v/>
      </c>
      <c r="BH172" t="str">
        <f ca="1">IFERROR(__xludf.DUMMYFUNCTION("""COMPUTED_VALUE"""),"")</f>
        <v/>
      </c>
      <c r="BI172" t="str">
        <f ca="1">IFERROR(__xludf.DUMMYFUNCTION("""COMPUTED_VALUE"""),"")</f>
        <v/>
      </c>
      <c r="BJ172" s="3" t="str">
        <f ca="1">IFERROR(__xludf.DUMMYFUNCTION("""COMPUTED_VALUE"""),"")</f>
        <v/>
      </c>
    </row>
    <row r="173" spans="1:62" ht="12.5" x14ac:dyDescent="0.25">
      <c r="A173" s="6">
        <f ca="1">IFERROR(__xludf.DUMMYFUNCTION("""COMPUTED_VALUE"""),43754.8813177662)</f>
        <v>43754.881317766201</v>
      </c>
      <c r="B173" s="2" t="str">
        <f ca="1">IFERROR(__xludf.DUMMYFUNCTION("""COMPUTED_VALUE"""),"Bay of Plenty")</f>
        <v>Bay of Plenty</v>
      </c>
      <c r="C173" s="2" t="str">
        <f ca="1">IFERROR(__xludf.DUMMYFUNCTION("""COMPUTED_VALUE"""),"Tx 66 - Toa")</f>
        <v>Tx 66 - Toa</v>
      </c>
      <c r="D173" s="10">
        <f ca="1">IFERROR(__xludf.DUMMYFUNCTION("""COMPUTED_VALUE"""),43754)</f>
        <v>43754</v>
      </c>
      <c r="E173" s="4">
        <f ca="1">IFERROR(__xludf.DUMMYFUNCTION("""COMPUTED_VALUE"""),0.6875)</f>
        <v>0.6875</v>
      </c>
      <c r="F173" s="2" t="str">
        <f ca="1">IFERROR(__xludf.DUMMYFUNCTION("""COMPUTED_VALUE"""),"Little Waihi")</f>
        <v>Little Waihi</v>
      </c>
      <c r="G173" s="2" t="str">
        <f ca="1">IFERROR(__xludf.DUMMYFUNCTION("""COMPUTED_VALUE"""),"VHF (triangulation): I triangulated the bird with at least three bearings")</f>
        <v>VHF (triangulation): I triangulated the bird with at least three bearings</v>
      </c>
      <c r="H173" s="2" t="str">
        <f ca="1">IFERROR(__xludf.DUMMYFUNCTION("""COMPUTED_VALUE"""),"")</f>
        <v/>
      </c>
      <c r="I173" s="2" t="str">
        <f ca="1">IFERROR(__xludf.DUMMYFUNCTION("""COMPUTED_VALUE"""),"")</f>
        <v/>
      </c>
      <c r="J173" s="2" t="str">
        <f ca="1">IFERROR(__xludf.DUMMYFUNCTION("""COMPUTED_VALUE"""),"")</f>
        <v/>
      </c>
      <c r="K173" s="2" t="str">
        <f ca="1">IFERROR(__xludf.DUMMYFUNCTION("""COMPUTED_VALUE"""),"")</f>
        <v/>
      </c>
      <c r="L173" s="2" t="str">
        <f ca="1">IFERROR(__xludf.DUMMYFUNCTION("""COMPUTED_VALUE"""),"")</f>
        <v/>
      </c>
      <c r="M173" s="5" t="str">
        <f ca="1">IFERROR(__xludf.DUMMYFUNCTION("""COMPUTED_VALUE"""),"")</f>
        <v/>
      </c>
      <c r="N173" s="5" t="str">
        <f ca="1">IFERROR(__xludf.DUMMYFUNCTION("""COMPUTED_VALUE"""),"")</f>
        <v/>
      </c>
      <c r="O173" s="2" t="str">
        <f ca="1">IFERROR(__xludf.DUMMYFUNCTION("""COMPUTED_VALUE"""),"")</f>
        <v/>
      </c>
      <c r="P173" s="2" t="str">
        <f ca="1">IFERROR(__xludf.DUMMYFUNCTION("""COMPUTED_VALUE"""),"")</f>
        <v/>
      </c>
      <c r="Q173" s="2" t="str">
        <f ca="1">IFERROR(__xludf.DUMMYFUNCTION("""COMPUTED_VALUE"""),"")</f>
        <v/>
      </c>
      <c r="R173" s="2" t="str">
        <f ca="1">IFERROR(__xludf.DUMMYFUNCTION("""COMPUTED_VALUE"""),"")</f>
        <v/>
      </c>
      <c r="S173" s="2" t="str">
        <f ca="1">IFERROR(__xludf.DUMMYFUNCTION("""COMPUTED_VALUE"""),"")</f>
        <v/>
      </c>
      <c r="T173" s="2" t="str">
        <f ca="1">IFERROR(__xludf.DUMMYFUNCTION("""COMPUTED_VALUE"""),"")</f>
        <v/>
      </c>
      <c r="U173" s="2" t="str">
        <f ca="1">IFERROR(__xludf.DUMMYFUNCTION("""COMPUTED_VALUE"""),"")</f>
        <v/>
      </c>
      <c r="V173" s="2" t="str">
        <f ca="1">IFERROR(__xludf.DUMMYFUNCTION("""COMPUTED_VALUE"""),"")</f>
        <v/>
      </c>
      <c r="W173" s="2" t="str">
        <f ca="1">IFERROR(__xludf.DUMMYFUNCTION("""COMPUTED_VALUE"""),"")</f>
        <v/>
      </c>
      <c r="X173" s="2" t="str">
        <f ca="1">IFERROR(__xludf.DUMMYFUNCTION("""COMPUTED_VALUE"""),"")</f>
        <v/>
      </c>
      <c r="Y173" s="2" t="str">
        <f ca="1">IFERROR(__xludf.DUMMYFUNCTION("""COMPUTED_VALUE"""),"")</f>
        <v/>
      </c>
      <c r="Z173" s="2" t="str">
        <f ca="1">IFERROR(__xludf.DUMMYFUNCTION("""COMPUTED_VALUE"""),"")</f>
        <v/>
      </c>
      <c r="AA173" s="2">
        <f ca="1">IFERROR(__xludf.DUMMYFUNCTION("""COMPUTED_VALUE"""),1906061)</f>
        <v>1906061</v>
      </c>
      <c r="AB173" s="2">
        <f ca="1">IFERROR(__xludf.DUMMYFUNCTION("""COMPUTED_VALUE"""),5811105)</f>
        <v>5811105</v>
      </c>
      <c r="AC173" s="2">
        <f ca="1">IFERROR(__xludf.DUMMYFUNCTION("""COMPUTED_VALUE"""),340)</f>
        <v>340</v>
      </c>
      <c r="AD173" s="2" t="str">
        <f ca="1">IFERROR(__xludf.DUMMYFUNCTION("""COMPUTED_VALUE"""),"Weak - I could barely hear it.")</f>
        <v>Weak - I could barely hear it.</v>
      </c>
      <c r="AE173" s="2">
        <f ca="1">IFERROR(__xludf.DUMMYFUNCTION("""COMPUTED_VALUE"""),1906411)</f>
        <v>1906411</v>
      </c>
      <c r="AF173" s="2">
        <f ca="1">IFERROR(__xludf.DUMMYFUNCTION("""COMPUTED_VALUE"""),5812906)</f>
        <v>5812906</v>
      </c>
      <c r="AG173" s="2">
        <f ca="1">IFERROR(__xludf.DUMMYFUNCTION("""COMPUTED_VALUE"""),240)</f>
        <v>240</v>
      </c>
      <c r="AH173" s="2" t="str">
        <f ca="1">IFERROR(__xludf.DUMMYFUNCTION("""COMPUTED_VALUE"""),"Strong - I got a lovely, clear, strong signal.")</f>
        <v>Strong - I got a lovely, clear, strong signal.</v>
      </c>
      <c r="AI173" s="2">
        <f ca="1">IFERROR(__xludf.DUMMYFUNCTION("""COMPUTED_VALUE"""),1906502)</f>
        <v>1906502</v>
      </c>
      <c r="AJ173" s="2">
        <f ca="1">IFERROR(__xludf.DUMMYFUNCTION("""COMPUTED_VALUE"""),5812039)</f>
        <v>5812039</v>
      </c>
      <c r="AK173" s="2">
        <f ca="1">IFERROR(__xludf.DUMMYFUNCTION("""COMPUTED_VALUE"""),250)</f>
        <v>250</v>
      </c>
      <c r="AL173" s="2" t="str">
        <f ca="1">IFERROR(__xludf.DUMMYFUNCTION("""COMPUTED_VALUE"""),"Strong - I got a lovely, clear, strong signal.")</f>
        <v>Strong - I got a lovely, clear, strong signal.</v>
      </c>
      <c r="AM173" s="2" t="str">
        <f ca="1">IFERROR(__xludf.DUMMYFUNCTION("""COMPUTED_VALUE"""),"")</f>
        <v/>
      </c>
      <c r="AN173" s="2" t="str">
        <f ca="1">IFERROR(__xludf.DUMMYFUNCTION("""COMPUTED_VALUE"""),"")</f>
        <v/>
      </c>
      <c r="AO173" s="2" t="str">
        <f ca="1">IFERROR(__xludf.DUMMYFUNCTION("""COMPUTED_VALUE"""),"")</f>
        <v/>
      </c>
      <c r="AP173" s="2" t="str">
        <f ca="1">IFERROR(__xludf.DUMMYFUNCTION("""COMPUTED_VALUE"""),"")</f>
        <v/>
      </c>
      <c r="AQ173" s="2" t="str">
        <f ca="1">IFERROR(__xludf.DUMMYFUNCTION("""COMPUTED_VALUE"""),"")</f>
        <v/>
      </c>
      <c r="AR173" s="2" t="str">
        <f ca="1">IFERROR(__xludf.DUMMYFUNCTION("""COMPUTED_VALUE"""),"")</f>
        <v/>
      </c>
      <c r="AS173" s="2" t="str">
        <f ca="1">IFERROR(__xludf.DUMMYFUNCTION("""COMPUTED_VALUE"""),"")</f>
        <v/>
      </c>
      <c r="AT173" s="2" t="str">
        <f ca="1">IFERROR(__xludf.DUMMYFUNCTION("""COMPUTED_VALUE"""),"")</f>
        <v/>
      </c>
      <c r="AU173" s="2" t="str">
        <f ca="1">IFERROR(__xludf.DUMMYFUNCTION("""COMPUTED_VALUE"""),"Very windy. Lots of surface water and full  estuary")</f>
        <v>Very windy. Lots of surface water and full  estuary</v>
      </c>
      <c r="AV173" s="2" t="str">
        <f ca="1">IFERROR(__xludf.DUMMYFUNCTION("""COMPUTED_VALUE"""),"")</f>
        <v/>
      </c>
      <c r="AW173" s="2" t="str">
        <f ca="1">IFERROR(__xludf.DUMMYFUNCTION("""COMPUTED_VALUE"""),"")</f>
        <v/>
      </c>
      <c r="AX173" s="2" t="str">
        <f ca="1">IFERROR(__xludf.DUMMYFUNCTION("""COMPUTED_VALUE"""),"")</f>
        <v/>
      </c>
      <c r="AY173" s="2" t="str">
        <f ca="1">IFERROR(__xludf.DUMMYFUNCTION("""COMPUTED_VALUE"""),"")</f>
        <v/>
      </c>
      <c r="AZ173" s="2" t="str">
        <f ca="1">IFERROR(__xludf.DUMMYFUNCTION("""COMPUTED_VALUE"""),"")</f>
        <v/>
      </c>
      <c r="BA173" s="2" t="str">
        <f ca="1">IFERROR(__xludf.DUMMYFUNCTION("""COMPUTED_VALUE"""),"")</f>
        <v/>
      </c>
      <c r="BB173" s="2" t="str">
        <f ca="1">IFERROR(__xludf.DUMMYFUNCTION("""COMPUTED_VALUE"""),"")</f>
        <v/>
      </c>
      <c r="BC173" s="2" t="str">
        <f ca="1">IFERROR(__xludf.DUMMYFUNCTION("""COMPUTED_VALUE"""),"")</f>
        <v/>
      </c>
      <c r="BD173" s="2" t="str">
        <f ca="1">IFERROR(__xludf.DUMMYFUNCTION("""COMPUTED_VALUE"""),"")</f>
        <v/>
      </c>
      <c r="BE173" s="2" t="str">
        <f ca="1">IFERROR(__xludf.DUMMYFUNCTION("""COMPUTED_VALUE"""),"")</f>
        <v/>
      </c>
      <c r="BF173" t="str">
        <f ca="1">IFERROR(__xludf.DUMMYFUNCTION("""COMPUTED_VALUE"""),"")</f>
        <v/>
      </c>
      <c r="BG173" t="str">
        <f ca="1">IFERROR(__xludf.DUMMYFUNCTION("""COMPUTED_VALUE"""),"")</f>
        <v/>
      </c>
      <c r="BH173" t="str">
        <f ca="1">IFERROR(__xludf.DUMMYFUNCTION("""COMPUTED_VALUE"""),"")</f>
        <v/>
      </c>
      <c r="BI173" t="str">
        <f ca="1">IFERROR(__xludf.DUMMYFUNCTION("""COMPUTED_VALUE"""),"")</f>
        <v/>
      </c>
      <c r="BJ173" s="3" t="str">
        <f ca="1">IFERROR(__xludf.DUMMYFUNCTION("""COMPUTED_VALUE"""),"")</f>
        <v/>
      </c>
    </row>
    <row r="174" spans="1:62" ht="12.5" x14ac:dyDescent="0.25">
      <c r="A174" s="6">
        <f ca="1">IFERROR(__xludf.DUMMYFUNCTION("""COMPUTED_VALUE"""),43754.8854777546)</f>
        <v>43754.8854777546</v>
      </c>
      <c r="B174" s="2" t="str">
        <f ca="1">IFERROR(__xludf.DUMMYFUNCTION("""COMPUTED_VALUE"""),"Bay of Plenty")</f>
        <v>Bay of Plenty</v>
      </c>
      <c r="C174" s="2" t="str">
        <f ca="1">IFERROR(__xludf.DUMMYFUNCTION("""COMPUTED_VALUE"""),"Tx 54")</f>
        <v>Tx 54</v>
      </c>
      <c r="D174" s="10">
        <f ca="1">IFERROR(__xludf.DUMMYFUNCTION("""COMPUTED_VALUE"""),43754)</f>
        <v>43754</v>
      </c>
      <c r="E174" s="4">
        <f ca="1">IFERROR(__xludf.DUMMYFUNCTION("""COMPUTED_VALUE"""),0.6875)</f>
        <v>0.6875</v>
      </c>
      <c r="F174" s="2" t="str">
        <f ca="1">IFERROR(__xludf.DUMMYFUNCTION("""COMPUTED_VALUE"""),"Little Waihi")</f>
        <v>Little Waihi</v>
      </c>
      <c r="G174" s="2" t="str">
        <f ca="1">IFERROR(__xludf.DUMMYFUNCTION("""COMPUTED_VALUE"""),"VHF (triangulation): I triangulated the bird with at least three bearings")</f>
        <v>VHF (triangulation): I triangulated the bird with at least three bearings</v>
      </c>
      <c r="H174" s="2" t="str">
        <f ca="1">IFERROR(__xludf.DUMMYFUNCTION("""COMPUTED_VALUE"""),"")</f>
        <v/>
      </c>
      <c r="I174" s="2" t="str">
        <f ca="1">IFERROR(__xludf.DUMMYFUNCTION("""COMPUTED_VALUE"""),"")</f>
        <v/>
      </c>
      <c r="J174" s="2" t="str">
        <f ca="1">IFERROR(__xludf.DUMMYFUNCTION("""COMPUTED_VALUE"""),"")</f>
        <v/>
      </c>
      <c r="K174" s="2" t="str">
        <f ca="1">IFERROR(__xludf.DUMMYFUNCTION("""COMPUTED_VALUE"""),"")</f>
        <v/>
      </c>
      <c r="L174" s="2" t="str">
        <f ca="1">IFERROR(__xludf.DUMMYFUNCTION("""COMPUTED_VALUE"""),"")</f>
        <v/>
      </c>
      <c r="M174" s="5" t="str">
        <f ca="1">IFERROR(__xludf.DUMMYFUNCTION("""COMPUTED_VALUE"""),"")</f>
        <v/>
      </c>
      <c r="N174" s="5" t="str">
        <f ca="1">IFERROR(__xludf.DUMMYFUNCTION("""COMPUTED_VALUE"""),"")</f>
        <v/>
      </c>
      <c r="O174" s="2" t="str">
        <f ca="1">IFERROR(__xludf.DUMMYFUNCTION("""COMPUTED_VALUE"""),"")</f>
        <v/>
      </c>
      <c r="P174" s="2" t="str">
        <f ca="1">IFERROR(__xludf.DUMMYFUNCTION("""COMPUTED_VALUE"""),"")</f>
        <v/>
      </c>
      <c r="Q174" s="2" t="str">
        <f ca="1">IFERROR(__xludf.DUMMYFUNCTION("""COMPUTED_VALUE"""),"")</f>
        <v/>
      </c>
      <c r="R174" s="2" t="str">
        <f ca="1">IFERROR(__xludf.DUMMYFUNCTION("""COMPUTED_VALUE"""),"")</f>
        <v/>
      </c>
      <c r="S174" s="2" t="str">
        <f ca="1">IFERROR(__xludf.DUMMYFUNCTION("""COMPUTED_VALUE"""),"")</f>
        <v/>
      </c>
      <c r="T174" s="2" t="str">
        <f ca="1">IFERROR(__xludf.DUMMYFUNCTION("""COMPUTED_VALUE"""),"")</f>
        <v/>
      </c>
      <c r="U174" s="2" t="str">
        <f ca="1">IFERROR(__xludf.DUMMYFUNCTION("""COMPUTED_VALUE"""),"")</f>
        <v/>
      </c>
      <c r="V174" s="2" t="str">
        <f ca="1">IFERROR(__xludf.DUMMYFUNCTION("""COMPUTED_VALUE"""),"")</f>
        <v/>
      </c>
      <c r="W174" s="2" t="str">
        <f ca="1">IFERROR(__xludf.DUMMYFUNCTION("""COMPUTED_VALUE"""),"")</f>
        <v/>
      </c>
      <c r="X174" s="2" t="str">
        <f ca="1">IFERROR(__xludf.DUMMYFUNCTION("""COMPUTED_VALUE"""),"")</f>
        <v/>
      </c>
      <c r="Y174" s="2" t="str">
        <f ca="1">IFERROR(__xludf.DUMMYFUNCTION("""COMPUTED_VALUE"""),"")</f>
        <v/>
      </c>
      <c r="Z174" s="2" t="str">
        <f ca="1">IFERROR(__xludf.DUMMYFUNCTION("""COMPUTED_VALUE"""),"")</f>
        <v/>
      </c>
      <c r="AA174" s="2">
        <f ca="1">IFERROR(__xludf.DUMMYFUNCTION("""COMPUTED_VALUE"""),1906502)</f>
        <v>1906502</v>
      </c>
      <c r="AB174" s="2">
        <f ca="1">IFERROR(__xludf.DUMMYFUNCTION("""COMPUTED_VALUE"""),5812039)</f>
        <v>5812039</v>
      </c>
      <c r="AC174" s="2">
        <f ca="1">IFERROR(__xludf.DUMMYFUNCTION("""COMPUTED_VALUE"""),20)</f>
        <v>20</v>
      </c>
      <c r="AD174" s="2" t="str">
        <f ca="1">IFERROR(__xludf.DUMMYFUNCTION("""COMPUTED_VALUE"""),"Medium - Signal was good but bird was not close.")</f>
        <v>Medium - Signal was good but bird was not close.</v>
      </c>
      <c r="AE174" s="2">
        <f ca="1">IFERROR(__xludf.DUMMYFUNCTION("""COMPUTED_VALUE"""),1906465)</f>
        <v>1906465</v>
      </c>
      <c r="AF174" s="2">
        <f ca="1">IFERROR(__xludf.DUMMYFUNCTION("""COMPUTED_VALUE"""),5812452)</f>
        <v>5812452</v>
      </c>
      <c r="AG174" s="2">
        <f ca="1">IFERROR(__xludf.DUMMYFUNCTION("""COMPUTED_VALUE"""),30)</f>
        <v>30</v>
      </c>
      <c r="AH174" s="2" t="str">
        <f ca="1">IFERROR(__xludf.DUMMYFUNCTION("""COMPUTED_VALUE"""),"Strong - I got a lovely, clear, strong signal.")</f>
        <v>Strong - I got a lovely, clear, strong signal.</v>
      </c>
      <c r="AI174" s="2">
        <f ca="1">IFERROR(__xludf.DUMMYFUNCTION("""COMPUTED_VALUE"""),1906411)</f>
        <v>1906411</v>
      </c>
      <c r="AJ174" s="2">
        <f ca="1">IFERROR(__xludf.DUMMYFUNCTION("""COMPUTED_VALUE"""),5812906)</f>
        <v>5812906</v>
      </c>
      <c r="AK174" s="2">
        <f ca="1">IFERROR(__xludf.DUMMYFUNCTION("""COMPUTED_VALUE"""),45)</f>
        <v>45</v>
      </c>
      <c r="AL174" s="2" t="str">
        <f ca="1">IFERROR(__xludf.DUMMYFUNCTION("""COMPUTED_VALUE"""),"Strong - I got a lovely, clear, strong signal.")</f>
        <v>Strong - I got a lovely, clear, strong signal.</v>
      </c>
      <c r="AM174" s="2" t="str">
        <f ca="1">IFERROR(__xludf.DUMMYFUNCTION("""COMPUTED_VALUE"""),"")</f>
        <v/>
      </c>
      <c r="AN174" s="2" t="str">
        <f ca="1">IFERROR(__xludf.DUMMYFUNCTION("""COMPUTED_VALUE"""),"")</f>
        <v/>
      </c>
      <c r="AO174" s="2" t="str">
        <f ca="1">IFERROR(__xludf.DUMMYFUNCTION("""COMPUTED_VALUE"""),"")</f>
        <v/>
      </c>
      <c r="AP174" s="2" t="str">
        <f ca="1">IFERROR(__xludf.DUMMYFUNCTION("""COMPUTED_VALUE"""),"")</f>
        <v/>
      </c>
      <c r="AQ174" s="2" t="str">
        <f ca="1">IFERROR(__xludf.DUMMYFUNCTION("""COMPUTED_VALUE"""),"")</f>
        <v/>
      </c>
      <c r="AR174" s="2" t="str">
        <f ca="1">IFERROR(__xludf.DUMMYFUNCTION("""COMPUTED_VALUE"""),"")</f>
        <v/>
      </c>
      <c r="AS174" s="2" t="str">
        <f ca="1">IFERROR(__xludf.DUMMYFUNCTION("""COMPUTED_VALUE"""),"")</f>
        <v/>
      </c>
      <c r="AT174" s="2" t="str">
        <f ca="1">IFERROR(__xludf.DUMMYFUNCTION("""COMPUTED_VALUE"""),"")</f>
        <v/>
      </c>
      <c r="AU174" s="2" t="str">
        <f ca="1">IFERROR(__xludf.DUMMYFUNCTION("""COMPUTED_VALUE"""),"Cutwater Rd area")</f>
        <v>Cutwater Rd area</v>
      </c>
      <c r="AV174" s="2" t="str">
        <f ca="1">IFERROR(__xludf.DUMMYFUNCTION("""COMPUTED_VALUE"""),"")</f>
        <v/>
      </c>
      <c r="AW174" s="2" t="str">
        <f ca="1">IFERROR(__xludf.DUMMYFUNCTION("""COMPUTED_VALUE"""),"")</f>
        <v/>
      </c>
      <c r="AX174" s="2" t="str">
        <f ca="1">IFERROR(__xludf.DUMMYFUNCTION("""COMPUTED_VALUE"""),"")</f>
        <v/>
      </c>
      <c r="AY174" s="2" t="str">
        <f ca="1">IFERROR(__xludf.DUMMYFUNCTION("""COMPUTED_VALUE"""),"")</f>
        <v/>
      </c>
      <c r="AZ174" s="2" t="str">
        <f ca="1">IFERROR(__xludf.DUMMYFUNCTION("""COMPUTED_VALUE"""),"")</f>
        <v/>
      </c>
      <c r="BA174" s="2" t="str">
        <f ca="1">IFERROR(__xludf.DUMMYFUNCTION("""COMPUTED_VALUE"""),"")</f>
        <v/>
      </c>
      <c r="BB174" s="2" t="str">
        <f ca="1">IFERROR(__xludf.DUMMYFUNCTION("""COMPUTED_VALUE"""),"")</f>
        <v/>
      </c>
      <c r="BC174" s="2" t="str">
        <f ca="1">IFERROR(__xludf.DUMMYFUNCTION("""COMPUTED_VALUE"""),"")</f>
        <v/>
      </c>
      <c r="BD174" s="2" t="str">
        <f ca="1">IFERROR(__xludf.DUMMYFUNCTION("""COMPUTED_VALUE"""),"")</f>
        <v/>
      </c>
      <c r="BE174" s="2" t="str">
        <f ca="1">IFERROR(__xludf.DUMMYFUNCTION("""COMPUTED_VALUE"""),"")</f>
        <v/>
      </c>
      <c r="BF174" t="str">
        <f ca="1">IFERROR(__xludf.DUMMYFUNCTION("""COMPUTED_VALUE"""),"")</f>
        <v/>
      </c>
      <c r="BG174" t="str">
        <f ca="1">IFERROR(__xludf.DUMMYFUNCTION("""COMPUTED_VALUE"""),"")</f>
        <v/>
      </c>
      <c r="BH174" t="str">
        <f ca="1">IFERROR(__xludf.DUMMYFUNCTION("""COMPUTED_VALUE"""),"")</f>
        <v/>
      </c>
      <c r="BI174" t="str">
        <f ca="1">IFERROR(__xludf.DUMMYFUNCTION("""COMPUTED_VALUE"""),"")</f>
        <v/>
      </c>
      <c r="BJ174" s="3" t="str">
        <f ca="1">IFERROR(__xludf.DUMMYFUNCTION("""COMPUTED_VALUE"""),"")</f>
        <v/>
      </c>
    </row>
    <row r="175" spans="1:62" ht="12.5" x14ac:dyDescent="0.25">
      <c r="A175" s="6">
        <f ca="1">IFERROR(__xludf.DUMMYFUNCTION("""COMPUTED_VALUE"""),43762.3721471643)</f>
        <v>43762.3721471643</v>
      </c>
      <c r="B175" s="2" t="str">
        <f ca="1">IFERROR(__xludf.DUMMYFUNCTION("""COMPUTED_VALUE"""),"Bay of Plenty")</f>
        <v>Bay of Plenty</v>
      </c>
      <c r="C175" s="2" t="str">
        <f ca="1">IFERROR(__xludf.DUMMYFUNCTION("""COMPUTED_VALUE"""),"Tx 54")</f>
        <v>Tx 54</v>
      </c>
      <c r="D175" s="10">
        <f ca="1">IFERROR(__xludf.DUMMYFUNCTION("""COMPUTED_VALUE"""),43761)</f>
        <v>43761</v>
      </c>
      <c r="E175" s="4">
        <f ca="1">IFERROR(__xludf.DUMMYFUNCTION("""COMPUTED_VALUE"""),0.916666666667879)</f>
        <v>0.91666666666787899</v>
      </c>
      <c r="F175" s="2" t="str">
        <f ca="1">IFERROR(__xludf.DUMMYFUNCTION("""COMPUTED_VALUE"""),"Little Waihi")</f>
        <v>Little Waihi</v>
      </c>
      <c r="G175" s="2" t="str">
        <f ca="1">IFERROR(__xludf.DUMMYFUNCTION("""COMPUTED_VALUE"""),"VHF (Mortality): I just listened to see if the signal was on mortality")</f>
        <v>VHF (Mortality): I just listened to see if the signal was on mortality</v>
      </c>
      <c r="H175" s="2" t="str">
        <f ca="1">IFERROR(__xludf.DUMMYFUNCTION("""COMPUTED_VALUE"""),"")</f>
        <v/>
      </c>
      <c r="I175" s="2" t="str">
        <f ca="1">IFERROR(__xludf.DUMMYFUNCTION("""COMPUTED_VALUE"""),"")</f>
        <v/>
      </c>
      <c r="J175" s="2" t="str">
        <f ca="1">IFERROR(__xludf.DUMMYFUNCTION("""COMPUTED_VALUE"""),"")</f>
        <v/>
      </c>
      <c r="K175" s="2" t="str">
        <f ca="1">IFERROR(__xludf.DUMMYFUNCTION("""COMPUTED_VALUE"""),"")</f>
        <v/>
      </c>
      <c r="L175" s="2" t="str">
        <f ca="1">IFERROR(__xludf.DUMMYFUNCTION("""COMPUTED_VALUE"""),"")</f>
        <v/>
      </c>
      <c r="M175" s="5" t="str">
        <f ca="1">IFERROR(__xludf.DUMMYFUNCTION("""COMPUTED_VALUE"""),"")</f>
        <v/>
      </c>
      <c r="N175" s="5" t="str">
        <f ca="1">IFERROR(__xludf.DUMMYFUNCTION("""COMPUTED_VALUE"""),"")</f>
        <v/>
      </c>
      <c r="O175" s="2" t="str">
        <f ca="1">IFERROR(__xludf.DUMMYFUNCTION("""COMPUTED_VALUE"""),"")</f>
        <v/>
      </c>
      <c r="P175" s="2" t="str">
        <f ca="1">IFERROR(__xludf.DUMMYFUNCTION("""COMPUTED_VALUE"""),"")</f>
        <v/>
      </c>
      <c r="Q175" s="2" t="str">
        <f ca="1">IFERROR(__xludf.DUMMYFUNCTION("""COMPUTED_VALUE"""),"")</f>
        <v/>
      </c>
      <c r="R175" s="2" t="str">
        <f ca="1">IFERROR(__xludf.DUMMYFUNCTION("""COMPUTED_VALUE"""),"")</f>
        <v/>
      </c>
      <c r="S175" s="2" t="str">
        <f ca="1">IFERROR(__xludf.DUMMYFUNCTION("""COMPUTED_VALUE"""),"")</f>
        <v/>
      </c>
      <c r="T175" s="2" t="str">
        <f ca="1">IFERROR(__xludf.DUMMYFUNCTION("""COMPUTED_VALUE"""),"")</f>
        <v/>
      </c>
      <c r="U175" s="2" t="str">
        <f ca="1">IFERROR(__xludf.DUMMYFUNCTION("""COMPUTED_VALUE"""),"")</f>
        <v/>
      </c>
      <c r="V175" s="2" t="str">
        <f ca="1">IFERROR(__xludf.DUMMYFUNCTION("""COMPUTED_VALUE"""),"")</f>
        <v/>
      </c>
      <c r="W175" s="2" t="str">
        <f ca="1">IFERROR(__xludf.DUMMYFUNCTION("""COMPUTED_VALUE"""),"")</f>
        <v/>
      </c>
      <c r="X175" s="2" t="str">
        <f ca="1">IFERROR(__xludf.DUMMYFUNCTION("""COMPUTED_VALUE"""),"")</f>
        <v/>
      </c>
      <c r="Y175" s="2" t="str">
        <f ca="1">IFERROR(__xludf.DUMMYFUNCTION("""COMPUTED_VALUE"""),"")</f>
        <v/>
      </c>
      <c r="Z175" s="2" t="str">
        <f ca="1">IFERROR(__xludf.DUMMYFUNCTION("""COMPUTED_VALUE"""),"")</f>
        <v/>
      </c>
      <c r="AA175" s="2" t="str">
        <f ca="1">IFERROR(__xludf.DUMMYFUNCTION("""COMPUTED_VALUE"""),"")</f>
        <v/>
      </c>
      <c r="AB175" s="2" t="str">
        <f ca="1">IFERROR(__xludf.DUMMYFUNCTION("""COMPUTED_VALUE"""),"")</f>
        <v/>
      </c>
      <c r="AC175" s="2" t="str">
        <f ca="1">IFERROR(__xludf.DUMMYFUNCTION("""COMPUTED_VALUE"""),"")</f>
        <v/>
      </c>
      <c r="AD175" s="2" t="str">
        <f ca="1">IFERROR(__xludf.DUMMYFUNCTION("""COMPUTED_VALUE"""),"")</f>
        <v/>
      </c>
      <c r="AE175" s="2" t="str">
        <f ca="1">IFERROR(__xludf.DUMMYFUNCTION("""COMPUTED_VALUE"""),"")</f>
        <v/>
      </c>
      <c r="AF175" s="2" t="str">
        <f ca="1">IFERROR(__xludf.DUMMYFUNCTION("""COMPUTED_VALUE"""),"")</f>
        <v/>
      </c>
      <c r="AG175" s="2" t="str">
        <f ca="1">IFERROR(__xludf.DUMMYFUNCTION("""COMPUTED_VALUE"""),"")</f>
        <v/>
      </c>
      <c r="AH175" s="2" t="str">
        <f ca="1">IFERROR(__xludf.DUMMYFUNCTION("""COMPUTED_VALUE"""),"")</f>
        <v/>
      </c>
      <c r="AI175" s="2" t="str">
        <f ca="1">IFERROR(__xludf.DUMMYFUNCTION("""COMPUTED_VALUE"""),"")</f>
        <v/>
      </c>
      <c r="AJ175" s="2" t="str">
        <f ca="1">IFERROR(__xludf.DUMMYFUNCTION("""COMPUTED_VALUE"""),"")</f>
        <v/>
      </c>
      <c r="AK175" s="2" t="str">
        <f ca="1">IFERROR(__xludf.DUMMYFUNCTION("""COMPUTED_VALUE"""),"")</f>
        <v/>
      </c>
      <c r="AL175" s="2" t="str">
        <f ca="1">IFERROR(__xludf.DUMMYFUNCTION("""COMPUTED_VALUE"""),"")</f>
        <v/>
      </c>
      <c r="AM175" s="2" t="str">
        <f ca="1">IFERROR(__xludf.DUMMYFUNCTION("""COMPUTED_VALUE"""),"")</f>
        <v/>
      </c>
      <c r="AN175" s="2" t="str">
        <f ca="1">IFERROR(__xludf.DUMMYFUNCTION("""COMPUTED_VALUE"""),"")</f>
        <v/>
      </c>
      <c r="AO175" s="2" t="str">
        <f ca="1">IFERROR(__xludf.DUMMYFUNCTION("""COMPUTED_VALUE"""),"")</f>
        <v/>
      </c>
      <c r="AP175" s="2" t="str">
        <f ca="1">IFERROR(__xludf.DUMMYFUNCTION("""COMPUTED_VALUE"""),"")</f>
        <v/>
      </c>
      <c r="AQ175" s="2" t="str">
        <f ca="1">IFERROR(__xludf.DUMMYFUNCTION("""COMPUTED_VALUE"""),"")</f>
        <v/>
      </c>
      <c r="AR175" s="2" t="str">
        <f ca="1">IFERROR(__xludf.DUMMYFUNCTION("""COMPUTED_VALUE"""),"")</f>
        <v/>
      </c>
      <c r="AS175" s="2" t="str">
        <f ca="1">IFERROR(__xludf.DUMMYFUNCTION("""COMPUTED_VALUE"""),"")</f>
        <v/>
      </c>
      <c r="AT175" s="2" t="str">
        <f ca="1">IFERROR(__xludf.DUMMYFUNCTION("""COMPUTED_VALUE"""),"")</f>
        <v/>
      </c>
      <c r="AU175" s="2" t="str">
        <f ca="1">IFERROR(__xludf.DUMMYFUNCTION("""COMPUTED_VALUE"""),"")</f>
        <v/>
      </c>
      <c r="AV175" s="2" t="str">
        <f ca="1">IFERROR(__xludf.DUMMYFUNCTION("""COMPUTED_VALUE"""),"30 pulses per minute - great all is well")</f>
        <v>30 pulses per minute - great all is well</v>
      </c>
      <c r="AW175" s="2">
        <f ca="1">IFERROR(__xludf.DUMMYFUNCTION("""COMPUTED_VALUE"""),1907650)</f>
        <v>1907650</v>
      </c>
      <c r="AX175" s="2">
        <f ca="1">IFERROR(__xludf.DUMMYFUNCTION("""COMPUTED_VALUE"""),5814148)</f>
        <v>5814148</v>
      </c>
      <c r="AY175" s="2" t="str">
        <f ca="1">IFERROR(__xludf.DUMMYFUNCTION("""COMPUTED_VALUE"""),"Strong signal")</f>
        <v>Strong signal</v>
      </c>
      <c r="AZ175" s="2" t="str">
        <f ca="1">IFERROR(__xludf.DUMMYFUNCTION("""COMPUTED_VALUE"""),"")</f>
        <v/>
      </c>
      <c r="BA175" s="2" t="str">
        <f ca="1">IFERROR(__xludf.DUMMYFUNCTION("""COMPUTED_VALUE"""),"")</f>
        <v/>
      </c>
      <c r="BB175" s="2" t="str">
        <f ca="1">IFERROR(__xludf.DUMMYFUNCTION("""COMPUTED_VALUE"""),"")</f>
        <v/>
      </c>
      <c r="BC175" s="2" t="str">
        <f ca="1">IFERROR(__xludf.DUMMYFUNCTION("""COMPUTED_VALUE"""),"")</f>
        <v/>
      </c>
      <c r="BD175" s="2" t="str">
        <f ca="1">IFERROR(__xludf.DUMMYFUNCTION("""COMPUTED_VALUE"""),"")</f>
        <v/>
      </c>
      <c r="BE175" s="2" t="str">
        <f ca="1">IFERROR(__xludf.DUMMYFUNCTION("""COMPUTED_VALUE"""),"")</f>
        <v/>
      </c>
      <c r="BF175" t="str">
        <f ca="1">IFERROR(__xludf.DUMMYFUNCTION("""COMPUTED_VALUE"""),"")</f>
        <v/>
      </c>
      <c r="BG175" t="str">
        <f ca="1">IFERROR(__xludf.DUMMYFUNCTION("""COMPUTED_VALUE"""),"")</f>
        <v/>
      </c>
      <c r="BH175" t="str">
        <f ca="1">IFERROR(__xludf.DUMMYFUNCTION("""COMPUTED_VALUE"""),"")</f>
        <v/>
      </c>
      <c r="BI175" t="str">
        <f ca="1">IFERROR(__xludf.DUMMYFUNCTION("""COMPUTED_VALUE"""),"")</f>
        <v/>
      </c>
      <c r="BJ175" s="3" t="str">
        <f ca="1">IFERROR(__xludf.DUMMYFUNCTION("""COMPUTED_VALUE"""),"")</f>
        <v/>
      </c>
    </row>
    <row r="176" spans="1:62" ht="12.5" x14ac:dyDescent="0.25">
      <c r="A176" s="6">
        <f ca="1">IFERROR(__xludf.DUMMYFUNCTION("""COMPUTED_VALUE"""),43762.3736484027)</f>
        <v>43762.373648402703</v>
      </c>
      <c r="B176" s="2" t="str">
        <f ca="1">IFERROR(__xludf.DUMMYFUNCTION("""COMPUTED_VALUE"""),"Bay of Plenty")</f>
        <v>Bay of Plenty</v>
      </c>
      <c r="C176" s="2" t="str">
        <f ca="1">IFERROR(__xludf.DUMMYFUNCTION("""COMPUTED_VALUE"""),"Tx 66 - Toa")</f>
        <v>Tx 66 - Toa</v>
      </c>
      <c r="D176" s="10">
        <f ca="1">IFERROR(__xludf.DUMMYFUNCTION("""COMPUTED_VALUE"""),43761)</f>
        <v>43761</v>
      </c>
      <c r="E176" s="4">
        <f ca="1">IFERROR(__xludf.DUMMYFUNCTION("""COMPUTED_VALUE"""),0.916666666667879)</f>
        <v>0.91666666666787899</v>
      </c>
      <c r="F176" s="2" t="str">
        <f ca="1">IFERROR(__xludf.DUMMYFUNCTION("""COMPUTED_VALUE"""),"Little Waihi")</f>
        <v>Little Waihi</v>
      </c>
      <c r="G176" s="2" t="str">
        <f ca="1">IFERROR(__xludf.DUMMYFUNCTION("""COMPUTED_VALUE"""),"VHF (Mortality): I just listened to see if the signal was on mortality")</f>
        <v>VHF (Mortality): I just listened to see if the signal was on mortality</v>
      </c>
      <c r="H176" s="2" t="str">
        <f ca="1">IFERROR(__xludf.DUMMYFUNCTION("""COMPUTED_VALUE"""),"")</f>
        <v/>
      </c>
      <c r="I176" s="2" t="str">
        <f ca="1">IFERROR(__xludf.DUMMYFUNCTION("""COMPUTED_VALUE"""),"")</f>
        <v/>
      </c>
      <c r="J176" s="2" t="str">
        <f ca="1">IFERROR(__xludf.DUMMYFUNCTION("""COMPUTED_VALUE"""),"")</f>
        <v/>
      </c>
      <c r="K176" s="2" t="str">
        <f ca="1">IFERROR(__xludf.DUMMYFUNCTION("""COMPUTED_VALUE"""),"")</f>
        <v/>
      </c>
      <c r="L176" s="2" t="str">
        <f ca="1">IFERROR(__xludf.DUMMYFUNCTION("""COMPUTED_VALUE"""),"")</f>
        <v/>
      </c>
      <c r="M176" s="5" t="str">
        <f ca="1">IFERROR(__xludf.DUMMYFUNCTION("""COMPUTED_VALUE"""),"")</f>
        <v/>
      </c>
      <c r="N176" s="5" t="str">
        <f ca="1">IFERROR(__xludf.DUMMYFUNCTION("""COMPUTED_VALUE"""),"")</f>
        <v/>
      </c>
      <c r="O176" s="2" t="str">
        <f ca="1">IFERROR(__xludf.DUMMYFUNCTION("""COMPUTED_VALUE"""),"")</f>
        <v/>
      </c>
      <c r="P176" s="2" t="str">
        <f ca="1">IFERROR(__xludf.DUMMYFUNCTION("""COMPUTED_VALUE"""),"")</f>
        <v/>
      </c>
      <c r="Q176" s="2" t="str">
        <f ca="1">IFERROR(__xludf.DUMMYFUNCTION("""COMPUTED_VALUE"""),"")</f>
        <v/>
      </c>
      <c r="R176" s="2" t="str">
        <f ca="1">IFERROR(__xludf.DUMMYFUNCTION("""COMPUTED_VALUE"""),"")</f>
        <v/>
      </c>
      <c r="S176" s="2" t="str">
        <f ca="1">IFERROR(__xludf.DUMMYFUNCTION("""COMPUTED_VALUE"""),"")</f>
        <v/>
      </c>
      <c r="T176" s="2" t="str">
        <f ca="1">IFERROR(__xludf.DUMMYFUNCTION("""COMPUTED_VALUE"""),"")</f>
        <v/>
      </c>
      <c r="U176" s="2" t="str">
        <f ca="1">IFERROR(__xludf.DUMMYFUNCTION("""COMPUTED_VALUE"""),"")</f>
        <v/>
      </c>
      <c r="V176" s="2" t="str">
        <f ca="1">IFERROR(__xludf.DUMMYFUNCTION("""COMPUTED_VALUE"""),"")</f>
        <v/>
      </c>
      <c r="W176" s="2" t="str">
        <f ca="1">IFERROR(__xludf.DUMMYFUNCTION("""COMPUTED_VALUE"""),"")</f>
        <v/>
      </c>
      <c r="X176" s="2" t="str">
        <f ca="1">IFERROR(__xludf.DUMMYFUNCTION("""COMPUTED_VALUE"""),"")</f>
        <v/>
      </c>
      <c r="Y176" s="2" t="str">
        <f ca="1">IFERROR(__xludf.DUMMYFUNCTION("""COMPUTED_VALUE"""),"")</f>
        <v/>
      </c>
      <c r="Z176" s="2" t="str">
        <f ca="1">IFERROR(__xludf.DUMMYFUNCTION("""COMPUTED_VALUE"""),"")</f>
        <v/>
      </c>
      <c r="AA176" s="2" t="str">
        <f ca="1">IFERROR(__xludf.DUMMYFUNCTION("""COMPUTED_VALUE"""),"")</f>
        <v/>
      </c>
      <c r="AB176" s="2" t="str">
        <f ca="1">IFERROR(__xludf.DUMMYFUNCTION("""COMPUTED_VALUE"""),"")</f>
        <v/>
      </c>
      <c r="AC176" s="2" t="str">
        <f ca="1">IFERROR(__xludf.DUMMYFUNCTION("""COMPUTED_VALUE"""),"")</f>
        <v/>
      </c>
      <c r="AD176" s="2" t="str">
        <f ca="1">IFERROR(__xludf.DUMMYFUNCTION("""COMPUTED_VALUE"""),"")</f>
        <v/>
      </c>
      <c r="AE176" s="2" t="str">
        <f ca="1">IFERROR(__xludf.DUMMYFUNCTION("""COMPUTED_VALUE"""),"")</f>
        <v/>
      </c>
      <c r="AF176" s="2" t="str">
        <f ca="1">IFERROR(__xludf.DUMMYFUNCTION("""COMPUTED_VALUE"""),"")</f>
        <v/>
      </c>
      <c r="AG176" s="2" t="str">
        <f ca="1">IFERROR(__xludf.DUMMYFUNCTION("""COMPUTED_VALUE"""),"")</f>
        <v/>
      </c>
      <c r="AH176" s="2" t="str">
        <f ca="1">IFERROR(__xludf.DUMMYFUNCTION("""COMPUTED_VALUE"""),"")</f>
        <v/>
      </c>
      <c r="AI176" s="2" t="str">
        <f ca="1">IFERROR(__xludf.DUMMYFUNCTION("""COMPUTED_VALUE"""),"")</f>
        <v/>
      </c>
      <c r="AJ176" s="2" t="str">
        <f ca="1">IFERROR(__xludf.DUMMYFUNCTION("""COMPUTED_VALUE"""),"")</f>
        <v/>
      </c>
      <c r="AK176" s="2" t="str">
        <f ca="1">IFERROR(__xludf.DUMMYFUNCTION("""COMPUTED_VALUE"""),"")</f>
        <v/>
      </c>
      <c r="AL176" s="2" t="str">
        <f ca="1">IFERROR(__xludf.DUMMYFUNCTION("""COMPUTED_VALUE"""),"")</f>
        <v/>
      </c>
      <c r="AM176" s="2" t="str">
        <f ca="1">IFERROR(__xludf.DUMMYFUNCTION("""COMPUTED_VALUE"""),"")</f>
        <v/>
      </c>
      <c r="AN176" s="2" t="str">
        <f ca="1">IFERROR(__xludf.DUMMYFUNCTION("""COMPUTED_VALUE"""),"")</f>
        <v/>
      </c>
      <c r="AO176" s="2" t="str">
        <f ca="1">IFERROR(__xludf.DUMMYFUNCTION("""COMPUTED_VALUE"""),"")</f>
        <v/>
      </c>
      <c r="AP176" s="2" t="str">
        <f ca="1">IFERROR(__xludf.DUMMYFUNCTION("""COMPUTED_VALUE"""),"")</f>
        <v/>
      </c>
      <c r="AQ176" s="2" t="str">
        <f ca="1">IFERROR(__xludf.DUMMYFUNCTION("""COMPUTED_VALUE"""),"")</f>
        <v/>
      </c>
      <c r="AR176" s="2" t="str">
        <f ca="1">IFERROR(__xludf.DUMMYFUNCTION("""COMPUTED_VALUE"""),"")</f>
        <v/>
      </c>
      <c r="AS176" s="2" t="str">
        <f ca="1">IFERROR(__xludf.DUMMYFUNCTION("""COMPUTED_VALUE"""),"")</f>
        <v/>
      </c>
      <c r="AT176" s="2" t="str">
        <f ca="1">IFERROR(__xludf.DUMMYFUNCTION("""COMPUTED_VALUE"""),"")</f>
        <v/>
      </c>
      <c r="AU176" s="2" t="str">
        <f ca="1">IFERROR(__xludf.DUMMYFUNCTION("""COMPUTED_VALUE"""),"")</f>
        <v/>
      </c>
      <c r="AV176" s="2" t="str">
        <f ca="1">IFERROR(__xludf.DUMMYFUNCTION("""COMPUTED_VALUE"""),"30 pulses per minute - great all is well")</f>
        <v>30 pulses per minute - great all is well</v>
      </c>
      <c r="AW176" s="2">
        <f ca="1">IFERROR(__xludf.DUMMYFUNCTION("""COMPUTED_VALUE"""),1907650)</f>
        <v>1907650</v>
      </c>
      <c r="AX176" s="2">
        <f ca="1">IFERROR(__xludf.DUMMYFUNCTION("""COMPUTED_VALUE"""),5814148)</f>
        <v>5814148</v>
      </c>
      <c r="AY176" s="2" t="str">
        <f ca="1">IFERROR(__xludf.DUMMYFUNCTION("""COMPUTED_VALUE"""),"Weak signal -western side of the WMR")</f>
        <v>Weak signal -western side of the WMR</v>
      </c>
      <c r="AZ176" s="2" t="str">
        <f ca="1">IFERROR(__xludf.DUMMYFUNCTION("""COMPUTED_VALUE"""),"")</f>
        <v/>
      </c>
      <c r="BA176" s="2" t="str">
        <f ca="1">IFERROR(__xludf.DUMMYFUNCTION("""COMPUTED_VALUE"""),"")</f>
        <v/>
      </c>
      <c r="BB176" s="2" t="str">
        <f ca="1">IFERROR(__xludf.DUMMYFUNCTION("""COMPUTED_VALUE"""),"")</f>
        <v/>
      </c>
      <c r="BC176" s="2" t="str">
        <f ca="1">IFERROR(__xludf.DUMMYFUNCTION("""COMPUTED_VALUE"""),"")</f>
        <v/>
      </c>
      <c r="BD176" s="2" t="str">
        <f ca="1">IFERROR(__xludf.DUMMYFUNCTION("""COMPUTED_VALUE"""),"")</f>
        <v/>
      </c>
      <c r="BE176" s="2" t="str">
        <f ca="1">IFERROR(__xludf.DUMMYFUNCTION("""COMPUTED_VALUE"""),"")</f>
        <v/>
      </c>
      <c r="BF176" t="str">
        <f ca="1">IFERROR(__xludf.DUMMYFUNCTION("""COMPUTED_VALUE"""),"")</f>
        <v/>
      </c>
      <c r="BG176" t="str">
        <f ca="1">IFERROR(__xludf.DUMMYFUNCTION("""COMPUTED_VALUE"""),"")</f>
        <v/>
      </c>
      <c r="BH176" t="str">
        <f ca="1">IFERROR(__xludf.DUMMYFUNCTION("""COMPUTED_VALUE"""),"")</f>
        <v/>
      </c>
      <c r="BI176" t="str">
        <f ca="1">IFERROR(__xludf.DUMMYFUNCTION("""COMPUTED_VALUE"""),"")</f>
        <v/>
      </c>
      <c r="BJ176" s="3" t="str">
        <f ca="1">IFERROR(__xludf.DUMMYFUNCTION("""COMPUTED_VALUE"""),"")</f>
        <v/>
      </c>
    </row>
    <row r="177" spans="1:62" ht="12.5" x14ac:dyDescent="0.25">
      <c r="A177" s="6">
        <f ca="1">IFERROR(__xludf.DUMMYFUNCTION("""COMPUTED_VALUE"""),43763.8556087384)</f>
        <v>43763.855608738399</v>
      </c>
      <c r="B177" s="2" t="str">
        <f ca="1">IFERROR(__xludf.DUMMYFUNCTION("""COMPUTED_VALUE"""),"Bay of Plenty")</f>
        <v>Bay of Plenty</v>
      </c>
      <c r="C177" s="2" t="str">
        <f ca="1">IFERROR(__xludf.DUMMYFUNCTION("""COMPUTED_VALUE"""),"Tx 54")</f>
        <v>Tx 54</v>
      </c>
      <c r="D177" s="10">
        <f ca="1">IFERROR(__xludf.DUMMYFUNCTION("""COMPUTED_VALUE"""),43740)</f>
        <v>43740</v>
      </c>
      <c r="E177" s="4">
        <f ca="1">IFERROR(__xludf.DUMMYFUNCTION("""COMPUTED_VALUE"""),0.5625)</f>
        <v>0.5625</v>
      </c>
      <c r="F177" s="2" t="str">
        <f ca="1">IFERROR(__xludf.DUMMYFUNCTION("""COMPUTED_VALUE"""),"Willow area Scott Paments")</f>
        <v>Willow area Scott Paments</v>
      </c>
      <c r="G177" s="2" t="str">
        <f ca="1">IFERROR(__xludf.DUMMYFUNCTION("""COMPUTED_VALUE"""),"VHF (close approach): I followed the signal until I got within 50 m of the bird")</f>
        <v>VHF (close approach): I followed the signal until I got within 50 m of the bird</v>
      </c>
      <c r="H177" s="2" t="str">
        <f ca="1">IFERROR(__xludf.DUMMYFUNCTION("""COMPUTED_VALUE"""),"")</f>
        <v/>
      </c>
      <c r="I177" s="2" t="str">
        <f ca="1">IFERROR(__xludf.DUMMYFUNCTION("""COMPUTED_VALUE"""),"")</f>
        <v/>
      </c>
      <c r="J177" s="2" t="str">
        <f ca="1">IFERROR(__xludf.DUMMYFUNCTION("""COMPUTED_VALUE"""),"")</f>
        <v/>
      </c>
      <c r="K177" s="2" t="str">
        <f ca="1">IFERROR(__xludf.DUMMYFUNCTION("""COMPUTED_VALUE"""),"")</f>
        <v/>
      </c>
      <c r="L177" s="2" t="str">
        <f ca="1">IFERROR(__xludf.DUMMYFUNCTION("""COMPUTED_VALUE"""),"No - I got very close to the bird but it was well hidden in the vegetation")</f>
        <v>No - I got very close to the bird but it was well hidden in the vegetation</v>
      </c>
      <c r="M177" s="5">
        <f ca="1">IFERROR(__xludf.DUMMYFUNCTION("""COMPUTED_VALUE"""),1907351)</f>
        <v>1907351</v>
      </c>
      <c r="N177" s="5">
        <f ca="1">IFERROR(__xludf.DUMMYFUNCTION("""COMPUTED_VALUE"""),5811801)</f>
        <v>5811801</v>
      </c>
      <c r="O177" s="2" t="str">
        <f ca="1">IFERROR(__xludf.DUMMYFUNCTION("""COMPUTED_VALUE"""),"")</f>
        <v/>
      </c>
      <c r="P177" s="2" t="str">
        <f ca="1">IFERROR(__xludf.DUMMYFUNCTION("""COMPUTED_VALUE"""),"Don't know")</f>
        <v>Don't know</v>
      </c>
      <c r="Q177" s="2" t="str">
        <f ca="1">IFERROR(__xludf.DUMMYFUNCTION("""COMPUTED_VALUE"""),"Don't know")</f>
        <v>Don't know</v>
      </c>
      <c r="R177" s="2" t="str">
        <f ca="1">IFERROR(__xludf.DUMMYFUNCTION("""COMPUTED_VALUE"""),"dont know")</f>
        <v>dont know</v>
      </c>
      <c r="S177" s="2" t="str">
        <f ca="1">IFERROR(__xludf.DUMMYFUNCTION("""COMPUTED_VALUE"""),"dont know")</f>
        <v>dont know</v>
      </c>
      <c r="T177" s="2" t="str">
        <f ca="1">IFERROR(__xludf.DUMMYFUNCTION("""COMPUTED_VALUE"""),"Willow wetland / possible farm")</f>
        <v>Willow wetland / possible farm</v>
      </c>
      <c r="U177" s="2" t="str">
        <f ca="1">IFERROR(__xludf.DUMMYFUNCTION("""COMPUTED_VALUE"""),"release of Toa - Bev,Karl, Nataalia ")</f>
        <v xml:space="preserve">release of Toa - Bev,Karl, Nataalia </v>
      </c>
      <c r="V177" s="2" t="str">
        <f ca="1">IFERROR(__xludf.DUMMYFUNCTION("""COMPUTED_VALUE"""),"")</f>
        <v/>
      </c>
      <c r="W177" s="2" t="str">
        <f ca="1">IFERROR(__xludf.DUMMYFUNCTION("""COMPUTED_VALUE"""),"")</f>
        <v/>
      </c>
      <c r="X177" s="2" t="str">
        <f ca="1">IFERROR(__xludf.DUMMYFUNCTION("""COMPUTED_VALUE"""),"")</f>
        <v/>
      </c>
      <c r="Y177" s="2" t="str">
        <f ca="1">IFERROR(__xludf.DUMMYFUNCTION("""COMPUTED_VALUE"""),"")</f>
        <v/>
      </c>
      <c r="Z177" s="2" t="str">
        <f ca="1">IFERROR(__xludf.DUMMYFUNCTION("""COMPUTED_VALUE"""),"")</f>
        <v/>
      </c>
      <c r="AA177" s="2" t="str">
        <f ca="1">IFERROR(__xludf.DUMMYFUNCTION("""COMPUTED_VALUE"""),"")</f>
        <v/>
      </c>
      <c r="AB177" s="2" t="str">
        <f ca="1">IFERROR(__xludf.DUMMYFUNCTION("""COMPUTED_VALUE"""),"")</f>
        <v/>
      </c>
      <c r="AC177" s="2" t="str">
        <f ca="1">IFERROR(__xludf.DUMMYFUNCTION("""COMPUTED_VALUE"""),"")</f>
        <v/>
      </c>
      <c r="AD177" s="2" t="str">
        <f ca="1">IFERROR(__xludf.DUMMYFUNCTION("""COMPUTED_VALUE"""),"")</f>
        <v/>
      </c>
      <c r="AE177" s="2" t="str">
        <f ca="1">IFERROR(__xludf.DUMMYFUNCTION("""COMPUTED_VALUE"""),"")</f>
        <v/>
      </c>
      <c r="AF177" s="2" t="str">
        <f ca="1">IFERROR(__xludf.DUMMYFUNCTION("""COMPUTED_VALUE"""),"")</f>
        <v/>
      </c>
      <c r="AG177" s="2" t="str">
        <f ca="1">IFERROR(__xludf.DUMMYFUNCTION("""COMPUTED_VALUE"""),"")</f>
        <v/>
      </c>
      <c r="AH177" s="2" t="str">
        <f ca="1">IFERROR(__xludf.DUMMYFUNCTION("""COMPUTED_VALUE"""),"")</f>
        <v/>
      </c>
      <c r="AI177" s="2" t="str">
        <f ca="1">IFERROR(__xludf.DUMMYFUNCTION("""COMPUTED_VALUE"""),"")</f>
        <v/>
      </c>
      <c r="AJ177" s="2" t="str">
        <f ca="1">IFERROR(__xludf.DUMMYFUNCTION("""COMPUTED_VALUE"""),"")</f>
        <v/>
      </c>
      <c r="AK177" s="2" t="str">
        <f ca="1">IFERROR(__xludf.DUMMYFUNCTION("""COMPUTED_VALUE"""),"")</f>
        <v/>
      </c>
      <c r="AL177" s="2" t="str">
        <f ca="1">IFERROR(__xludf.DUMMYFUNCTION("""COMPUTED_VALUE"""),"")</f>
        <v/>
      </c>
      <c r="AM177" s="2" t="str">
        <f ca="1">IFERROR(__xludf.DUMMYFUNCTION("""COMPUTED_VALUE"""),"")</f>
        <v/>
      </c>
      <c r="AN177" s="2" t="str">
        <f ca="1">IFERROR(__xludf.DUMMYFUNCTION("""COMPUTED_VALUE"""),"")</f>
        <v/>
      </c>
      <c r="AO177" s="2" t="str">
        <f ca="1">IFERROR(__xludf.DUMMYFUNCTION("""COMPUTED_VALUE"""),"")</f>
        <v/>
      </c>
      <c r="AP177" s="2" t="str">
        <f ca="1">IFERROR(__xludf.DUMMYFUNCTION("""COMPUTED_VALUE"""),"")</f>
        <v/>
      </c>
      <c r="AQ177" s="2" t="str">
        <f ca="1">IFERROR(__xludf.DUMMYFUNCTION("""COMPUTED_VALUE"""),"")</f>
        <v/>
      </c>
      <c r="AR177" s="2" t="str">
        <f ca="1">IFERROR(__xludf.DUMMYFUNCTION("""COMPUTED_VALUE"""),"")</f>
        <v/>
      </c>
      <c r="AS177" s="2" t="str">
        <f ca="1">IFERROR(__xludf.DUMMYFUNCTION("""COMPUTED_VALUE"""),"")</f>
        <v/>
      </c>
      <c r="AT177" s="2" t="str">
        <f ca="1">IFERROR(__xludf.DUMMYFUNCTION("""COMPUTED_VALUE"""),"")</f>
        <v/>
      </c>
      <c r="AU177" s="2" t="str">
        <f ca="1">IFERROR(__xludf.DUMMYFUNCTION("""COMPUTED_VALUE"""),"")</f>
        <v/>
      </c>
      <c r="AV177" s="2" t="str">
        <f ca="1">IFERROR(__xludf.DUMMYFUNCTION("""COMPUTED_VALUE"""),"")</f>
        <v/>
      </c>
      <c r="AW177" s="2" t="str">
        <f ca="1">IFERROR(__xludf.DUMMYFUNCTION("""COMPUTED_VALUE"""),"")</f>
        <v/>
      </c>
      <c r="AX177" s="2" t="str">
        <f ca="1">IFERROR(__xludf.DUMMYFUNCTION("""COMPUTED_VALUE"""),"")</f>
        <v/>
      </c>
      <c r="AY177" s="2" t="str">
        <f ca="1">IFERROR(__xludf.DUMMYFUNCTION("""COMPUTED_VALUE"""),"")</f>
        <v/>
      </c>
      <c r="AZ177" s="2" t="str">
        <f ca="1">IFERROR(__xludf.DUMMYFUNCTION("""COMPUTED_VALUE"""),"")</f>
        <v/>
      </c>
      <c r="BA177" s="2" t="str">
        <f ca="1">IFERROR(__xludf.DUMMYFUNCTION("""COMPUTED_VALUE"""),"")</f>
        <v/>
      </c>
      <c r="BB177" s="2" t="str">
        <f ca="1">IFERROR(__xludf.DUMMYFUNCTION("""COMPUTED_VALUE"""),"")</f>
        <v/>
      </c>
      <c r="BC177" s="2" t="str">
        <f ca="1">IFERROR(__xludf.DUMMYFUNCTION("""COMPUTED_VALUE"""),"")</f>
        <v/>
      </c>
      <c r="BD177" s="2" t="str">
        <f ca="1">IFERROR(__xludf.DUMMYFUNCTION("""COMPUTED_VALUE"""),"")</f>
        <v/>
      </c>
      <c r="BE177" s="2" t="str">
        <f ca="1">IFERROR(__xludf.DUMMYFUNCTION("""COMPUTED_VALUE"""),"")</f>
        <v/>
      </c>
      <c r="BF177" t="str">
        <f ca="1">IFERROR(__xludf.DUMMYFUNCTION("""COMPUTED_VALUE"""),"")</f>
        <v/>
      </c>
      <c r="BG177" t="str">
        <f ca="1">IFERROR(__xludf.DUMMYFUNCTION("""COMPUTED_VALUE"""),"")</f>
        <v/>
      </c>
      <c r="BH177" t="str">
        <f ca="1">IFERROR(__xludf.DUMMYFUNCTION("""COMPUTED_VALUE"""),"")</f>
        <v/>
      </c>
      <c r="BI177" t="str">
        <f ca="1">IFERROR(__xludf.DUMMYFUNCTION("""COMPUTED_VALUE"""),"")</f>
        <v/>
      </c>
      <c r="BJ177" s="3" t="str">
        <f ca="1">IFERROR(__xludf.DUMMYFUNCTION("""COMPUTED_VALUE"""),"")</f>
        <v/>
      </c>
    </row>
    <row r="178" spans="1:62" ht="12.5" x14ac:dyDescent="0.25">
      <c r="A178" s="6">
        <f ca="1">IFERROR(__xludf.DUMMYFUNCTION("""COMPUTED_VALUE"""),43763.8592847916)</f>
        <v>43763.859284791601</v>
      </c>
      <c r="B178" s="2" t="str">
        <f ca="1">IFERROR(__xludf.DUMMYFUNCTION("""COMPUTED_VALUE"""),"Bay of Plenty")</f>
        <v>Bay of Plenty</v>
      </c>
      <c r="C178" s="2" t="str">
        <f ca="1">IFERROR(__xludf.DUMMYFUNCTION("""COMPUTED_VALUE"""),"Tx 54")</f>
        <v>Tx 54</v>
      </c>
      <c r="D178" s="10">
        <f ca="1">IFERROR(__xludf.DUMMYFUNCTION("""COMPUTED_VALUE"""),43763)</f>
        <v>43763</v>
      </c>
      <c r="E178" s="4">
        <f ca="1">IFERROR(__xludf.DUMMYFUNCTION("""COMPUTED_VALUE"""),0.729166666667879)</f>
        <v>0.72916666666787899</v>
      </c>
      <c r="F178" s="2" t="str">
        <f ca="1">IFERROR(__xludf.DUMMYFUNCTION("""COMPUTED_VALUE"""),"Cutwater rd Saltmarsh")</f>
        <v>Cutwater rd Saltmarsh</v>
      </c>
      <c r="G178" s="2" t="str">
        <f ca="1">IFERROR(__xludf.DUMMYFUNCTION("""COMPUTED_VALUE"""),"VHF (close approach): I followed the signal until I got within 50 m of the bird")</f>
        <v>VHF (close approach): I followed the signal until I got within 50 m of the bird</v>
      </c>
      <c r="H178" s="2" t="str">
        <f ca="1">IFERROR(__xludf.DUMMYFUNCTION("""COMPUTED_VALUE"""),"")</f>
        <v/>
      </c>
      <c r="I178" s="2" t="str">
        <f ca="1">IFERROR(__xludf.DUMMYFUNCTION("""COMPUTED_VALUE"""),"")</f>
        <v/>
      </c>
      <c r="J178" s="2" t="str">
        <f ca="1">IFERROR(__xludf.DUMMYFUNCTION("""COMPUTED_VALUE"""),"")</f>
        <v/>
      </c>
      <c r="K178" s="2" t="str">
        <f ca="1">IFERROR(__xludf.DUMMYFUNCTION("""COMPUTED_VALUE"""),"")</f>
        <v/>
      </c>
      <c r="L178" s="2" t="str">
        <f ca="1">IFERROR(__xludf.DUMMYFUNCTION("""COMPUTED_VALUE"""),"No - I got very close to the bird but it was well hidden in the vegetation")</f>
        <v>No - I got very close to the bird but it was well hidden in the vegetation</v>
      </c>
      <c r="M178" s="5">
        <f ca="1">IFERROR(__xludf.DUMMYFUNCTION("""COMPUTED_VALUE"""),1907694)</f>
        <v>1907694</v>
      </c>
      <c r="N178" s="5">
        <f ca="1">IFERROR(__xludf.DUMMYFUNCTION("""COMPUTED_VALUE"""),5812919)</f>
        <v>5812919</v>
      </c>
      <c r="O178" s="2" t="str">
        <f ca="1">IFERROR(__xludf.DUMMYFUNCTION("""COMPUTED_VALUE"""),"")</f>
        <v/>
      </c>
      <c r="P178" s="2" t="str">
        <f ca="1">IFERROR(__xludf.DUMMYFUNCTION("""COMPUTED_VALUE"""),"N/A - not grazed")</f>
        <v>N/A - not grazed</v>
      </c>
      <c r="Q178" s="2" t="str">
        <f ca="1">IFERROR(__xludf.DUMMYFUNCTION("""COMPUTED_VALUE"""),"Don't know")</f>
        <v>Don't know</v>
      </c>
      <c r="R178" s="2" t="str">
        <f ca="1">IFERROR(__xludf.DUMMYFUNCTION("""COMPUTED_VALUE"""),"dont know")</f>
        <v>dont know</v>
      </c>
      <c r="S178" s="2" t="str">
        <f ca="1">IFERROR(__xludf.DUMMYFUNCTION("""COMPUTED_VALUE"""),"dont know")</f>
        <v>dont know</v>
      </c>
      <c r="T178" s="2" t="str">
        <f ca="1">IFERROR(__xludf.DUMMYFUNCTION("""COMPUTED_VALUE"""),"Saltmarsh ")</f>
        <v xml:space="preserve">Saltmarsh </v>
      </c>
      <c r="U178" s="2" t="str">
        <f ca="1">IFERROR(__xludf.DUMMYFUNCTION("""COMPUTED_VALUE"""),"+-100m    3-4 hawks working saltmarsh in this area. also blackback gulls")</f>
        <v>+-100m    3-4 hawks working saltmarsh in this area. also blackback gulls</v>
      </c>
      <c r="V178" s="2" t="str">
        <f ca="1">IFERROR(__xludf.DUMMYFUNCTION("""COMPUTED_VALUE"""),"")</f>
        <v/>
      </c>
      <c r="W178" s="2" t="str">
        <f ca="1">IFERROR(__xludf.DUMMYFUNCTION("""COMPUTED_VALUE"""),"")</f>
        <v/>
      </c>
      <c r="X178" s="2" t="str">
        <f ca="1">IFERROR(__xludf.DUMMYFUNCTION("""COMPUTED_VALUE"""),"")</f>
        <v/>
      </c>
      <c r="Y178" s="2" t="str">
        <f ca="1">IFERROR(__xludf.DUMMYFUNCTION("""COMPUTED_VALUE"""),"")</f>
        <v/>
      </c>
      <c r="Z178" s="2" t="str">
        <f ca="1">IFERROR(__xludf.DUMMYFUNCTION("""COMPUTED_VALUE"""),"")</f>
        <v/>
      </c>
      <c r="AA178" s="2" t="str">
        <f ca="1">IFERROR(__xludf.DUMMYFUNCTION("""COMPUTED_VALUE"""),"")</f>
        <v/>
      </c>
      <c r="AB178" s="2" t="str">
        <f ca="1">IFERROR(__xludf.DUMMYFUNCTION("""COMPUTED_VALUE"""),"")</f>
        <v/>
      </c>
      <c r="AC178" s="2" t="str">
        <f ca="1">IFERROR(__xludf.DUMMYFUNCTION("""COMPUTED_VALUE"""),"")</f>
        <v/>
      </c>
      <c r="AD178" s="2" t="str">
        <f ca="1">IFERROR(__xludf.DUMMYFUNCTION("""COMPUTED_VALUE"""),"")</f>
        <v/>
      </c>
      <c r="AE178" s="2" t="str">
        <f ca="1">IFERROR(__xludf.DUMMYFUNCTION("""COMPUTED_VALUE"""),"")</f>
        <v/>
      </c>
      <c r="AF178" s="2" t="str">
        <f ca="1">IFERROR(__xludf.DUMMYFUNCTION("""COMPUTED_VALUE"""),"")</f>
        <v/>
      </c>
      <c r="AG178" s="2" t="str">
        <f ca="1">IFERROR(__xludf.DUMMYFUNCTION("""COMPUTED_VALUE"""),"")</f>
        <v/>
      </c>
      <c r="AH178" s="2" t="str">
        <f ca="1">IFERROR(__xludf.DUMMYFUNCTION("""COMPUTED_VALUE"""),"")</f>
        <v/>
      </c>
      <c r="AI178" s="2" t="str">
        <f ca="1">IFERROR(__xludf.DUMMYFUNCTION("""COMPUTED_VALUE"""),"")</f>
        <v/>
      </c>
      <c r="AJ178" s="2" t="str">
        <f ca="1">IFERROR(__xludf.DUMMYFUNCTION("""COMPUTED_VALUE"""),"")</f>
        <v/>
      </c>
      <c r="AK178" s="2" t="str">
        <f ca="1">IFERROR(__xludf.DUMMYFUNCTION("""COMPUTED_VALUE"""),"")</f>
        <v/>
      </c>
      <c r="AL178" s="2" t="str">
        <f ca="1">IFERROR(__xludf.DUMMYFUNCTION("""COMPUTED_VALUE"""),"")</f>
        <v/>
      </c>
      <c r="AM178" s="2" t="str">
        <f ca="1">IFERROR(__xludf.DUMMYFUNCTION("""COMPUTED_VALUE"""),"")</f>
        <v/>
      </c>
      <c r="AN178" s="2" t="str">
        <f ca="1">IFERROR(__xludf.DUMMYFUNCTION("""COMPUTED_VALUE"""),"")</f>
        <v/>
      </c>
      <c r="AO178" s="2" t="str">
        <f ca="1">IFERROR(__xludf.DUMMYFUNCTION("""COMPUTED_VALUE"""),"")</f>
        <v/>
      </c>
      <c r="AP178" s="2" t="str">
        <f ca="1">IFERROR(__xludf.DUMMYFUNCTION("""COMPUTED_VALUE"""),"")</f>
        <v/>
      </c>
      <c r="AQ178" s="2" t="str">
        <f ca="1">IFERROR(__xludf.DUMMYFUNCTION("""COMPUTED_VALUE"""),"")</f>
        <v/>
      </c>
      <c r="AR178" s="2" t="str">
        <f ca="1">IFERROR(__xludf.DUMMYFUNCTION("""COMPUTED_VALUE"""),"")</f>
        <v/>
      </c>
      <c r="AS178" s="2" t="str">
        <f ca="1">IFERROR(__xludf.DUMMYFUNCTION("""COMPUTED_VALUE"""),"")</f>
        <v/>
      </c>
      <c r="AT178" s="2" t="str">
        <f ca="1">IFERROR(__xludf.DUMMYFUNCTION("""COMPUTED_VALUE"""),"")</f>
        <v/>
      </c>
      <c r="AU178" s="2" t="str">
        <f ca="1">IFERROR(__xludf.DUMMYFUNCTION("""COMPUTED_VALUE"""),"")</f>
        <v/>
      </c>
      <c r="AV178" s="2" t="str">
        <f ca="1">IFERROR(__xludf.DUMMYFUNCTION("""COMPUTED_VALUE"""),"")</f>
        <v/>
      </c>
      <c r="AW178" s="2" t="str">
        <f ca="1">IFERROR(__xludf.DUMMYFUNCTION("""COMPUTED_VALUE"""),"")</f>
        <v/>
      </c>
      <c r="AX178" s="2" t="str">
        <f ca="1">IFERROR(__xludf.DUMMYFUNCTION("""COMPUTED_VALUE"""),"")</f>
        <v/>
      </c>
      <c r="AY178" s="2" t="str">
        <f ca="1">IFERROR(__xludf.DUMMYFUNCTION("""COMPUTED_VALUE"""),"")</f>
        <v/>
      </c>
      <c r="AZ178" s="2" t="str">
        <f ca="1">IFERROR(__xludf.DUMMYFUNCTION("""COMPUTED_VALUE"""),"")</f>
        <v/>
      </c>
      <c r="BA178" s="2" t="str">
        <f ca="1">IFERROR(__xludf.DUMMYFUNCTION("""COMPUTED_VALUE"""),"")</f>
        <v/>
      </c>
      <c r="BB178" s="2" t="str">
        <f ca="1">IFERROR(__xludf.DUMMYFUNCTION("""COMPUTED_VALUE"""),"")</f>
        <v/>
      </c>
      <c r="BC178" s="2" t="str">
        <f ca="1">IFERROR(__xludf.DUMMYFUNCTION("""COMPUTED_VALUE"""),"")</f>
        <v/>
      </c>
      <c r="BD178" s="2" t="str">
        <f ca="1">IFERROR(__xludf.DUMMYFUNCTION("""COMPUTED_VALUE"""),"")</f>
        <v/>
      </c>
      <c r="BE178" s="2" t="str">
        <f ca="1">IFERROR(__xludf.DUMMYFUNCTION("""COMPUTED_VALUE"""),"")</f>
        <v/>
      </c>
      <c r="BF178" t="str">
        <f ca="1">IFERROR(__xludf.DUMMYFUNCTION("""COMPUTED_VALUE"""),"")</f>
        <v/>
      </c>
      <c r="BG178" t="str">
        <f ca="1">IFERROR(__xludf.DUMMYFUNCTION("""COMPUTED_VALUE"""),"")</f>
        <v/>
      </c>
      <c r="BH178" t="str">
        <f ca="1">IFERROR(__xludf.DUMMYFUNCTION("""COMPUTED_VALUE"""),"")</f>
        <v/>
      </c>
      <c r="BI178" t="str">
        <f ca="1">IFERROR(__xludf.DUMMYFUNCTION("""COMPUTED_VALUE"""),"")</f>
        <v/>
      </c>
      <c r="BJ178" s="3" t="str">
        <f ca="1">IFERROR(__xludf.DUMMYFUNCTION("""COMPUTED_VALUE"""),"")</f>
        <v/>
      </c>
    </row>
    <row r="179" spans="1:62" ht="12.5" x14ac:dyDescent="0.25">
      <c r="A179" s="6">
        <f ca="1">IFERROR(__xludf.DUMMYFUNCTION("""COMPUTED_VALUE"""),43763.8615280671)</f>
        <v>43763.8615280671</v>
      </c>
      <c r="B179" s="2" t="str">
        <f ca="1">IFERROR(__xludf.DUMMYFUNCTION("""COMPUTED_VALUE"""),"Bay of Plenty")</f>
        <v>Bay of Plenty</v>
      </c>
      <c r="C179" s="2" t="str">
        <f ca="1">IFERROR(__xludf.DUMMYFUNCTION("""COMPUTED_VALUE"""),"Tx 66 - Toa")</f>
        <v>Tx 66 - Toa</v>
      </c>
      <c r="D179" s="10">
        <f ca="1">IFERROR(__xludf.DUMMYFUNCTION("""COMPUTED_VALUE"""),43763)</f>
        <v>43763</v>
      </c>
      <c r="E179" s="4">
        <f ca="1">IFERROR(__xludf.DUMMYFUNCTION("""COMPUTED_VALUE"""),0.729166666667879)</f>
        <v>0.72916666666787899</v>
      </c>
      <c r="F179" s="2" t="str">
        <f ca="1">IFERROR(__xludf.DUMMYFUNCTION("""COMPUTED_VALUE"""),"Waewaetutuki Saltmarsh")</f>
        <v>Waewaetutuki Saltmarsh</v>
      </c>
      <c r="G179" s="2" t="str">
        <f ca="1">IFERROR(__xludf.DUMMYFUNCTION("""COMPUTED_VALUE"""),"VHF (close approach): I followed the signal until I got within 50 m of the bird")</f>
        <v>VHF (close approach): I followed the signal until I got within 50 m of the bird</v>
      </c>
      <c r="H179" s="2" t="str">
        <f ca="1">IFERROR(__xludf.DUMMYFUNCTION("""COMPUTED_VALUE"""),"")</f>
        <v/>
      </c>
      <c r="I179" s="2" t="str">
        <f ca="1">IFERROR(__xludf.DUMMYFUNCTION("""COMPUTED_VALUE"""),"")</f>
        <v/>
      </c>
      <c r="J179" s="2" t="str">
        <f ca="1">IFERROR(__xludf.DUMMYFUNCTION("""COMPUTED_VALUE"""),"")</f>
        <v/>
      </c>
      <c r="K179" s="2" t="str">
        <f ca="1">IFERROR(__xludf.DUMMYFUNCTION("""COMPUTED_VALUE"""),"")</f>
        <v/>
      </c>
      <c r="L179" s="2" t="str">
        <f ca="1">IFERROR(__xludf.DUMMYFUNCTION("""COMPUTED_VALUE"""),"No - I got very close to the bird but it was well hidden in the vegetation")</f>
        <v>No - I got very close to the bird but it was well hidden in the vegetation</v>
      </c>
      <c r="M179" s="5">
        <f ca="1">IFERROR(__xludf.DUMMYFUNCTION("""COMPUTED_VALUE"""),1906281)</f>
        <v>1906281</v>
      </c>
      <c r="N179" s="5">
        <f ca="1">IFERROR(__xludf.DUMMYFUNCTION("""COMPUTED_VALUE"""),5813356)</f>
        <v>5813356</v>
      </c>
      <c r="O179" s="2" t="str">
        <f ca="1">IFERROR(__xludf.DUMMYFUNCTION("""COMPUTED_VALUE"""),"")</f>
        <v/>
      </c>
      <c r="P179" s="2" t="str">
        <f ca="1">IFERROR(__xludf.DUMMYFUNCTION("""COMPUTED_VALUE"""),"N/A - not grazed")</f>
        <v>N/A - not grazed</v>
      </c>
      <c r="Q179" s="2" t="str">
        <f ca="1">IFERROR(__xludf.DUMMYFUNCTION("""COMPUTED_VALUE"""),"Don't know")</f>
        <v>Don't know</v>
      </c>
      <c r="R179" s="2" t="str">
        <f ca="1">IFERROR(__xludf.DUMMYFUNCTION("""COMPUTED_VALUE"""),"dont know")</f>
        <v>dont know</v>
      </c>
      <c r="S179" s="2" t="str">
        <f ca="1">IFERROR(__xludf.DUMMYFUNCTION("""COMPUTED_VALUE"""),"see map")</f>
        <v>see map</v>
      </c>
      <c r="T179" s="2" t="str">
        <f ca="1">IFERROR(__xludf.DUMMYFUNCTION("""COMPUTED_VALUE"""),"saltmarsh 'stream' with mangrove nearby ")</f>
        <v xml:space="preserve">saltmarsh 'stream' with mangrove nearby </v>
      </c>
      <c r="U179" s="2" t="str">
        <f ca="1">IFERROR(__xludf.DUMMYFUNCTION("""COMPUTED_VALUE"""),"Stream in saltmarsh, some mangroves in area. 3+ hawks working this area of saltmarsh - no booming heard. uneventful trip")</f>
        <v>Stream in saltmarsh, some mangroves in area. 3+ hawks working this area of saltmarsh - no booming heard. uneventful trip</v>
      </c>
      <c r="V179" s="2" t="str">
        <f ca="1">IFERROR(__xludf.DUMMYFUNCTION("""COMPUTED_VALUE"""),"")</f>
        <v/>
      </c>
      <c r="W179" s="2" t="str">
        <f ca="1">IFERROR(__xludf.DUMMYFUNCTION("""COMPUTED_VALUE"""),"")</f>
        <v/>
      </c>
      <c r="X179" s="2" t="str">
        <f ca="1">IFERROR(__xludf.DUMMYFUNCTION("""COMPUTED_VALUE"""),"")</f>
        <v/>
      </c>
      <c r="Y179" s="2" t="str">
        <f ca="1">IFERROR(__xludf.DUMMYFUNCTION("""COMPUTED_VALUE"""),"")</f>
        <v/>
      </c>
      <c r="Z179" s="2" t="str">
        <f ca="1">IFERROR(__xludf.DUMMYFUNCTION("""COMPUTED_VALUE"""),"")</f>
        <v/>
      </c>
      <c r="AA179" s="2" t="str">
        <f ca="1">IFERROR(__xludf.DUMMYFUNCTION("""COMPUTED_VALUE"""),"")</f>
        <v/>
      </c>
      <c r="AB179" s="2" t="str">
        <f ca="1">IFERROR(__xludf.DUMMYFUNCTION("""COMPUTED_VALUE"""),"")</f>
        <v/>
      </c>
      <c r="AC179" s="2" t="str">
        <f ca="1">IFERROR(__xludf.DUMMYFUNCTION("""COMPUTED_VALUE"""),"")</f>
        <v/>
      </c>
      <c r="AD179" s="2" t="str">
        <f ca="1">IFERROR(__xludf.DUMMYFUNCTION("""COMPUTED_VALUE"""),"")</f>
        <v/>
      </c>
      <c r="AE179" s="2" t="str">
        <f ca="1">IFERROR(__xludf.DUMMYFUNCTION("""COMPUTED_VALUE"""),"")</f>
        <v/>
      </c>
      <c r="AF179" s="2" t="str">
        <f ca="1">IFERROR(__xludf.DUMMYFUNCTION("""COMPUTED_VALUE"""),"")</f>
        <v/>
      </c>
      <c r="AG179" s="2" t="str">
        <f ca="1">IFERROR(__xludf.DUMMYFUNCTION("""COMPUTED_VALUE"""),"")</f>
        <v/>
      </c>
      <c r="AH179" s="2" t="str">
        <f ca="1">IFERROR(__xludf.DUMMYFUNCTION("""COMPUTED_VALUE"""),"")</f>
        <v/>
      </c>
      <c r="AI179" s="2" t="str">
        <f ca="1">IFERROR(__xludf.DUMMYFUNCTION("""COMPUTED_VALUE"""),"")</f>
        <v/>
      </c>
      <c r="AJ179" s="2" t="str">
        <f ca="1">IFERROR(__xludf.DUMMYFUNCTION("""COMPUTED_VALUE"""),"")</f>
        <v/>
      </c>
      <c r="AK179" s="2" t="str">
        <f ca="1">IFERROR(__xludf.DUMMYFUNCTION("""COMPUTED_VALUE"""),"")</f>
        <v/>
      </c>
      <c r="AL179" s="2" t="str">
        <f ca="1">IFERROR(__xludf.DUMMYFUNCTION("""COMPUTED_VALUE"""),"")</f>
        <v/>
      </c>
      <c r="AM179" s="2" t="str">
        <f ca="1">IFERROR(__xludf.DUMMYFUNCTION("""COMPUTED_VALUE"""),"")</f>
        <v/>
      </c>
      <c r="AN179" s="2" t="str">
        <f ca="1">IFERROR(__xludf.DUMMYFUNCTION("""COMPUTED_VALUE"""),"")</f>
        <v/>
      </c>
      <c r="AO179" s="2" t="str">
        <f ca="1">IFERROR(__xludf.DUMMYFUNCTION("""COMPUTED_VALUE"""),"")</f>
        <v/>
      </c>
      <c r="AP179" s="2" t="str">
        <f ca="1">IFERROR(__xludf.DUMMYFUNCTION("""COMPUTED_VALUE"""),"")</f>
        <v/>
      </c>
      <c r="AQ179" s="2" t="str">
        <f ca="1">IFERROR(__xludf.DUMMYFUNCTION("""COMPUTED_VALUE"""),"")</f>
        <v/>
      </c>
      <c r="AR179" s="2" t="str">
        <f ca="1">IFERROR(__xludf.DUMMYFUNCTION("""COMPUTED_VALUE"""),"")</f>
        <v/>
      </c>
      <c r="AS179" s="2" t="str">
        <f ca="1">IFERROR(__xludf.DUMMYFUNCTION("""COMPUTED_VALUE"""),"")</f>
        <v/>
      </c>
      <c r="AT179" s="2" t="str">
        <f ca="1">IFERROR(__xludf.DUMMYFUNCTION("""COMPUTED_VALUE"""),"")</f>
        <v/>
      </c>
      <c r="AU179" s="2" t="str">
        <f ca="1">IFERROR(__xludf.DUMMYFUNCTION("""COMPUTED_VALUE"""),"")</f>
        <v/>
      </c>
      <c r="AV179" s="2" t="str">
        <f ca="1">IFERROR(__xludf.DUMMYFUNCTION("""COMPUTED_VALUE"""),"")</f>
        <v/>
      </c>
      <c r="AW179" s="2" t="str">
        <f ca="1">IFERROR(__xludf.DUMMYFUNCTION("""COMPUTED_VALUE"""),"")</f>
        <v/>
      </c>
      <c r="AX179" s="2" t="str">
        <f ca="1">IFERROR(__xludf.DUMMYFUNCTION("""COMPUTED_VALUE"""),"")</f>
        <v/>
      </c>
      <c r="AY179" s="2" t="str">
        <f ca="1">IFERROR(__xludf.DUMMYFUNCTION("""COMPUTED_VALUE"""),"")</f>
        <v/>
      </c>
      <c r="AZ179" s="2" t="str">
        <f ca="1">IFERROR(__xludf.DUMMYFUNCTION("""COMPUTED_VALUE"""),"")</f>
        <v/>
      </c>
      <c r="BA179" s="2" t="str">
        <f ca="1">IFERROR(__xludf.DUMMYFUNCTION("""COMPUTED_VALUE"""),"")</f>
        <v/>
      </c>
      <c r="BB179" s="2" t="str">
        <f ca="1">IFERROR(__xludf.DUMMYFUNCTION("""COMPUTED_VALUE"""),"")</f>
        <v/>
      </c>
      <c r="BC179" s="2" t="str">
        <f ca="1">IFERROR(__xludf.DUMMYFUNCTION("""COMPUTED_VALUE"""),"")</f>
        <v/>
      </c>
      <c r="BD179" s="2" t="str">
        <f ca="1">IFERROR(__xludf.DUMMYFUNCTION("""COMPUTED_VALUE"""),"")</f>
        <v/>
      </c>
      <c r="BE179" s="2" t="str">
        <f ca="1">IFERROR(__xludf.DUMMYFUNCTION("""COMPUTED_VALUE"""),"")</f>
        <v/>
      </c>
      <c r="BF179" t="str">
        <f ca="1">IFERROR(__xludf.DUMMYFUNCTION("""COMPUTED_VALUE"""),"")</f>
        <v/>
      </c>
      <c r="BG179" t="str">
        <f ca="1">IFERROR(__xludf.DUMMYFUNCTION("""COMPUTED_VALUE"""),"")</f>
        <v/>
      </c>
      <c r="BH179" t="str">
        <f ca="1">IFERROR(__xludf.DUMMYFUNCTION("""COMPUTED_VALUE"""),"")</f>
        <v/>
      </c>
      <c r="BI179" t="str">
        <f ca="1">IFERROR(__xludf.DUMMYFUNCTION("""COMPUTED_VALUE"""),"")</f>
        <v/>
      </c>
      <c r="BJ179" s="3" t="str">
        <f ca="1">IFERROR(__xludf.DUMMYFUNCTION("""COMPUTED_VALUE"""),"")</f>
        <v/>
      </c>
    </row>
    <row r="180" spans="1:62" ht="12.5" x14ac:dyDescent="0.25">
      <c r="A180" s="6">
        <f ca="1">IFERROR(__xludf.DUMMYFUNCTION("""COMPUTED_VALUE"""),43776.3479569097)</f>
        <v>43776.347956909703</v>
      </c>
      <c r="B180" s="2" t="str">
        <f ca="1">IFERROR(__xludf.DUMMYFUNCTION("""COMPUTED_VALUE"""),"Bay of Plenty")</f>
        <v>Bay of Plenty</v>
      </c>
      <c r="C180" s="2" t="str">
        <f ca="1">IFERROR(__xludf.DUMMYFUNCTION("""COMPUTED_VALUE"""),"Tx 54")</f>
        <v>Tx 54</v>
      </c>
      <c r="D180" s="10">
        <f ca="1">IFERROR(__xludf.DUMMYFUNCTION("""COMPUTED_VALUE"""),43775)</f>
        <v>43775</v>
      </c>
      <c r="E180" s="4">
        <f ca="1">IFERROR(__xludf.DUMMYFUNCTION("""COMPUTED_VALUE"""),0.604166666667879)</f>
        <v>0.60416666666787899</v>
      </c>
      <c r="F180" s="2" t="str">
        <f ca="1">IFERROR(__xludf.DUMMYFUNCTION("""COMPUTED_VALUE"""),"Cutwater rd Saltmarsh")</f>
        <v>Cutwater rd Saltmarsh</v>
      </c>
      <c r="G180" s="2" t="str">
        <f ca="1">IFERROR(__xludf.DUMMYFUNCTION("""COMPUTED_VALUE"""),"VHF (close approach): I followed the signal until I got within 50 m of the bird")</f>
        <v>VHF (close approach): I followed the signal until I got within 50 m of the bird</v>
      </c>
      <c r="H180" s="2" t="str">
        <f ca="1">IFERROR(__xludf.DUMMYFUNCTION("""COMPUTED_VALUE"""),"")</f>
        <v/>
      </c>
      <c r="I180" s="2" t="str">
        <f ca="1">IFERROR(__xludf.DUMMYFUNCTION("""COMPUTED_VALUE"""),"")</f>
        <v/>
      </c>
      <c r="J180" s="2" t="str">
        <f ca="1">IFERROR(__xludf.DUMMYFUNCTION("""COMPUTED_VALUE"""),"")</f>
        <v/>
      </c>
      <c r="K180" s="2" t="str">
        <f ca="1">IFERROR(__xludf.DUMMYFUNCTION("""COMPUTED_VALUE"""),"")</f>
        <v/>
      </c>
      <c r="L180" s="2" t="str">
        <f ca="1">IFERROR(__xludf.DUMMYFUNCTION("""COMPUTED_VALUE"""),"Yes - it flushed")</f>
        <v>Yes - it flushed</v>
      </c>
      <c r="M180" s="5">
        <f ca="1">IFERROR(__xludf.DUMMYFUNCTION("""COMPUTED_VALUE"""),1907642.26)</f>
        <v>1907642.26</v>
      </c>
      <c r="N180" s="5">
        <f ca="1">IFERROR(__xludf.DUMMYFUNCTION("""COMPUTED_VALUE"""),5812858.85)</f>
        <v>5812858.8499999996</v>
      </c>
      <c r="O180" s="2" t="str">
        <f ca="1">IFERROR(__xludf.DUMMYFUNCTION("""COMPUTED_VALUE"""),"")</f>
        <v/>
      </c>
      <c r="P180" s="2" t="str">
        <f ca="1">IFERROR(__xludf.DUMMYFUNCTION("""COMPUTED_VALUE"""),"N/A - not grazed")</f>
        <v>N/A - not grazed</v>
      </c>
      <c r="Q180" s="2" t="str">
        <f ca="1">IFERROR(__xludf.DUMMYFUNCTION("""COMPUTED_VALUE"""),"Wet")</f>
        <v>Wet</v>
      </c>
      <c r="R180" s="2" t="str">
        <f ca="1">IFERROR(__xludf.DUMMYFUNCTION("""COMPUTED_VALUE"""),"Canal - Deep")</f>
        <v>Canal - Deep</v>
      </c>
      <c r="S180" s="2" t="str">
        <f ca="1">IFERROR(__xludf.DUMMYFUNCTION("""COMPUTED_VALUE"""),"on")</f>
        <v>on</v>
      </c>
      <c r="T180" s="2" t="str">
        <f ca="1">IFERROR(__xludf.DUMMYFUNCTION("""COMPUTED_VALUE"""),"Glyceria")</f>
        <v>Glyceria</v>
      </c>
      <c r="U180" s="2" t="str">
        <f ca="1">IFERROR(__xludf.DUMMYFUNCTION("""COMPUTED_VALUE"""),"Melv &amp; Karl on bromantic hikoi to check up on TX54. Was in glyceria on banks of Pukehina Canal. jumped up out of glyceria and held for a minute before flying into saltmarsh @ 1907642.82   5813089.18")</f>
        <v>Melv &amp; Karl on bromantic hikoi to check up on TX54. Was in glyceria on banks of Pukehina Canal. jumped up out of glyceria and held for a minute before flying into saltmarsh @ 1907642.82   5813089.18</v>
      </c>
      <c r="V180" s="2" t="str">
        <f ca="1">IFERROR(__xludf.DUMMYFUNCTION("""COMPUTED_VALUE"""),"")</f>
        <v/>
      </c>
      <c r="W180" s="2" t="str">
        <f ca="1">IFERROR(__xludf.DUMMYFUNCTION("""COMPUTED_VALUE"""),"")</f>
        <v/>
      </c>
      <c r="X180" s="2" t="str">
        <f ca="1">IFERROR(__xludf.DUMMYFUNCTION("""COMPUTED_VALUE"""),"")</f>
        <v/>
      </c>
      <c r="Y180" s="2" t="str">
        <f ca="1">IFERROR(__xludf.DUMMYFUNCTION("""COMPUTED_VALUE"""),"")</f>
        <v/>
      </c>
      <c r="Z180" s="2" t="str">
        <f ca="1">IFERROR(__xludf.DUMMYFUNCTION("""COMPUTED_VALUE"""),"")</f>
        <v/>
      </c>
      <c r="AA180" s="2" t="str">
        <f ca="1">IFERROR(__xludf.DUMMYFUNCTION("""COMPUTED_VALUE"""),"")</f>
        <v/>
      </c>
      <c r="AB180" s="2" t="str">
        <f ca="1">IFERROR(__xludf.DUMMYFUNCTION("""COMPUTED_VALUE"""),"")</f>
        <v/>
      </c>
      <c r="AC180" s="2" t="str">
        <f ca="1">IFERROR(__xludf.DUMMYFUNCTION("""COMPUTED_VALUE"""),"")</f>
        <v/>
      </c>
      <c r="AD180" s="2" t="str">
        <f ca="1">IFERROR(__xludf.DUMMYFUNCTION("""COMPUTED_VALUE"""),"")</f>
        <v/>
      </c>
      <c r="AE180" s="2" t="str">
        <f ca="1">IFERROR(__xludf.DUMMYFUNCTION("""COMPUTED_VALUE"""),"")</f>
        <v/>
      </c>
      <c r="AF180" s="2" t="str">
        <f ca="1">IFERROR(__xludf.DUMMYFUNCTION("""COMPUTED_VALUE"""),"")</f>
        <v/>
      </c>
      <c r="AG180" s="2" t="str">
        <f ca="1">IFERROR(__xludf.DUMMYFUNCTION("""COMPUTED_VALUE"""),"")</f>
        <v/>
      </c>
      <c r="AH180" s="2" t="str">
        <f ca="1">IFERROR(__xludf.DUMMYFUNCTION("""COMPUTED_VALUE"""),"")</f>
        <v/>
      </c>
      <c r="AI180" s="2" t="str">
        <f ca="1">IFERROR(__xludf.DUMMYFUNCTION("""COMPUTED_VALUE"""),"")</f>
        <v/>
      </c>
      <c r="AJ180" s="2" t="str">
        <f ca="1">IFERROR(__xludf.DUMMYFUNCTION("""COMPUTED_VALUE"""),"")</f>
        <v/>
      </c>
      <c r="AK180" s="2" t="str">
        <f ca="1">IFERROR(__xludf.DUMMYFUNCTION("""COMPUTED_VALUE"""),"")</f>
        <v/>
      </c>
      <c r="AL180" s="2" t="str">
        <f ca="1">IFERROR(__xludf.DUMMYFUNCTION("""COMPUTED_VALUE"""),"")</f>
        <v/>
      </c>
      <c r="AM180" s="2" t="str">
        <f ca="1">IFERROR(__xludf.DUMMYFUNCTION("""COMPUTED_VALUE"""),"")</f>
        <v/>
      </c>
      <c r="AN180" s="2" t="str">
        <f ca="1">IFERROR(__xludf.DUMMYFUNCTION("""COMPUTED_VALUE"""),"")</f>
        <v/>
      </c>
      <c r="AO180" s="2" t="str">
        <f ca="1">IFERROR(__xludf.DUMMYFUNCTION("""COMPUTED_VALUE"""),"")</f>
        <v/>
      </c>
      <c r="AP180" s="2" t="str">
        <f ca="1">IFERROR(__xludf.DUMMYFUNCTION("""COMPUTED_VALUE"""),"")</f>
        <v/>
      </c>
      <c r="AQ180" s="2" t="str">
        <f ca="1">IFERROR(__xludf.DUMMYFUNCTION("""COMPUTED_VALUE"""),"")</f>
        <v/>
      </c>
      <c r="AR180" s="2" t="str">
        <f ca="1">IFERROR(__xludf.DUMMYFUNCTION("""COMPUTED_VALUE"""),"")</f>
        <v/>
      </c>
      <c r="AS180" s="2" t="str">
        <f ca="1">IFERROR(__xludf.DUMMYFUNCTION("""COMPUTED_VALUE"""),"")</f>
        <v/>
      </c>
      <c r="AT180" s="2" t="str">
        <f ca="1">IFERROR(__xludf.DUMMYFUNCTION("""COMPUTED_VALUE"""),"")</f>
        <v/>
      </c>
      <c r="AU180" s="2" t="str">
        <f ca="1">IFERROR(__xludf.DUMMYFUNCTION("""COMPUTED_VALUE"""),"")</f>
        <v/>
      </c>
      <c r="AV180" s="2" t="str">
        <f ca="1">IFERROR(__xludf.DUMMYFUNCTION("""COMPUTED_VALUE"""),"")</f>
        <v/>
      </c>
      <c r="AW180" s="2" t="str">
        <f ca="1">IFERROR(__xludf.DUMMYFUNCTION("""COMPUTED_VALUE"""),"")</f>
        <v/>
      </c>
      <c r="AX180" s="2" t="str">
        <f ca="1">IFERROR(__xludf.DUMMYFUNCTION("""COMPUTED_VALUE"""),"")</f>
        <v/>
      </c>
      <c r="AY180" s="2" t="str">
        <f ca="1">IFERROR(__xludf.DUMMYFUNCTION("""COMPUTED_VALUE"""),"")</f>
        <v/>
      </c>
      <c r="AZ180" s="2" t="str">
        <f ca="1">IFERROR(__xludf.DUMMYFUNCTION("""COMPUTED_VALUE"""),"")</f>
        <v/>
      </c>
      <c r="BA180" s="2" t="str">
        <f ca="1">IFERROR(__xludf.DUMMYFUNCTION("""COMPUTED_VALUE"""),"")</f>
        <v/>
      </c>
      <c r="BB180" s="2" t="str">
        <f ca="1">IFERROR(__xludf.DUMMYFUNCTION("""COMPUTED_VALUE"""),"")</f>
        <v/>
      </c>
      <c r="BC180" s="2" t="str">
        <f ca="1">IFERROR(__xludf.DUMMYFUNCTION("""COMPUTED_VALUE"""),"")</f>
        <v/>
      </c>
      <c r="BD180" s="2" t="str">
        <f ca="1">IFERROR(__xludf.DUMMYFUNCTION("""COMPUTED_VALUE"""),"")</f>
        <v/>
      </c>
      <c r="BE180" s="2" t="str">
        <f ca="1">IFERROR(__xludf.DUMMYFUNCTION("""COMPUTED_VALUE"""),"")</f>
        <v/>
      </c>
      <c r="BF180" t="str">
        <f ca="1">IFERROR(__xludf.DUMMYFUNCTION("""COMPUTED_VALUE"""),"")</f>
        <v/>
      </c>
      <c r="BG180" t="str">
        <f ca="1">IFERROR(__xludf.DUMMYFUNCTION("""COMPUTED_VALUE"""),"")</f>
        <v/>
      </c>
      <c r="BH180" t="str">
        <f ca="1">IFERROR(__xludf.DUMMYFUNCTION("""COMPUTED_VALUE"""),"")</f>
        <v/>
      </c>
      <c r="BI180" t="str">
        <f ca="1">IFERROR(__xludf.DUMMYFUNCTION("""COMPUTED_VALUE"""),"")</f>
        <v/>
      </c>
      <c r="BJ180" s="3" t="str">
        <f ca="1">IFERROR(__xludf.DUMMYFUNCTION("""COMPUTED_VALUE"""),"")</f>
        <v/>
      </c>
    </row>
    <row r="181" spans="1:62" ht="12.5" x14ac:dyDescent="0.25">
      <c r="A181" s="6">
        <f ca="1">IFERROR(__xludf.DUMMYFUNCTION("""COMPUTED_VALUE"""),43779.9063671526)</f>
        <v>43779.906367152602</v>
      </c>
      <c r="B181" s="2" t="str">
        <f ca="1">IFERROR(__xludf.DUMMYFUNCTION("""COMPUTED_VALUE"""),"Bay of Plenty")</f>
        <v>Bay of Plenty</v>
      </c>
      <c r="C181" s="2" t="str">
        <f ca="1">IFERROR(__xludf.DUMMYFUNCTION("""COMPUTED_VALUE"""),"Tx 54")</f>
        <v>Tx 54</v>
      </c>
      <c r="D181" s="10">
        <f ca="1">IFERROR(__xludf.DUMMYFUNCTION("""COMPUTED_VALUE"""),43769)</f>
        <v>43769</v>
      </c>
      <c r="E181" s="4">
        <f ca="1">IFERROR(__xludf.DUMMYFUNCTION("""COMPUTED_VALUE"""),0.798611111109494)</f>
        <v>0.79861111110949401</v>
      </c>
      <c r="F181" s="2" t="str">
        <f ca="1">IFERROR(__xludf.DUMMYFUNCTION("""COMPUTED_VALUE"""),"Little Waihi")</f>
        <v>Little Waihi</v>
      </c>
      <c r="G181" s="2" t="str">
        <f ca="1">IFERROR(__xludf.DUMMYFUNCTION("""COMPUTED_VALUE"""),"VHF (close approach): I followed the signal until I got within 50 m of the bird")</f>
        <v>VHF (close approach): I followed the signal until I got within 50 m of the bird</v>
      </c>
      <c r="H181" s="2" t="str">
        <f ca="1">IFERROR(__xludf.DUMMYFUNCTION("""COMPUTED_VALUE"""),"")</f>
        <v/>
      </c>
      <c r="I181" s="2" t="str">
        <f ca="1">IFERROR(__xludf.DUMMYFUNCTION("""COMPUTED_VALUE"""),"")</f>
        <v/>
      </c>
      <c r="J181" s="2" t="str">
        <f ca="1">IFERROR(__xludf.DUMMYFUNCTION("""COMPUTED_VALUE"""),"")</f>
        <v/>
      </c>
      <c r="K181" s="2" t="str">
        <f ca="1">IFERROR(__xludf.DUMMYFUNCTION("""COMPUTED_VALUE"""),"")</f>
        <v/>
      </c>
      <c r="L181" s="2" t="str">
        <f ca="1">IFERROR(__xludf.DUMMYFUNCTION("""COMPUTED_VALUE"""),"No - I got very close to the bird but it was well hidden in the vegetation")</f>
        <v>No - I got very close to the bird but it was well hidden in the vegetation</v>
      </c>
      <c r="M181" s="5">
        <f ca="1">IFERROR(__xludf.DUMMYFUNCTION("""COMPUTED_VALUE"""),1907071)</f>
        <v>1907071</v>
      </c>
      <c r="N181" s="5">
        <f ca="1">IFERROR(__xludf.DUMMYFUNCTION("""COMPUTED_VALUE"""),5813126)</f>
        <v>5813126</v>
      </c>
      <c r="O181" s="2" t="str">
        <f ca="1">IFERROR(__xludf.DUMMYFUNCTION("""COMPUTED_VALUE"""),"")</f>
        <v/>
      </c>
      <c r="P181" s="2" t="str">
        <f ca="1">IFERROR(__xludf.DUMMYFUNCTION("""COMPUTED_VALUE"""),"")</f>
        <v/>
      </c>
      <c r="Q181" s="2" t="str">
        <f ca="1">IFERROR(__xludf.DUMMYFUNCTION("""COMPUTED_VALUE"""),"Wet")</f>
        <v>Wet</v>
      </c>
      <c r="R181" s="2" t="str">
        <f ca="1">IFERROR(__xludf.DUMMYFUNCTION("""COMPUTED_VALUE"""),"don't know")</f>
        <v>don't know</v>
      </c>
      <c r="S181" s="2" t="str">
        <f ca="1">IFERROR(__xludf.DUMMYFUNCTION("""COMPUTED_VALUE"""),"&lt; 20")</f>
        <v>&lt; 20</v>
      </c>
      <c r="T181" s="2" t="str">
        <f ca="1">IFERROR(__xludf.DUMMYFUNCTION("""COMPUTED_VALUE"""),"don't know")</f>
        <v>don't know</v>
      </c>
      <c r="U181" s="2" t="str">
        <f ca="1">IFERROR(__xludf.DUMMYFUNCTION("""COMPUTED_VALUE"""),"western WMR")</f>
        <v>western WMR</v>
      </c>
      <c r="V181" s="2" t="str">
        <f ca="1">IFERROR(__xludf.DUMMYFUNCTION("""COMPUTED_VALUE"""),"")</f>
        <v/>
      </c>
      <c r="W181" s="2" t="str">
        <f ca="1">IFERROR(__xludf.DUMMYFUNCTION("""COMPUTED_VALUE"""),"")</f>
        <v/>
      </c>
      <c r="X181" s="2" t="str">
        <f ca="1">IFERROR(__xludf.DUMMYFUNCTION("""COMPUTED_VALUE"""),"")</f>
        <v/>
      </c>
      <c r="Y181" s="2" t="str">
        <f ca="1">IFERROR(__xludf.DUMMYFUNCTION("""COMPUTED_VALUE"""),"")</f>
        <v/>
      </c>
      <c r="Z181" s="2" t="str">
        <f ca="1">IFERROR(__xludf.DUMMYFUNCTION("""COMPUTED_VALUE"""),"")</f>
        <v/>
      </c>
      <c r="AA181" s="2" t="str">
        <f ca="1">IFERROR(__xludf.DUMMYFUNCTION("""COMPUTED_VALUE"""),"")</f>
        <v/>
      </c>
      <c r="AB181" s="2" t="str">
        <f ca="1">IFERROR(__xludf.DUMMYFUNCTION("""COMPUTED_VALUE"""),"")</f>
        <v/>
      </c>
      <c r="AC181" s="2" t="str">
        <f ca="1">IFERROR(__xludf.DUMMYFUNCTION("""COMPUTED_VALUE"""),"")</f>
        <v/>
      </c>
      <c r="AD181" s="2" t="str">
        <f ca="1">IFERROR(__xludf.DUMMYFUNCTION("""COMPUTED_VALUE"""),"")</f>
        <v/>
      </c>
      <c r="AE181" s="2" t="str">
        <f ca="1">IFERROR(__xludf.DUMMYFUNCTION("""COMPUTED_VALUE"""),"")</f>
        <v/>
      </c>
      <c r="AF181" s="2" t="str">
        <f ca="1">IFERROR(__xludf.DUMMYFUNCTION("""COMPUTED_VALUE"""),"")</f>
        <v/>
      </c>
      <c r="AG181" s="2" t="str">
        <f ca="1">IFERROR(__xludf.DUMMYFUNCTION("""COMPUTED_VALUE"""),"")</f>
        <v/>
      </c>
      <c r="AH181" s="2" t="str">
        <f ca="1">IFERROR(__xludf.DUMMYFUNCTION("""COMPUTED_VALUE"""),"")</f>
        <v/>
      </c>
      <c r="AI181" s="2" t="str">
        <f ca="1">IFERROR(__xludf.DUMMYFUNCTION("""COMPUTED_VALUE"""),"")</f>
        <v/>
      </c>
      <c r="AJ181" s="2" t="str">
        <f ca="1">IFERROR(__xludf.DUMMYFUNCTION("""COMPUTED_VALUE"""),"")</f>
        <v/>
      </c>
      <c r="AK181" s="2" t="str">
        <f ca="1">IFERROR(__xludf.DUMMYFUNCTION("""COMPUTED_VALUE"""),"")</f>
        <v/>
      </c>
      <c r="AL181" s="2" t="str">
        <f ca="1">IFERROR(__xludf.DUMMYFUNCTION("""COMPUTED_VALUE"""),"")</f>
        <v/>
      </c>
      <c r="AM181" s="2" t="str">
        <f ca="1">IFERROR(__xludf.DUMMYFUNCTION("""COMPUTED_VALUE"""),"")</f>
        <v/>
      </c>
      <c r="AN181" s="2" t="str">
        <f ca="1">IFERROR(__xludf.DUMMYFUNCTION("""COMPUTED_VALUE"""),"")</f>
        <v/>
      </c>
      <c r="AO181" s="2" t="str">
        <f ca="1">IFERROR(__xludf.DUMMYFUNCTION("""COMPUTED_VALUE"""),"")</f>
        <v/>
      </c>
      <c r="AP181" s="2" t="str">
        <f ca="1">IFERROR(__xludf.DUMMYFUNCTION("""COMPUTED_VALUE"""),"")</f>
        <v/>
      </c>
      <c r="AQ181" s="2" t="str">
        <f ca="1">IFERROR(__xludf.DUMMYFUNCTION("""COMPUTED_VALUE"""),"")</f>
        <v/>
      </c>
      <c r="AR181" s="2" t="str">
        <f ca="1">IFERROR(__xludf.DUMMYFUNCTION("""COMPUTED_VALUE"""),"")</f>
        <v/>
      </c>
      <c r="AS181" s="2" t="str">
        <f ca="1">IFERROR(__xludf.DUMMYFUNCTION("""COMPUTED_VALUE"""),"")</f>
        <v/>
      </c>
      <c r="AT181" s="2" t="str">
        <f ca="1">IFERROR(__xludf.DUMMYFUNCTION("""COMPUTED_VALUE"""),"")</f>
        <v/>
      </c>
      <c r="AU181" s="2" t="str">
        <f ca="1">IFERROR(__xludf.DUMMYFUNCTION("""COMPUTED_VALUE"""),"")</f>
        <v/>
      </c>
      <c r="AV181" s="2" t="str">
        <f ca="1">IFERROR(__xludf.DUMMYFUNCTION("""COMPUTED_VALUE"""),"")</f>
        <v/>
      </c>
      <c r="AW181" s="2" t="str">
        <f ca="1">IFERROR(__xludf.DUMMYFUNCTION("""COMPUTED_VALUE"""),"")</f>
        <v/>
      </c>
      <c r="AX181" s="2" t="str">
        <f ca="1">IFERROR(__xludf.DUMMYFUNCTION("""COMPUTED_VALUE"""),"")</f>
        <v/>
      </c>
      <c r="AY181" s="2" t="str">
        <f ca="1">IFERROR(__xludf.DUMMYFUNCTION("""COMPUTED_VALUE"""),"")</f>
        <v/>
      </c>
      <c r="AZ181" s="2" t="str">
        <f ca="1">IFERROR(__xludf.DUMMYFUNCTION("""COMPUTED_VALUE"""),"")</f>
        <v/>
      </c>
      <c r="BA181" s="2" t="str">
        <f ca="1">IFERROR(__xludf.DUMMYFUNCTION("""COMPUTED_VALUE"""),"")</f>
        <v/>
      </c>
      <c r="BB181" s="2" t="str">
        <f ca="1">IFERROR(__xludf.DUMMYFUNCTION("""COMPUTED_VALUE"""),"")</f>
        <v/>
      </c>
      <c r="BC181" s="2" t="str">
        <f ca="1">IFERROR(__xludf.DUMMYFUNCTION("""COMPUTED_VALUE"""),"")</f>
        <v/>
      </c>
      <c r="BD181" s="2" t="str">
        <f ca="1">IFERROR(__xludf.DUMMYFUNCTION("""COMPUTED_VALUE"""),"")</f>
        <v/>
      </c>
      <c r="BE181" s="2" t="str">
        <f ca="1">IFERROR(__xludf.DUMMYFUNCTION("""COMPUTED_VALUE"""),"")</f>
        <v/>
      </c>
      <c r="BF181" t="str">
        <f ca="1">IFERROR(__xludf.DUMMYFUNCTION("""COMPUTED_VALUE"""),"")</f>
        <v/>
      </c>
      <c r="BG181" t="str">
        <f ca="1">IFERROR(__xludf.DUMMYFUNCTION("""COMPUTED_VALUE"""),"")</f>
        <v/>
      </c>
      <c r="BH181" t="str">
        <f ca="1">IFERROR(__xludf.DUMMYFUNCTION("""COMPUTED_VALUE"""),"")</f>
        <v/>
      </c>
      <c r="BI181" t="str">
        <f ca="1">IFERROR(__xludf.DUMMYFUNCTION("""COMPUTED_VALUE"""),"")</f>
        <v/>
      </c>
      <c r="BJ181" s="3" t="str">
        <f ca="1">IFERROR(__xludf.DUMMYFUNCTION("""COMPUTED_VALUE"""),"")</f>
        <v/>
      </c>
    </row>
    <row r="182" spans="1:62" ht="12.5" x14ac:dyDescent="0.25">
      <c r="A182" s="6">
        <f ca="1">IFERROR(__xludf.DUMMYFUNCTION("""COMPUTED_VALUE"""),43779.9081525231)</f>
        <v>43779.908152523101</v>
      </c>
      <c r="B182" s="2" t="str">
        <f ca="1">IFERROR(__xludf.DUMMYFUNCTION("""COMPUTED_VALUE"""),"Bay of Plenty")</f>
        <v>Bay of Plenty</v>
      </c>
      <c r="C182" s="2" t="str">
        <f ca="1">IFERROR(__xludf.DUMMYFUNCTION("""COMPUTED_VALUE"""),"Tx 54")</f>
        <v>Tx 54</v>
      </c>
      <c r="D182" s="10">
        <f ca="1">IFERROR(__xludf.DUMMYFUNCTION("""COMPUTED_VALUE"""),43769)</f>
        <v>43769</v>
      </c>
      <c r="E182" s="4">
        <f ca="1">IFERROR(__xludf.DUMMYFUNCTION("""COMPUTED_VALUE"""),0.815972222222626)</f>
        <v>0.815972222222626</v>
      </c>
      <c r="F182" s="2" t="str">
        <f ca="1">IFERROR(__xludf.DUMMYFUNCTION("""COMPUTED_VALUE"""),"Little Waihi")</f>
        <v>Little Waihi</v>
      </c>
      <c r="G182" s="2" t="str">
        <f ca="1">IFERROR(__xludf.DUMMYFUNCTION("""COMPUTED_VALUE"""),"VHF (close approach): I followed the signal until I got within 50 m of the bird")</f>
        <v>VHF (close approach): I followed the signal until I got within 50 m of the bird</v>
      </c>
      <c r="H182" s="2" t="str">
        <f ca="1">IFERROR(__xludf.DUMMYFUNCTION("""COMPUTED_VALUE"""),"")</f>
        <v/>
      </c>
      <c r="I182" s="2" t="str">
        <f ca="1">IFERROR(__xludf.DUMMYFUNCTION("""COMPUTED_VALUE"""),"")</f>
        <v/>
      </c>
      <c r="J182" s="2" t="str">
        <f ca="1">IFERROR(__xludf.DUMMYFUNCTION("""COMPUTED_VALUE"""),"")</f>
        <v/>
      </c>
      <c r="K182" s="2" t="str">
        <f ca="1">IFERROR(__xludf.DUMMYFUNCTION("""COMPUTED_VALUE"""),"")</f>
        <v/>
      </c>
      <c r="L182" s="2" t="str">
        <f ca="1">IFERROR(__xludf.DUMMYFUNCTION("""COMPUTED_VALUE"""),"No - I got very close to the bird but it was well hidden in the vegetation")</f>
        <v>No - I got very close to the bird but it was well hidden in the vegetation</v>
      </c>
      <c r="M182" s="5">
        <f ca="1">IFERROR(__xludf.DUMMYFUNCTION("""COMPUTED_VALUE"""),1907017)</f>
        <v>1907017</v>
      </c>
      <c r="N182" s="5">
        <f ca="1">IFERROR(__xludf.DUMMYFUNCTION("""COMPUTED_VALUE"""),5813126)</f>
        <v>5813126</v>
      </c>
      <c r="O182" s="2" t="str">
        <f ca="1">IFERROR(__xludf.DUMMYFUNCTION("""COMPUTED_VALUE"""),"")</f>
        <v/>
      </c>
      <c r="P182" s="2" t="str">
        <f ca="1">IFERROR(__xludf.DUMMYFUNCTION("""COMPUTED_VALUE"""),"N/A - not grazed")</f>
        <v>N/A - not grazed</v>
      </c>
      <c r="Q182" s="2" t="str">
        <f ca="1">IFERROR(__xludf.DUMMYFUNCTION("""COMPUTED_VALUE"""),"Wet")</f>
        <v>Wet</v>
      </c>
      <c r="R182" s="2" t="str">
        <f ca="1">IFERROR(__xludf.DUMMYFUNCTION("""COMPUTED_VALUE"""),"don't know")</f>
        <v>don't know</v>
      </c>
      <c r="S182" s="2" t="str">
        <f ca="1">IFERROR(__xludf.DUMMYFUNCTION("""COMPUTED_VALUE"""),"&lt; 20")</f>
        <v>&lt; 20</v>
      </c>
      <c r="T182" s="2" t="str">
        <f ca="1">IFERROR(__xludf.DUMMYFUNCTION("""COMPUTED_VALUE"""),"don't know")</f>
        <v>don't know</v>
      </c>
      <c r="U182" s="2" t="str">
        <f ca="1">IFERROR(__xludf.DUMMYFUNCTION("""COMPUTED_VALUE"""),"western WMR")</f>
        <v>western WMR</v>
      </c>
      <c r="V182" s="2" t="str">
        <f ca="1">IFERROR(__xludf.DUMMYFUNCTION("""COMPUTED_VALUE"""),"")</f>
        <v/>
      </c>
      <c r="W182" s="2" t="str">
        <f ca="1">IFERROR(__xludf.DUMMYFUNCTION("""COMPUTED_VALUE"""),"")</f>
        <v/>
      </c>
      <c r="X182" s="2" t="str">
        <f ca="1">IFERROR(__xludf.DUMMYFUNCTION("""COMPUTED_VALUE"""),"")</f>
        <v/>
      </c>
      <c r="Y182" s="2" t="str">
        <f ca="1">IFERROR(__xludf.DUMMYFUNCTION("""COMPUTED_VALUE"""),"")</f>
        <v/>
      </c>
      <c r="Z182" s="2" t="str">
        <f ca="1">IFERROR(__xludf.DUMMYFUNCTION("""COMPUTED_VALUE"""),"")</f>
        <v/>
      </c>
      <c r="AA182" s="2" t="str">
        <f ca="1">IFERROR(__xludf.DUMMYFUNCTION("""COMPUTED_VALUE"""),"")</f>
        <v/>
      </c>
      <c r="AB182" s="2" t="str">
        <f ca="1">IFERROR(__xludf.DUMMYFUNCTION("""COMPUTED_VALUE"""),"")</f>
        <v/>
      </c>
      <c r="AC182" s="2" t="str">
        <f ca="1">IFERROR(__xludf.DUMMYFUNCTION("""COMPUTED_VALUE"""),"")</f>
        <v/>
      </c>
      <c r="AD182" s="2" t="str">
        <f ca="1">IFERROR(__xludf.DUMMYFUNCTION("""COMPUTED_VALUE"""),"")</f>
        <v/>
      </c>
      <c r="AE182" s="2" t="str">
        <f ca="1">IFERROR(__xludf.DUMMYFUNCTION("""COMPUTED_VALUE"""),"")</f>
        <v/>
      </c>
      <c r="AF182" s="2" t="str">
        <f ca="1">IFERROR(__xludf.DUMMYFUNCTION("""COMPUTED_VALUE"""),"")</f>
        <v/>
      </c>
      <c r="AG182" s="2" t="str">
        <f ca="1">IFERROR(__xludf.DUMMYFUNCTION("""COMPUTED_VALUE"""),"")</f>
        <v/>
      </c>
      <c r="AH182" s="2" t="str">
        <f ca="1">IFERROR(__xludf.DUMMYFUNCTION("""COMPUTED_VALUE"""),"")</f>
        <v/>
      </c>
      <c r="AI182" s="2" t="str">
        <f ca="1">IFERROR(__xludf.DUMMYFUNCTION("""COMPUTED_VALUE"""),"")</f>
        <v/>
      </c>
      <c r="AJ182" s="2" t="str">
        <f ca="1">IFERROR(__xludf.DUMMYFUNCTION("""COMPUTED_VALUE"""),"")</f>
        <v/>
      </c>
      <c r="AK182" s="2" t="str">
        <f ca="1">IFERROR(__xludf.DUMMYFUNCTION("""COMPUTED_VALUE"""),"")</f>
        <v/>
      </c>
      <c r="AL182" s="2" t="str">
        <f ca="1">IFERROR(__xludf.DUMMYFUNCTION("""COMPUTED_VALUE"""),"")</f>
        <v/>
      </c>
      <c r="AM182" s="2" t="str">
        <f ca="1">IFERROR(__xludf.DUMMYFUNCTION("""COMPUTED_VALUE"""),"")</f>
        <v/>
      </c>
      <c r="AN182" s="2" t="str">
        <f ca="1">IFERROR(__xludf.DUMMYFUNCTION("""COMPUTED_VALUE"""),"")</f>
        <v/>
      </c>
      <c r="AO182" s="2" t="str">
        <f ca="1">IFERROR(__xludf.DUMMYFUNCTION("""COMPUTED_VALUE"""),"")</f>
        <v/>
      </c>
      <c r="AP182" s="2" t="str">
        <f ca="1">IFERROR(__xludf.DUMMYFUNCTION("""COMPUTED_VALUE"""),"")</f>
        <v/>
      </c>
      <c r="AQ182" s="2" t="str">
        <f ca="1">IFERROR(__xludf.DUMMYFUNCTION("""COMPUTED_VALUE"""),"")</f>
        <v/>
      </c>
      <c r="AR182" s="2" t="str">
        <f ca="1">IFERROR(__xludf.DUMMYFUNCTION("""COMPUTED_VALUE"""),"")</f>
        <v/>
      </c>
      <c r="AS182" s="2" t="str">
        <f ca="1">IFERROR(__xludf.DUMMYFUNCTION("""COMPUTED_VALUE"""),"")</f>
        <v/>
      </c>
      <c r="AT182" s="2" t="str">
        <f ca="1">IFERROR(__xludf.DUMMYFUNCTION("""COMPUTED_VALUE"""),"")</f>
        <v/>
      </c>
      <c r="AU182" s="2" t="str">
        <f ca="1">IFERROR(__xludf.DUMMYFUNCTION("""COMPUTED_VALUE"""),"")</f>
        <v/>
      </c>
      <c r="AV182" s="2" t="str">
        <f ca="1">IFERROR(__xludf.DUMMYFUNCTION("""COMPUTED_VALUE"""),"")</f>
        <v/>
      </c>
      <c r="AW182" s="2" t="str">
        <f ca="1">IFERROR(__xludf.DUMMYFUNCTION("""COMPUTED_VALUE"""),"")</f>
        <v/>
      </c>
      <c r="AX182" s="2" t="str">
        <f ca="1">IFERROR(__xludf.DUMMYFUNCTION("""COMPUTED_VALUE"""),"")</f>
        <v/>
      </c>
      <c r="AY182" s="2" t="str">
        <f ca="1">IFERROR(__xludf.DUMMYFUNCTION("""COMPUTED_VALUE"""),"")</f>
        <v/>
      </c>
      <c r="AZ182" s="2" t="str">
        <f ca="1">IFERROR(__xludf.DUMMYFUNCTION("""COMPUTED_VALUE"""),"")</f>
        <v/>
      </c>
      <c r="BA182" s="2" t="str">
        <f ca="1">IFERROR(__xludf.DUMMYFUNCTION("""COMPUTED_VALUE"""),"")</f>
        <v/>
      </c>
      <c r="BB182" s="2" t="str">
        <f ca="1">IFERROR(__xludf.DUMMYFUNCTION("""COMPUTED_VALUE"""),"")</f>
        <v/>
      </c>
      <c r="BC182" s="2" t="str">
        <f ca="1">IFERROR(__xludf.DUMMYFUNCTION("""COMPUTED_VALUE"""),"")</f>
        <v/>
      </c>
      <c r="BD182" s="2" t="str">
        <f ca="1">IFERROR(__xludf.DUMMYFUNCTION("""COMPUTED_VALUE"""),"")</f>
        <v/>
      </c>
      <c r="BE182" s="2" t="str">
        <f ca="1">IFERROR(__xludf.DUMMYFUNCTION("""COMPUTED_VALUE"""),"")</f>
        <v/>
      </c>
      <c r="BF182" t="str">
        <f ca="1">IFERROR(__xludf.DUMMYFUNCTION("""COMPUTED_VALUE"""),"")</f>
        <v/>
      </c>
      <c r="BG182" t="str">
        <f ca="1">IFERROR(__xludf.DUMMYFUNCTION("""COMPUTED_VALUE"""),"")</f>
        <v/>
      </c>
      <c r="BH182" t="str">
        <f ca="1">IFERROR(__xludf.DUMMYFUNCTION("""COMPUTED_VALUE"""),"")</f>
        <v/>
      </c>
      <c r="BI182" t="str">
        <f ca="1">IFERROR(__xludf.DUMMYFUNCTION("""COMPUTED_VALUE"""),"")</f>
        <v/>
      </c>
      <c r="BJ182" s="3" t="str">
        <f ca="1">IFERROR(__xludf.DUMMYFUNCTION("""COMPUTED_VALUE"""),"")</f>
        <v/>
      </c>
    </row>
    <row r="183" spans="1:62" ht="12.5" x14ac:dyDescent="0.25">
      <c r="A183" s="6">
        <f ca="1">IFERROR(__xludf.DUMMYFUNCTION("""COMPUTED_VALUE"""),43779.911574155)</f>
        <v>43779.911574154998</v>
      </c>
      <c r="B183" s="2" t="str">
        <f ca="1">IFERROR(__xludf.DUMMYFUNCTION("""COMPUTED_VALUE"""),"Bay of Plenty")</f>
        <v>Bay of Plenty</v>
      </c>
      <c r="C183" s="2" t="str">
        <f ca="1">IFERROR(__xludf.DUMMYFUNCTION("""COMPUTED_VALUE"""),"Tx 54")</f>
        <v>Tx 54</v>
      </c>
      <c r="D183" s="10">
        <f ca="1">IFERROR(__xludf.DUMMYFUNCTION("""COMPUTED_VALUE"""),43769)</f>
        <v>43769</v>
      </c>
      <c r="E183" s="4">
        <f ca="1">IFERROR(__xludf.DUMMYFUNCTION("""COMPUTED_VALUE"""),0.826388888890505)</f>
        <v>0.82638888889050499</v>
      </c>
      <c r="F183" s="2" t="str">
        <f ca="1">IFERROR(__xludf.DUMMYFUNCTION("""COMPUTED_VALUE"""),"Little Waihi")</f>
        <v>Little Waihi</v>
      </c>
      <c r="G183" s="2" t="str">
        <f ca="1">IFERROR(__xludf.DUMMYFUNCTION("""COMPUTED_VALUE"""),"VHF (close approach): I followed the signal until I got within 50 m of the bird")</f>
        <v>VHF (close approach): I followed the signal until I got within 50 m of the bird</v>
      </c>
      <c r="H183" s="2" t="str">
        <f ca="1">IFERROR(__xludf.DUMMYFUNCTION("""COMPUTED_VALUE"""),"")</f>
        <v/>
      </c>
      <c r="I183" s="2" t="str">
        <f ca="1">IFERROR(__xludf.DUMMYFUNCTION("""COMPUTED_VALUE"""),"")</f>
        <v/>
      </c>
      <c r="J183" s="2" t="str">
        <f ca="1">IFERROR(__xludf.DUMMYFUNCTION("""COMPUTED_VALUE"""),"")</f>
        <v/>
      </c>
      <c r="K183" s="2" t="str">
        <f ca="1">IFERROR(__xludf.DUMMYFUNCTION("""COMPUTED_VALUE"""),"")</f>
        <v/>
      </c>
      <c r="L183" s="2" t="str">
        <f ca="1">IFERROR(__xludf.DUMMYFUNCTION("""COMPUTED_VALUE"""),"No - I got very close to the bird but it was well hidden in the vegetation")</f>
        <v>No - I got very close to the bird but it was well hidden in the vegetation</v>
      </c>
      <c r="M183" s="5">
        <f ca="1">IFERROR(__xludf.DUMMYFUNCTION("""COMPUTED_VALUE"""),1907017)</f>
        <v>1907017</v>
      </c>
      <c r="N183" s="5">
        <f ca="1">IFERROR(__xludf.DUMMYFUNCTION("""COMPUTED_VALUE"""),5813126)</f>
        <v>5813126</v>
      </c>
      <c r="O183" s="2" t="str">
        <f ca="1">IFERROR(__xludf.DUMMYFUNCTION("""COMPUTED_VALUE"""),"")</f>
        <v/>
      </c>
      <c r="P183" s="2" t="str">
        <f ca="1">IFERROR(__xludf.DUMMYFUNCTION("""COMPUTED_VALUE"""),"N/A - not grazed")</f>
        <v>N/A - not grazed</v>
      </c>
      <c r="Q183" s="2" t="str">
        <f ca="1">IFERROR(__xludf.DUMMYFUNCTION("""COMPUTED_VALUE"""),"Wet")</f>
        <v>Wet</v>
      </c>
      <c r="R183" s="2" t="str">
        <f ca="1">IFERROR(__xludf.DUMMYFUNCTION("""COMPUTED_VALUE"""),"don't know")</f>
        <v>don't know</v>
      </c>
      <c r="S183" s="2" t="str">
        <f ca="1">IFERROR(__xludf.DUMMYFUNCTION("""COMPUTED_VALUE"""),"&lt; 20")</f>
        <v>&lt; 20</v>
      </c>
      <c r="T183" s="2" t="str">
        <f ca="1">IFERROR(__xludf.DUMMYFUNCTION("""COMPUTED_VALUE"""),"don't know")</f>
        <v>don't know</v>
      </c>
      <c r="U183" s="2" t="str">
        <f ca="1">IFERROR(__xludf.DUMMYFUNCTION("""COMPUTED_VALUE"""),"western WMR")</f>
        <v>western WMR</v>
      </c>
      <c r="V183" s="2" t="str">
        <f ca="1">IFERROR(__xludf.DUMMYFUNCTION("""COMPUTED_VALUE"""),"")</f>
        <v/>
      </c>
      <c r="W183" s="2" t="str">
        <f ca="1">IFERROR(__xludf.DUMMYFUNCTION("""COMPUTED_VALUE"""),"")</f>
        <v/>
      </c>
      <c r="X183" s="2" t="str">
        <f ca="1">IFERROR(__xludf.DUMMYFUNCTION("""COMPUTED_VALUE"""),"")</f>
        <v/>
      </c>
      <c r="Y183" s="2" t="str">
        <f ca="1">IFERROR(__xludf.DUMMYFUNCTION("""COMPUTED_VALUE"""),"")</f>
        <v/>
      </c>
      <c r="Z183" s="2" t="str">
        <f ca="1">IFERROR(__xludf.DUMMYFUNCTION("""COMPUTED_VALUE"""),"")</f>
        <v/>
      </c>
      <c r="AA183" s="2" t="str">
        <f ca="1">IFERROR(__xludf.DUMMYFUNCTION("""COMPUTED_VALUE"""),"")</f>
        <v/>
      </c>
      <c r="AB183" s="2" t="str">
        <f ca="1">IFERROR(__xludf.DUMMYFUNCTION("""COMPUTED_VALUE"""),"")</f>
        <v/>
      </c>
      <c r="AC183" s="2" t="str">
        <f ca="1">IFERROR(__xludf.DUMMYFUNCTION("""COMPUTED_VALUE"""),"")</f>
        <v/>
      </c>
      <c r="AD183" s="2" t="str">
        <f ca="1">IFERROR(__xludf.DUMMYFUNCTION("""COMPUTED_VALUE"""),"")</f>
        <v/>
      </c>
      <c r="AE183" s="2" t="str">
        <f ca="1">IFERROR(__xludf.DUMMYFUNCTION("""COMPUTED_VALUE"""),"")</f>
        <v/>
      </c>
      <c r="AF183" s="2" t="str">
        <f ca="1">IFERROR(__xludf.DUMMYFUNCTION("""COMPUTED_VALUE"""),"")</f>
        <v/>
      </c>
      <c r="AG183" s="2" t="str">
        <f ca="1">IFERROR(__xludf.DUMMYFUNCTION("""COMPUTED_VALUE"""),"")</f>
        <v/>
      </c>
      <c r="AH183" s="2" t="str">
        <f ca="1">IFERROR(__xludf.DUMMYFUNCTION("""COMPUTED_VALUE"""),"")</f>
        <v/>
      </c>
      <c r="AI183" s="2" t="str">
        <f ca="1">IFERROR(__xludf.DUMMYFUNCTION("""COMPUTED_VALUE"""),"")</f>
        <v/>
      </c>
      <c r="AJ183" s="2" t="str">
        <f ca="1">IFERROR(__xludf.DUMMYFUNCTION("""COMPUTED_VALUE"""),"")</f>
        <v/>
      </c>
      <c r="AK183" s="2" t="str">
        <f ca="1">IFERROR(__xludf.DUMMYFUNCTION("""COMPUTED_VALUE"""),"")</f>
        <v/>
      </c>
      <c r="AL183" s="2" t="str">
        <f ca="1">IFERROR(__xludf.DUMMYFUNCTION("""COMPUTED_VALUE"""),"")</f>
        <v/>
      </c>
      <c r="AM183" s="2" t="str">
        <f ca="1">IFERROR(__xludf.DUMMYFUNCTION("""COMPUTED_VALUE"""),"")</f>
        <v/>
      </c>
      <c r="AN183" s="2" t="str">
        <f ca="1">IFERROR(__xludf.DUMMYFUNCTION("""COMPUTED_VALUE"""),"")</f>
        <v/>
      </c>
      <c r="AO183" s="2" t="str">
        <f ca="1">IFERROR(__xludf.DUMMYFUNCTION("""COMPUTED_VALUE"""),"")</f>
        <v/>
      </c>
      <c r="AP183" s="2" t="str">
        <f ca="1">IFERROR(__xludf.DUMMYFUNCTION("""COMPUTED_VALUE"""),"")</f>
        <v/>
      </c>
      <c r="AQ183" s="2" t="str">
        <f ca="1">IFERROR(__xludf.DUMMYFUNCTION("""COMPUTED_VALUE"""),"")</f>
        <v/>
      </c>
      <c r="AR183" s="2" t="str">
        <f ca="1">IFERROR(__xludf.DUMMYFUNCTION("""COMPUTED_VALUE"""),"")</f>
        <v/>
      </c>
      <c r="AS183" s="2" t="str">
        <f ca="1">IFERROR(__xludf.DUMMYFUNCTION("""COMPUTED_VALUE"""),"")</f>
        <v/>
      </c>
      <c r="AT183" s="2" t="str">
        <f ca="1">IFERROR(__xludf.DUMMYFUNCTION("""COMPUTED_VALUE"""),"")</f>
        <v/>
      </c>
      <c r="AU183" s="2" t="str">
        <f ca="1">IFERROR(__xludf.DUMMYFUNCTION("""COMPUTED_VALUE"""),"")</f>
        <v/>
      </c>
      <c r="AV183" s="2" t="str">
        <f ca="1">IFERROR(__xludf.DUMMYFUNCTION("""COMPUTED_VALUE"""),"")</f>
        <v/>
      </c>
      <c r="AW183" s="2" t="str">
        <f ca="1">IFERROR(__xludf.DUMMYFUNCTION("""COMPUTED_VALUE"""),"")</f>
        <v/>
      </c>
      <c r="AX183" s="2" t="str">
        <f ca="1">IFERROR(__xludf.DUMMYFUNCTION("""COMPUTED_VALUE"""),"")</f>
        <v/>
      </c>
      <c r="AY183" s="2" t="str">
        <f ca="1">IFERROR(__xludf.DUMMYFUNCTION("""COMPUTED_VALUE"""),"")</f>
        <v/>
      </c>
      <c r="AZ183" s="2" t="str">
        <f ca="1">IFERROR(__xludf.DUMMYFUNCTION("""COMPUTED_VALUE"""),"")</f>
        <v/>
      </c>
      <c r="BA183" s="2" t="str">
        <f ca="1">IFERROR(__xludf.DUMMYFUNCTION("""COMPUTED_VALUE"""),"")</f>
        <v/>
      </c>
      <c r="BB183" s="2" t="str">
        <f ca="1">IFERROR(__xludf.DUMMYFUNCTION("""COMPUTED_VALUE"""),"")</f>
        <v/>
      </c>
      <c r="BC183" s="2" t="str">
        <f ca="1">IFERROR(__xludf.DUMMYFUNCTION("""COMPUTED_VALUE"""),"")</f>
        <v/>
      </c>
      <c r="BD183" s="2" t="str">
        <f ca="1">IFERROR(__xludf.DUMMYFUNCTION("""COMPUTED_VALUE"""),"")</f>
        <v/>
      </c>
      <c r="BE183" s="2" t="str">
        <f ca="1">IFERROR(__xludf.DUMMYFUNCTION("""COMPUTED_VALUE"""),"")</f>
        <v/>
      </c>
      <c r="BF183" t="str">
        <f ca="1">IFERROR(__xludf.DUMMYFUNCTION("""COMPUTED_VALUE"""),"")</f>
        <v/>
      </c>
      <c r="BG183" t="str">
        <f ca="1">IFERROR(__xludf.DUMMYFUNCTION("""COMPUTED_VALUE"""),"")</f>
        <v/>
      </c>
      <c r="BH183" t="str">
        <f ca="1">IFERROR(__xludf.DUMMYFUNCTION("""COMPUTED_VALUE"""),"")</f>
        <v/>
      </c>
      <c r="BI183" t="str">
        <f ca="1">IFERROR(__xludf.DUMMYFUNCTION("""COMPUTED_VALUE"""),"")</f>
        <v/>
      </c>
      <c r="BJ183" s="3" t="str">
        <f ca="1">IFERROR(__xludf.DUMMYFUNCTION("""COMPUTED_VALUE"""),"")</f>
        <v/>
      </c>
    </row>
    <row r="184" spans="1:62" ht="12.5" x14ac:dyDescent="0.25">
      <c r="A184" s="6">
        <f ca="1">IFERROR(__xludf.DUMMYFUNCTION("""COMPUTED_VALUE"""),43779.9143868402)</f>
        <v>43779.914386840202</v>
      </c>
      <c r="B184" s="2" t="str">
        <f ca="1">IFERROR(__xludf.DUMMYFUNCTION("""COMPUTED_VALUE"""),"Bay of Plenty")</f>
        <v>Bay of Plenty</v>
      </c>
      <c r="C184" s="2" t="str">
        <f ca="1">IFERROR(__xludf.DUMMYFUNCTION("""COMPUTED_VALUE"""),"Tx 54")</f>
        <v>Tx 54</v>
      </c>
      <c r="D184" s="10">
        <f ca="1">IFERROR(__xludf.DUMMYFUNCTION("""COMPUTED_VALUE"""),43769)</f>
        <v>43769</v>
      </c>
      <c r="E184" s="4">
        <f ca="1">IFERROR(__xludf.DUMMYFUNCTION("""COMPUTED_VALUE"""),0.847222222222626)</f>
        <v>0.847222222222626</v>
      </c>
      <c r="F184" s="2" t="str">
        <f ca="1">IFERROR(__xludf.DUMMYFUNCTION("""COMPUTED_VALUE"""),"Little Waihi")</f>
        <v>Little Waihi</v>
      </c>
      <c r="G184" s="2" t="str">
        <f ca="1">IFERROR(__xludf.DUMMYFUNCTION("""COMPUTED_VALUE"""),"VHF (close approach): I followed the signal until I got within 50 m of the bird")</f>
        <v>VHF (close approach): I followed the signal until I got within 50 m of the bird</v>
      </c>
      <c r="H184" s="2" t="str">
        <f ca="1">IFERROR(__xludf.DUMMYFUNCTION("""COMPUTED_VALUE"""),"")</f>
        <v/>
      </c>
      <c r="I184" s="2" t="str">
        <f ca="1">IFERROR(__xludf.DUMMYFUNCTION("""COMPUTED_VALUE"""),"")</f>
        <v/>
      </c>
      <c r="J184" s="2" t="str">
        <f ca="1">IFERROR(__xludf.DUMMYFUNCTION("""COMPUTED_VALUE"""),"")</f>
        <v/>
      </c>
      <c r="K184" s="2" t="str">
        <f ca="1">IFERROR(__xludf.DUMMYFUNCTION("""COMPUTED_VALUE"""),"")</f>
        <v/>
      </c>
      <c r="L184" s="2" t="str">
        <f ca="1">IFERROR(__xludf.DUMMYFUNCTION("""COMPUTED_VALUE"""),"No - I got very close to the bird but it was well hidden in the vegetation")</f>
        <v>No - I got very close to the bird but it was well hidden in the vegetation</v>
      </c>
      <c r="M184" s="5">
        <f ca="1">IFERROR(__xludf.DUMMYFUNCTION("""COMPUTED_VALUE"""),1907667)</f>
        <v>1907667</v>
      </c>
      <c r="N184" s="5">
        <f ca="1">IFERROR(__xludf.DUMMYFUNCTION("""COMPUTED_VALUE"""),5812873)</f>
        <v>5812873</v>
      </c>
      <c r="O184" s="2" t="str">
        <f ca="1">IFERROR(__xludf.DUMMYFUNCTION("""COMPUTED_VALUE"""),"")</f>
        <v/>
      </c>
      <c r="P184" s="2" t="str">
        <f ca="1">IFERROR(__xludf.DUMMYFUNCTION("""COMPUTED_VALUE"""),"N/A - not grazed")</f>
        <v>N/A - not grazed</v>
      </c>
      <c r="Q184" s="2" t="str">
        <f ca="1">IFERROR(__xludf.DUMMYFUNCTION("""COMPUTED_VALUE"""),"Wet")</f>
        <v>Wet</v>
      </c>
      <c r="R184" s="2" t="str">
        <f ca="1">IFERROR(__xludf.DUMMYFUNCTION("""COMPUTED_VALUE"""),"&lt; 1")</f>
        <v>&lt; 1</v>
      </c>
      <c r="S184" s="2" t="str">
        <f ca="1">IFERROR(__xludf.DUMMYFUNCTION("""COMPUTED_VALUE"""),"&lt; 20")</f>
        <v>&lt; 20</v>
      </c>
      <c r="T184" s="2" t="str">
        <f ca="1">IFERROR(__xludf.DUMMYFUNCTION("""COMPUTED_VALUE"""),"salt marsh")</f>
        <v>salt marsh</v>
      </c>
      <c r="U184" s="2" t="str">
        <f ca="1">IFERROR(__xludf.DUMMYFUNCTION("""COMPUTED_VALUE"""),"The bird relocated to the mounds in the eastern WMR just on dark. Several of the spotters saw birds flying very low just after 8.00pm.")</f>
        <v>The bird relocated to the mounds in the eastern WMR just on dark. Several of the spotters saw birds flying very low just after 8.00pm.</v>
      </c>
      <c r="V184" s="2" t="str">
        <f ca="1">IFERROR(__xludf.DUMMYFUNCTION("""COMPUTED_VALUE"""),"")</f>
        <v/>
      </c>
      <c r="W184" s="2" t="str">
        <f ca="1">IFERROR(__xludf.DUMMYFUNCTION("""COMPUTED_VALUE"""),"")</f>
        <v/>
      </c>
      <c r="X184" s="2" t="str">
        <f ca="1">IFERROR(__xludf.DUMMYFUNCTION("""COMPUTED_VALUE"""),"")</f>
        <v/>
      </c>
      <c r="Y184" s="2" t="str">
        <f ca="1">IFERROR(__xludf.DUMMYFUNCTION("""COMPUTED_VALUE"""),"")</f>
        <v/>
      </c>
      <c r="Z184" s="2" t="str">
        <f ca="1">IFERROR(__xludf.DUMMYFUNCTION("""COMPUTED_VALUE"""),"")</f>
        <v/>
      </c>
      <c r="AA184" s="2" t="str">
        <f ca="1">IFERROR(__xludf.DUMMYFUNCTION("""COMPUTED_VALUE"""),"")</f>
        <v/>
      </c>
      <c r="AB184" s="2" t="str">
        <f ca="1">IFERROR(__xludf.DUMMYFUNCTION("""COMPUTED_VALUE"""),"")</f>
        <v/>
      </c>
      <c r="AC184" s="2" t="str">
        <f ca="1">IFERROR(__xludf.DUMMYFUNCTION("""COMPUTED_VALUE"""),"")</f>
        <v/>
      </c>
      <c r="AD184" s="2" t="str">
        <f ca="1">IFERROR(__xludf.DUMMYFUNCTION("""COMPUTED_VALUE"""),"")</f>
        <v/>
      </c>
      <c r="AE184" s="2" t="str">
        <f ca="1">IFERROR(__xludf.DUMMYFUNCTION("""COMPUTED_VALUE"""),"")</f>
        <v/>
      </c>
      <c r="AF184" s="2" t="str">
        <f ca="1">IFERROR(__xludf.DUMMYFUNCTION("""COMPUTED_VALUE"""),"")</f>
        <v/>
      </c>
      <c r="AG184" s="2" t="str">
        <f ca="1">IFERROR(__xludf.DUMMYFUNCTION("""COMPUTED_VALUE"""),"")</f>
        <v/>
      </c>
      <c r="AH184" s="2" t="str">
        <f ca="1">IFERROR(__xludf.DUMMYFUNCTION("""COMPUTED_VALUE"""),"")</f>
        <v/>
      </c>
      <c r="AI184" s="2" t="str">
        <f ca="1">IFERROR(__xludf.DUMMYFUNCTION("""COMPUTED_VALUE"""),"")</f>
        <v/>
      </c>
      <c r="AJ184" s="2" t="str">
        <f ca="1">IFERROR(__xludf.DUMMYFUNCTION("""COMPUTED_VALUE"""),"")</f>
        <v/>
      </c>
      <c r="AK184" s="2" t="str">
        <f ca="1">IFERROR(__xludf.DUMMYFUNCTION("""COMPUTED_VALUE"""),"")</f>
        <v/>
      </c>
      <c r="AL184" s="2" t="str">
        <f ca="1">IFERROR(__xludf.DUMMYFUNCTION("""COMPUTED_VALUE"""),"")</f>
        <v/>
      </c>
      <c r="AM184" s="2" t="str">
        <f ca="1">IFERROR(__xludf.DUMMYFUNCTION("""COMPUTED_VALUE"""),"")</f>
        <v/>
      </c>
      <c r="AN184" s="2" t="str">
        <f ca="1">IFERROR(__xludf.DUMMYFUNCTION("""COMPUTED_VALUE"""),"")</f>
        <v/>
      </c>
      <c r="AO184" s="2" t="str">
        <f ca="1">IFERROR(__xludf.DUMMYFUNCTION("""COMPUTED_VALUE"""),"")</f>
        <v/>
      </c>
      <c r="AP184" s="2" t="str">
        <f ca="1">IFERROR(__xludf.DUMMYFUNCTION("""COMPUTED_VALUE"""),"")</f>
        <v/>
      </c>
      <c r="AQ184" s="2" t="str">
        <f ca="1">IFERROR(__xludf.DUMMYFUNCTION("""COMPUTED_VALUE"""),"")</f>
        <v/>
      </c>
      <c r="AR184" s="2" t="str">
        <f ca="1">IFERROR(__xludf.DUMMYFUNCTION("""COMPUTED_VALUE"""),"")</f>
        <v/>
      </c>
      <c r="AS184" s="2" t="str">
        <f ca="1">IFERROR(__xludf.DUMMYFUNCTION("""COMPUTED_VALUE"""),"")</f>
        <v/>
      </c>
      <c r="AT184" s="2" t="str">
        <f ca="1">IFERROR(__xludf.DUMMYFUNCTION("""COMPUTED_VALUE"""),"")</f>
        <v/>
      </c>
      <c r="AU184" s="2" t="str">
        <f ca="1">IFERROR(__xludf.DUMMYFUNCTION("""COMPUTED_VALUE"""),"")</f>
        <v/>
      </c>
      <c r="AV184" s="2" t="str">
        <f ca="1">IFERROR(__xludf.DUMMYFUNCTION("""COMPUTED_VALUE"""),"")</f>
        <v/>
      </c>
      <c r="AW184" s="2" t="str">
        <f ca="1">IFERROR(__xludf.DUMMYFUNCTION("""COMPUTED_VALUE"""),"")</f>
        <v/>
      </c>
      <c r="AX184" s="2" t="str">
        <f ca="1">IFERROR(__xludf.DUMMYFUNCTION("""COMPUTED_VALUE"""),"")</f>
        <v/>
      </c>
      <c r="AY184" s="2" t="str">
        <f ca="1">IFERROR(__xludf.DUMMYFUNCTION("""COMPUTED_VALUE"""),"")</f>
        <v/>
      </c>
      <c r="AZ184" s="2" t="str">
        <f ca="1">IFERROR(__xludf.DUMMYFUNCTION("""COMPUTED_VALUE"""),"")</f>
        <v/>
      </c>
      <c r="BA184" s="2" t="str">
        <f ca="1">IFERROR(__xludf.DUMMYFUNCTION("""COMPUTED_VALUE"""),"")</f>
        <v/>
      </c>
      <c r="BB184" s="2" t="str">
        <f ca="1">IFERROR(__xludf.DUMMYFUNCTION("""COMPUTED_VALUE"""),"")</f>
        <v/>
      </c>
      <c r="BC184" s="2" t="str">
        <f ca="1">IFERROR(__xludf.DUMMYFUNCTION("""COMPUTED_VALUE"""),"")</f>
        <v/>
      </c>
      <c r="BD184" s="2" t="str">
        <f ca="1">IFERROR(__xludf.DUMMYFUNCTION("""COMPUTED_VALUE"""),"")</f>
        <v/>
      </c>
      <c r="BE184" s="2" t="str">
        <f ca="1">IFERROR(__xludf.DUMMYFUNCTION("""COMPUTED_VALUE"""),"")</f>
        <v/>
      </c>
      <c r="BF184" t="str">
        <f ca="1">IFERROR(__xludf.DUMMYFUNCTION("""COMPUTED_VALUE"""),"")</f>
        <v/>
      </c>
      <c r="BG184" t="str">
        <f ca="1">IFERROR(__xludf.DUMMYFUNCTION("""COMPUTED_VALUE"""),"")</f>
        <v/>
      </c>
      <c r="BH184" t="str">
        <f ca="1">IFERROR(__xludf.DUMMYFUNCTION("""COMPUTED_VALUE"""),"")</f>
        <v/>
      </c>
      <c r="BI184" t="str">
        <f ca="1">IFERROR(__xludf.DUMMYFUNCTION("""COMPUTED_VALUE"""),"")</f>
        <v/>
      </c>
      <c r="BJ184" s="3" t="str">
        <f ca="1">IFERROR(__xludf.DUMMYFUNCTION("""COMPUTED_VALUE"""),"")</f>
        <v/>
      </c>
    </row>
    <row r="185" spans="1:62" ht="12.5" x14ac:dyDescent="0.25">
      <c r="A185" s="6">
        <f ca="1">IFERROR(__xludf.DUMMYFUNCTION("""COMPUTED_VALUE"""),43785.8927224537)</f>
        <v>43785.892722453696</v>
      </c>
      <c r="B185" s="2" t="str">
        <f ca="1">IFERROR(__xludf.DUMMYFUNCTION("""COMPUTED_VALUE"""),"Bay of Plenty")</f>
        <v>Bay of Plenty</v>
      </c>
      <c r="C185" s="2" t="str">
        <f ca="1">IFERROR(__xludf.DUMMYFUNCTION("""COMPUTED_VALUE"""),"Tx 54")</f>
        <v>Tx 54</v>
      </c>
      <c r="D185" s="10">
        <f ca="1">IFERROR(__xludf.DUMMYFUNCTION("""COMPUTED_VALUE"""),43785)</f>
        <v>43785</v>
      </c>
      <c r="E185" s="4">
        <f ca="1">IFERROR(__xludf.DUMMYFUNCTION("""COMPUTED_VALUE"""),0.28125)</f>
        <v>0.28125</v>
      </c>
      <c r="F185" s="2" t="str">
        <f ca="1">IFERROR(__xludf.DUMMYFUNCTION("""COMPUTED_VALUE"""),"Scott Paments")</f>
        <v>Scott Paments</v>
      </c>
      <c r="G185" s="2" t="str">
        <f ca="1">IFERROR(__xludf.DUMMYFUNCTION("""COMPUTED_VALUE"""),"VHF (close approach): I followed the signal until I got within 50 m of the bird")</f>
        <v>VHF (close approach): I followed the signal until I got within 50 m of the bird</v>
      </c>
      <c r="H185" s="2" t="str">
        <f ca="1">IFERROR(__xludf.DUMMYFUNCTION("""COMPUTED_VALUE"""),"")</f>
        <v/>
      </c>
      <c r="I185" s="2" t="str">
        <f ca="1">IFERROR(__xludf.DUMMYFUNCTION("""COMPUTED_VALUE"""),"")</f>
        <v/>
      </c>
      <c r="J185" s="2" t="str">
        <f ca="1">IFERROR(__xludf.DUMMYFUNCTION("""COMPUTED_VALUE"""),"")</f>
        <v/>
      </c>
      <c r="K185" s="2" t="str">
        <f ca="1">IFERROR(__xludf.DUMMYFUNCTION("""COMPUTED_VALUE"""),"")</f>
        <v/>
      </c>
      <c r="L185" s="2" t="str">
        <f ca="1">IFERROR(__xludf.DUMMYFUNCTION("""COMPUTED_VALUE"""),"No - I got very close to the bird but it was well hidden in the vegetation")</f>
        <v>No - I got very close to the bird but it was well hidden in the vegetation</v>
      </c>
      <c r="M185" s="5">
        <f ca="1">IFERROR(__xludf.DUMMYFUNCTION("""COMPUTED_VALUE"""),1907233)</f>
        <v>1907233</v>
      </c>
      <c r="N185" s="5">
        <f ca="1">IFERROR(__xludf.DUMMYFUNCTION("""COMPUTED_VALUE"""),5812057)</f>
        <v>5812057</v>
      </c>
      <c r="O185" s="2" t="str">
        <f ca="1">IFERROR(__xludf.DUMMYFUNCTION("""COMPUTED_VALUE"""),"")</f>
        <v/>
      </c>
      <c r="P185" s="2" t="str">
        <f ca="1">IFERROR(__xludf.DUMMYFUNCTION("""COMPUTED_VALUE"""),"Don't know")</f>
        <v>Don't know</v>
      </c>
      <c r="Q185" s="2" t="str">
        <f ca="1">IFERROR(__xludf.DUMMYFUNCTION("""COMPUTED_VALUE"""),"Don't know")</f>
        <v>Don't know</v>
      </c>
      <c r="R185" s="2" t="str">
        <f ca="1">IFERROR(__xludf.DUMMYFUNCTION("""COMPUTED_VALUE"""),"dont know")</f>
        <v>dont know</v>
      </c>
      <c r="S185" s="2" t="str">
        <f ca="1">IFERROR(__xludf.DUMMYFUNCTION("""COMPUTED_VALUE"""),"dont know")</f>
        <v>dont know</v>
      </c>
      <c r="T185" s="2" t="str">
        <f ca="1">IFERROR(__xludf.DUMMYFUNCTION("""COMPUTED_VALUE"""),"willow wetland/farm edge")</f>
        <v>willow wetland/farm edge</v>
      </c>
      <c r="U185" s="2" t="str">
        <f ca="1">IFERROR(__xludf.DUMMYFUNCTION("""COMPUTED_VALUE"""),"monitored from bevs house 6pm not detected. melv and karl triangulated bird from cutwater &amp; wharere rd. email from bev to say he was back in saltmarsh at 8pm. ")</f>
        <v xml:space="preserve">monitored from bevs house 6pm not detected. melv and karl triangulated bird from cutwater &amp; wharere rd. email from bev to say he was back in saltmarsh at 8pm. </v>
      </c>
      <c r="V185" s="2" t="str">
        <f ca="1">IFERROR(__xludf.DUMMYFUNCTION("""COMPUTED_VALUE"""),"")</f>
        <v/>
      </c>
      <c r="W185" s="2" t="str">
        <f ca="1">IFERROR(__xludf.DUMMYFUNCTION("""COMPUTED_VALUE"""),"")</f>
        <v/>
      </c>
      <c r="X185" s="2" t="str">
        <f ca="1">IFERROR(__xludf.DUMMYFUNCTION("""COMPUTED_VALUE"""),"")</f>
        <v/>
      </c>
      <c r="Y185" s="2" t="str">
        <f ca="1">IFERROR(__xludf.DUMMYFUNCTION("""COMPUTED_VALUE"""),"")</f>
        <v/>
      </c>
      <c r="Z185" s="2" t="str">
        <f ca="1">IFERROR(__xludf.DUMMYFUNCTION("""COMPUTED_VALUE"""),"")</f>
        <v/>
      </c>
      <c r="AA185" s="2" t="str">
        <f ca="1">IFERROR(__xludf.DUMMYFUNCTION("""COMPUTED_VALUE"""),"")</f>
        <v/>
      </c>
      <c r="AB185" s="2" t="str">
        <f ca="1">IFERROR(__xludf.DUMMYFUNCTION("""COMPUTED_VALUE"""),"")</f>
        <v/>
      </c>
      <c r="AC185" s="2" t="str">
        <f ca="1">IFERROR(__xludf.DUMMYFUNCTION("""COMPUTED_VALUE"""),"")</f>
        <v/>
      </c>
      <c r="AD185" s="2" t="str">
        <f ca="1">IFERROR(__xludf.DUMMYFUNCTION("""COMPUTED_VALUE"""),"")</f>
        <v/>
      </c>
      <c r="AE185" s="2" t="str">
        <f ca="1">IFERROR(__xludf.DUMMYFUNCTION("""COMPUTED_VALUE"""),"")</f>
        <v/>
      </c>
      <c r="AF185" s="2" t="str">
        <f ca="1">IFERROR(__xludf.DUMMYFUNCTION("""COMPUTED_VALUE"""),"")</f>
        <v/>
      </c>
      <c r="AG185" s="2" t="str">
        <f ca="1">IFERROR(__xludf.DUMMYFUNCTION("""COMPUTED_VALUE"""),"")</f>
        <v/>
      </c>
      <c r="AH185" s="2" t="str">
        <f ca="1">IFERROR(__xludf.DUMMYFUNCTION("""COMPUTED_VALUE"""),"")</f>
        <v/>
      </c>
      <c r="AI185" s="2" t="str">
        <f ca="1">IFERROR(__xludf.DUMMYFUNCTION("""COMPUTED_VALUE"""),"")</f>
        <v/>
      </c>
      <c r="AJ185" s="2" t="str">
        <f ca="1">IFERROR(__xludf.DUMMYFUNCTION("""COMPUTED_VALUE"""),"")</f>
        <v/>
      </c>
      <c r="AK185" s="2" t="str">
        <f ca="1">IFERROR(__xludf.DUMMYFUNCTION("""COMPUTED_VALUE"""),"")</f>
        <v/>
      </c>
      <c r="AL185" s="2" t="str">
        <f ca="1">IFERROR(__xludf.DUMMYFUNCTION("""COMPUTED_VALUE"""),"")</f>
        <v/>
      </c>
      <c r="AM185" s="2" t="str">
        <f ca="1">IFERROR(__xludf.DUMMYFUNCTION("""COMPUTED_VALUE"""),"")</f>
        <v/>
      </c>
      <c r="AN185" s="2" t="str">
        <f ca="1">IFERROR(__xludf.DUMMYFUNCTION("""COMPUTED_VALUE"""),"")</f>
        <v/>
      </c>
      <c r="AO185" s="2" t="str">
        <f ca="1">IFERROR(__xludf.DUMMYFUNCTION("""COMPUTED_VALUE"""),"")</f>
        <v/>
      </c>
      <c r="AP185" s="2" t="str">
        <f ca="1">IFERROR(__xludf.DUMMYFUNCTION("""COMPUTED_VALUE"""),"")</f>
        <v/>
      </c>
      <c r="AQ185" s="2" t="str">
        <f ca="1">IFERROR(__xludf.DUMMYFUNCTION("""COMPUTED_VALUE"""),"")</f>
        <v/>
      </c>
      <c r="AR185" s="2" t="str">
        <f ca="1">IFERROR(__xludf.DUMMYFUNCTION("""COMPUTED_VALUE"""),"")</f>
        <v/>
      </c>
      <c r="AS185" s="2" t="str">
        <f ca="1">IFERROR(__xludf.DUMMYFUNCTION("""COMPUTED_VALUE"""),"")</f>
        <v/>
      </c>
      <c r="AT185" s="2" t="str">
        <f ca="1">IFERROR(__xludf.DUMMYFUNCTION("""COMPUTED_VALUE"""),"")</f>
        <v/>
      </c>
      <c r="AU185" s="2" t="str">
        <f ca="1">IFERROR(__xludf.DUMMYFUNCTION("""COMPUTED_VALUE"""),"")</f>
        <v/>
      </c>
      <c r="AV185" s="2" t="str">
        <f ca="1">IFERROR(__xludf.DUMMYFUNCTION("""COMPUTED_VALUE"""),"")</f>
        <v/>
      </c>
      <c r="AW185" s="2" t="str">
        <f ca="1">IFERROR(__xludf.DUMMYFUNCTION("""COMPUTED_VALUE"""),"")</f>
        <v/>
      </c>
      <c r="AX185" s="2" t="str">
        <f ca="1">IFERROR(__xludf.DUMMYFUNCTION("""COMPUTED_VALUE"""),"")</f>
        <v/>
      </c>
      <c r="AY185" s="2" t="str">
        <f ca="1">IFERROR(__xludf.DUMMYFUNCTION("""COMPUTED_VALUE"""),"")</f>
        <v/>
      </c>
      <c r="AZ185" s="2" t="str">
        <f ca="1">IFERROR(__xludf.DUMMYFUNCTION("""COMPUTED_VALUE"""),"")</f>
        <v/>
      </c>
      <c r="BA185" s="2" t="str">
        <f ca="1">IFERROR(__xludf.DUMMYFUNCTION("""COMPUTED_VALUE"""),"")</f>
        <v/>
      </c>
      <c r="BB185" s="2" t="str">
        <f ca="1">IFERROR(__xludf.DUMMYFUNCTION("""COMPUTED_VALUE"""),"")</f>
        <v/>
      </c>
      <c r="BC185" s="2" t="str">
        <f ca="1">IFERROR(__xludf.DUMMYFUNCTION("""COMPUTED_VALUE"""),"")</f>
        <v/>
      </c>
      <c r="BD185" s="2" t="str">
        <f ca="1">IFERROR(__xludf.DUMMYFUNCTION("""COMPUTED_VALUE"""),"")</f>
        <v/>
      </c>
      <c r="BE185" s="2" t="str">
        <f ca="1">IFERROR(__xludf.DUMMYFUNCTION("""COMPUTED_VALUE"""),"")</f>
        <v/>
      </c>
      <c r="BF185" t="str">
        <f ca="1">IFERROR(__xludf.DUMMYFUNCTION("""COMPUTED_VALUE"""),"")</f>
        <v/>
      </c>
      <c r="BG185" t="str">
        <f ca="1">IFERROR(__xludf.DUMMYFUNCTION("""COMPUTED_VALUE"""),"")</f>
        <v/>
      </c>
      <c r="BH185" t="str">
        <f ca="1">IFERROR(__xludf.DUMMYFUNCTION("""COMPUTED_VALUE"""),"")</f>
        <v/>
      </c>
      <c r="BI185" t="str">
        <f ca="1">IFERROR(__xludf.DUMMYFUNCTION("""COMPUTED_VALUE"""),"")</f>
        <v/>
      </c>
      <c r="BJ185" s="3" t="str">
        <f ca="1">IFERROR(__xludf.DUMMYFUNCTION("""COMPUTED_VALUE"""),"")</f>
        <v/>
      </c>
    </row>
    <row r="186" spans="1:62" ht="12.5" x14ac:dyDescent="0.25">
      <c r="A186" s="6">
        <f ca="1">IFERROR(__xludf.DUMMYFUNCTION("""COMPUTED_VALUE"""),43785.8958860532)</f>
        <v>43785.8958860532</v>
      </c>
      <c r="B186" s="2" t="str">
        <f ca="1">IFERROR(__xludf.DUMMYFUNCTION("""COMPUTED_VALUE"""),"Bay of Plenty")</f>
        <v>Bay of Plenty</v>
      </c>
      <c r="C186" s="2" t="str">
        <f ca="1">IFERROR(__xludf.DUMMYFUNCTION("""COMPUTED_VALUE"""),"Tx 54")</f>
        <v>Tx 54</v>
      </c>
      <c r="D186" s="10">
        <f ca="1">IFERROR(__xludf.DUMMYFUNCTION("""COMPUTED_VALUE"""),43776)</f>
        <v>43776</v>
      </c>
      <c r="E186" s="4">
        <f ca="1">IFERROR(__xludf.DUMMYFUNCTION("""COMPUTED_VALUE"""),0.45833333333212)</f>
        <v>0.45833333333212001</v>
      </c>
      <c r="F186" s="2" t="str">
        <f ca="1">IFERROR(__xludf.DUMMYFUNCTION("""COMPUTED_VALUE"""),"Cutwater rd saltmarsh ")</f>
        <v xml:space="preserve">Cutwater rd saltmarsh </v>
      </c>
      <c r="G186" s="2" t="str">
        <f ca="1">IFERROR(__xludf.DUMMYFUNCTION("""COMPUTED_VALUE"""),"VHF (close approach): I followed the signal until I got within 50 m of the bird")</f>
        <v>VHF (close approach): I followed the signal until I got within 50 m of the bird</v>
      </c>
      <c r="H186" s="2" t="str">
        <f ca="1">IFERROR(__xludf.DUMMYFUNCTION("""COMPUTED_VALUE"""),"")</f>
        <v/>
      </c>
      <c r="I186" s="2" t="str">
        <f ca="1">IFERROR(__xludf.DUMMYFUNCTION("""COMPUTED_VALUE"""),"")</f>
        <v/>
      </c>
      <c r="J186" s="2" t="str">
        <f ca="1">IFERROR(__xludf.DUMMYFUNCTION("""COMPUTED_VALUE"""),"")</f>
        <v/>
      </c>
      <c r="K186" s="2" t="str">
        <f ca="1">IFERROR(__xludf.DUMMYFUNCTION("""COMPUTED_VALUE"""),"")</f>
        <v/>
      </c>
      <c r="L186" s="2" t="str">
        <f ca="1">IFERROR(__xludf.DUMMYFUNCTION("""COMPUTED_VALUE"""),"Yes - it flushed")</f>
        <v>Yes - it flushed</v>
      </c>
      <c r="M186" s="5">
        <f ca="1">IFERROR(__xludf.DUMMYFUNCTION("""COMPUTED_VALUE"""),1907536)</f>
        <v>1907536</v>
      </c>
      <c r="N186" s="5">
        <f ca="1">IFERROR(__xludf.DUMMYFUNCTION("""COMPUTED_VALUE"""),5812950)</f>
        <v>5812950</v>
      </c>
      <c r="O186" s="2" t="str">
        <f ca="1">IFERROR(__xludf.DUMMYFUNCTION("""COMPUTED_VALUE"""),"")</f>
        <v/>
      </c>
      <c r="P186" s="2" t="str">
        <f ca="1">IFERROR(__xludf.DUMMYFUNCTION("""COMPUTED_VALUE"""),"No")</f>
        <v>No</v>
      </c>
      <c r="Q186" s="2" t="str">
        <f ca="1">IFERROR(__xludf.DUMMYFUNCTION("""COMPUTED_VALUE"""),"Don't know")</f>
        <v>Don't know</v>
      </c>
      <c r="R186" s="2" t="str">
        <f ca="1">IFERROR(__xludf.DUMMYFUNCTION("""COMPUTED_VALUE"""),"dont know")</f>
        <v>dont know</v>
      </c>
      <c r="S186" s="2" t="str">
        <f ca="1">IFERROR(__xludf.DUMMYFUNCTION("""COMPUTED_VALUE"""),"dont know")</f>
        <v>dont know</v>
      </c>
      <c r="T186" s="2" t="str">
        <f ca="1">IFERROR(__xludf.DUMMYFUNCTION("""COMPUTED_VALUE"""),"saltmarsh")</f>
        <v>saltmarsh</v>
      </c>
      <c r="U186" s="2" t="str">
        <f ca="1">IFERROR(__xludf.DUMMYFUNCTION("""COMPUTED_VALUE"""),"Single bird seen leaving aprx 1907569.97  5812793.9 (did not have transmitter out at this stage so dont know if marked bird or not) and flying into saltmarsh at (point entered) 1907536.69   5812950.87 aproximatley 30-45mins later melv &amp; Karl went for a fi"&amp;"x on 54 who with another bird flushed from same/simlar location bird described earlyer landed. the two birds flew further back into the saltmarsh @ 1907441.99  5813181.21")</f>
        <v>Single bird seen leaving aprx 1907569.97  5812793.9 (did not have transmitter out at this stage so dont know if marked bird or not) and flying into saltmarsh at (point entered) 1907536.69   5812950.87 aproximatley 30-45mins later melv &amp; Karl went for a fix on 54 who with another bird flushed from same/simlar location bird described earlyer landed. the two birds flew further back into the saltmarsh @ 1907441.99  5813181.21</v>
      </c>
      <c r="V186" s="2" t="str">
        <f ca="1">IFERROR(__xludf.DUMMYFUNCTION("""COMPUTED_VALUE"""),"")</f>
        <v/>
      </c>
      <c r="W186" s="2" t="str">
        <f ca="1">IFERROR(__xludf.DUMMYFUNCTION("""COMPUTED_VALUE"""),"")</f>
        <v/>
      </c>
      <c r="X186" s="2" t="str">
        <f ca="1">IFERROR(__xludf.DUMMYFUNCTION("""COMPUTED_VALUE"""),"")</f>
        <v/>
      </c>
      <c r="Y186" s="2" t="str">
        <f ca="1">IFERROR(__xludf.DUMMYFUNCTION("""COMPUTED_VALUE"""),"")</f>
        <v/>
      </c>
      <c r="Z186" s="2" t="str">
        <f ca="1">IFERROR(__xludf.DUMMYFUNCTION("""COMPUTED_VALUE"""),"")</f>
        <v/>
      </c>
      <c r="AA186" s="2" t="str">
        <f ca="1">IFERROR(__xludf.DUMMYFUNCTION("""COMPUTED_VALUE"""),"")</f>
        <v/>
      </c>
      <c r="AB186" s="2" t="str">
        <f ca="1">IFERROR(__xludf.DUMMYFUNCTION("""COMPUTED_VALUE"""),"")</f>
        <v/>
      </c>
      <c r="AC186" s="2" t="str">
        <f ca="1">IFERROR(__xludf.DUMMYFUNCTION("""COMPUTED_VALUE"""),"")</f>
        <v/>
      </c>
      <c r="AD186" s="2" t="str">
        <f ca="1">IFERROR(__xludf.DUMMYFUNCTION("""COMPUTED_VALUE"""),"")</f>
        <v/>
      </c>
      <c r="AE186" s="2" t="str">
        <f ca="1">IFERROR(__xludf.DUMMYFUNCTION("""COMPUTED_VALUE"""),"")</f>
        <v/>
      </c>
      <c r="AF186" s="2" t="str">
        <f ca="1">IFERROR(__xludf.DUMMYFUNCTION("""COMPUTED_VALUE"""),"")</f>
        <v/>
      </c>
      <c r="AG186" s="2" t="str">
        <f ca="1">IFERROR(__xludf.DUMMYFUNCTION("""COMPUTED_VALUE"""),"")</f>
        <v/>
      </c>
      <c r="AH186" s="2" t="str">
        <f ca="1">IFERROR(__xludf.DUMMYFUNCTION("""COMPUTED_VALUE"""),"")</f>
        <v/>
      </c>
      <c r="AI186" s="2" t="str">
        <f ca="1">IFERROR(__xludf.DUMMYFUNCTION("""COMPUTED_VALUE"""),"")</f>
        <v/>
      </c>
      <c r="AJ186" s="2" t="str">
        <f ca="1">IFERROR(__xludf.DUMMYFUNCTION("""COMPUTED_VALUE"""),"")</f>
        <v/>
      </c>
      <c r="AK186" s="2" t="str">
        <f ca="1">IFERROR(__xludf.DUMMYFUNCTION("""COMPUTED_VALUE"""),"")</f>
        <v/>
      </c>
      <c r="AL186" s="2" t="str">
        <f ca="1">IFERROR(__xludf.DUMMYFUNCTION("""COMPUTED_VALUE"""),"")</f>
        <v/>
      </c>
      <c r="AM186" s="2" t="str">
        <f ca="1">IFERROR(__xludf.DUMMYFUNCTION("""COMPUTED_VALUE"""),"")</f>
        <v/>
      </c>
      <c r="AN186" s="2" t="str">
        <f ca="1">IFERROR(__xludf.DUMMYFUNCTION("""COMPUTED_VALUE"""),"")</f>
        <v/>
      </c>
      <c r="AO186" s="2" t="str">
        <f ca="1">IFERROR(__xludf.DUMMYFUNCTION("""COMPUTED_VALUE"""),"")</f>
        <v/>
      </c>
      <c r="AP186" s="2" t="str">
        <f ca="1">IFERROR(__xludf.DUMMYFUNCTION("""COMPUTED_VALUE"""),"")</f>
        <v/>
      </c>
      <c r="AQ186" s="2" t="str">
        <f ca="1">IFERROR(__xludf.DUMMYFUNCTION("""COMPUTED_VALUE"""),"")</f>
        <v/>
      </c>
      <c r="AR186" s="2" t="str">
        <f ca="1">IFERROR(__xludf.DUMMYFUNCTION("""COMPUTED_VALUE"""),"")</f>
        <v/>
      </c>
      <c r="AS186" s="2" t="str">
        <f ca="1">IFERROR(__xludf.DUMMYFUNCTION("""COMPUTED_VALUE"""),"")</f>
        <v/>
      </c>
      <c r="AT186" s="2" t="str">
        <f ca="1">IFERROR(__xludf.DUMMYFUNCTION("""COMPUTED_VALUE"""),"")</f>
        <v/>
      </c>
      <c r="AU186" s="2" t="str">
        <f ca="1">IFERROR(__xludf.DUMMYFUNCTION("""COMPUTED_VALUE"""),"")</f>
        <v/>
      </c>
      <c r="AV186" s="2" t="str">
        <f ca="1">IFERROR(__xludf.DUMMYFUNCTION("""COMPUTED_VALUE"""),"")</f>
        <v/>
      </c>
      <c r="AW186" s="2" t="str">
        <f ca="1">IFERROR(__xludf.DUMMYFUNCTION("""COMPUTED_VALUE"""),"")</f>
        <v/>
      </c>
      <c r="AX186" s="2" t="str">
        <f ca="1">IFERROR(__xludf.DUMMYFUNCTION("""COMPUTED_VALUE"""),"")</f>
        <v/>
      </c>
      <c r="AY186" s="2" t="str">
        <f ca="1">IFERROR(__xludf.DUMMYFUNCTION("""COMPUTED_VALUE"""),"")</f>
        <v/>
      </c>
      <c r="AZ186" s="2" t="str">
        <f ca="1">IFERROR(__xludf.DUMMYFUNCTION("""COMPUTED_VALUE"""),"")</f>
        <v/>
      </c>
      <c r="BA186" s="2" t="str">
        <f ca="1">IFERROR(__xludf.DUMMYFUNCTION("""COMPUTED_VALUE"""),"")</f>
        <v/>
      </c>
      <c r="BB186" s="2" t="str">
        <f ca="1">IFERROR(__xludf.DUMMYFUNCTION("""COMPUTED_VALUE"""),"")</f>
        <v/>
      </c>
      <c r="BC186" s="2" t="str">
        <f ca="1">IFERROR(__xludf.DUMMYFUNCTION("""COMPUTED_VALUE"""),"")</f>
        <v/>
      </c>
      <c r="BD186" s="2" t="str">
        <f ca="1">IFERROR(__xludf.DUMMYFUNCTION("""COMPUTED_VALUE"""),"")</f>
        <v/>
      </c>
      <c r="BE186" s="2" t="str">
        <f ca="1">IFERROR(__xludf.DUMMYFUNCTION("""COMPUTED_VALUE"""),"")</f>
        <v/>
      </c>
      <c r="BF186" t="str">
        <f ca="1">IFERROR(__xludf.DUMMYFUNCTION("""COMPUTED_VALUE"""),"")</f>
        <v/>
      </c>
      <c r="BG186" t="str">
        <f ca="1">IFERROR(__xludf.DUMMYFUNCTION("""COMPUTED_VALUE"""),"")</f>
        <v/>
      </c>
      <c r="BH186" t="str">
        <f ca="1">IFERROR(__xludf.DUMMYFUNCTION("""COMPUTED_VALUE"""),"")</f>
        <v/>
      </c>
      <c r="BI186" t="str">
        <f ca="1">IFERROR(__xludf.DUMMYFUNCTION("""COMPUTED_VALUE"""),"")</f>
        <v/>
      </c>
      <c r="BJ186" s="3" t="str">
        <f ca="1">IFERROR(__xludf.DUMMYFUNCTION("""COMPUTED_VALUE"""),"")</f>
        <v/>
      </c>
    </row>
    <row r="187" spans="1:62" ht="12.5" x14ac:dyDescent="0.25">
      <c r="A187" s="6">
        <f ca="1">IFERROR(__xludf.DUMMYFUNCTION("""COMPUTED_VALUE"""),43785.9040285648)</f>
        <v>43785.904028564801</v>
      </c>
      <c r="B187" s="2" t="str">
        <f ca="1">IFERROR(__xludf.DUMMYFUNCTION("""COMPUTED_VALUE"""),"Bay of Plenty")</f>
        <v>Bay of Plenty</v>
      </c>
      <c r="C187" s="2" t="str">
        <f ca="1">IFERROR(__xludf.DUMMYFUNCTION("""COMPUTED_VALUE"""),"Tx 54")</f>
        <v>Tx 54</v>
      </c>
      <c r="D187" s="10">
        <f ca="1">IFERROR(__xludf.DUMMYFUNCTION("""COMPUTED_VALUE"""),43770)</f>
        <v>43770</v>
      </c>
      <c r="E187" s="4">
        <f ca="1">IFERROR(__xludf.DUMMYFUNCTION("""COMPUTED_VALUE"""),0.3125)</f>
        <v>0.3125</v>
      </c>
      <c r="F187" s="2" t="str">
        <f ca="1">IFERROR(__xludf.DUMMYFUNCTION("""COMPUTED_VALUE"""),"Cutwater rd saltmarsh")</f>
        <v>Cutwater rd saltmarsh</v>
      </c>
      <c r="G187" s="2" t="str">
        <f ca="1">IFERROR(__xludf.DUMMYFUNCTION("""COMPUTED_VALUE"""),"VHF (close approach): I followed the signal until I got within 50 m of the bird")</f>
        <v>VHF (close approach): I followed the signal until I got within 50 m of the bird</v>
      </c>
      <c r="H187" s="2" t="str">
        <f ca="1">IFERROR(__xludf.DUMMYFUNCTION("""COMPUTED_VALUE"""),"")</f>
        <v/>
      </c>
      <c r="I187" s="2" t="str">
        <f ca="1">IFERROR(__xludf.DUMMYFUNCTION("""COMPUTED_VALUE"""),"")</f>
        <v/>
      </c>
      <c r="J187" s="2" t="str">
        <f ca="1">IFERROR(__xludf.DUMMYFUNCTION("""COMPUTED_VALUE"""),"")</f>
        <v/>
      </c>
      <c r="K187" s="2" t="str">
        <f ca="1">IFERROR(__xludf.DUMMYFUNCTION("""COMPUTED_VALUE"""),"")</f>
        <v/>
      </c>
      <c r="L187" s="2" t="str">
        <f ca="1">IFERROR(__xludf.DUMMYFUNCTION("""COMPUTED_VALUE"""),"No - I got very close to the bird but it was well hidden in the vegetation")</f>
        <v>No - I got very close to the bird but it was well hidden in the vegetation</v>
      </c>
      <c r="M187" s="5">
        <f ca="1">IFERROR(__xludf.DUMMYFUNCTION("""COMPUTED_VALUE"""),1907596)</f>
        <v>1907596</v>
      </c>
      <c r="N187" s="5">
        <f ca="1">IFERROR(__xludf.DUMMYFUNCTION("""COMPUTED_VALUE"""),5812933)</f>
        <v>5812933</v>
      </c>
      <c r="O187" s="2" t="str">
        <f ca="1">IFERROR(__xludf.DUMMYFUNCTION("""COMPUTED_VALUE"""),"")</f>
        <v/>
      </c>
      <c r="P187" s="2" t="str">
        <f ca="1">IFERROR(__xludf.DUMMYFUNCTION("""COMPUTED_VALUE"""),"N/A - not grazed")</f>
        <v>N/A - not grazed</v>
      </c>
      <c r="Q187" s="2" t="str">
        <f ca="1">IFERROR(__xludf.DUMMYFUNCTION("""COMPUTED_VALUE"""),"Don't know")</f>
        <v>Don't know</v>
      </c>
      <c r="R187" s="2" t="str">
        <f ca="1">IFERROR(__xludf.DUMMYFUNCTION("""COMPUTED_VALUE"""),"dont know")</f>
        <v>dont know</v>
      </c>
      <c r="S187" s="2" t="str">
        <f ca="1">IFERROR(__xludf.DUMMYFUNCTION("""COMPUTED_VALUE"""),"dn")</f>
        <v>dn</v>
      </c>
      <c r="T187" s="2" t="str">
        <f ca="1">IFERROR(__xludf.DUMMYFUNCTION("""COMPUTED_VALUE"""),"saltmarsh")</f>
        <v>saltmarsh</v>
      </c>
      <c r="U187" s="2" t="str">
        <f ca="1">IFERROR(__xludf.DUMMYFUNCTION("""COMPUTED_VALUE"""),"Bittern survey night 3 - Lisa &amp; Phil conducted triangulation * check difference for point of interest. ")</f>
        <v xml:space="preserve">Bittern survey night 3 - Lisa &amp; Phil conducted triangulation * check difference for point of interest. </v>
      </c>
      <c r="V187" s="2" t="str">
        <f ca="1">IFERROR(__xludf.DUMMYFUNCTION("""COMPUTED_VALUE"""),"")</f>
        <v/>
      </c>
      <c r="W187" s="2" t="str">
        <f ca="1">IFERROR(__xludf.DUMMYFUNCTION("""COMPUTED_VALUE"""),"")</f>
        <v/>
      </c>
      <c r="X187" s="2" t="str">
        <f ca="1">IFERROR(__xludf.DUMMYFUNCTION("""COMPUTED_VALUE"""),"")</f>
        <v/>
      </c>
      <c r="Y187" s="2" t="str">
        <f ca="1">IFERROR(__xludf.DUMMYFUNCTION("""COMPUTED_VALUE"""),"")</f>
        <v/>
      </c>
      <c r="Z187" s="2" t="str">
        <f ca="1">IFERROR(__xludf.DUMMYFUNCTION("""COMPUTED_VALUE"""),"")</f>
        <v/>
      </c>
      <c r="AA187" s="2" t="str">
        <f ca="1">IFERROR(__xludf.DUMMYFUNCTION("""COMPUTED_VALUE"""),"")</f>
        <v/>
      </c>
      <c r="AB187" s="2" t="str">
        <f ca="1">IFERROR(__xludf.DUMMYFUNCTION("""COMPUTED_VALUE"""),"")</f>
        <v/>
      </c>
      <c r="AC187" s="2" t="str">
        <f ca="1">IFERROR(__xludf.DUMMYFUNCTION("""COMPUTED_VALUE"""),"")</f>
        <v/>
      </c>
      <c r="AD187" s="2" t="str">
        <f ca="1">IFERROR(__xludf.DUMMYFUNCTION("""COMPUTED_VALUE"""),"")</f>
        <v/>
      </c>
      <c r="AE187" s="2" t="str">
        <f ca="1">IFERROR(__xludf.DUMMYFUNCTION("""COMPUTED_VALUE"""),"")</f>
        <v/>
      </c>
      <c r="AF187" s="2" t="str">
        <f ca="1">IFERROR(__xludf.DUMMYFUNCTION("""COMPUTED_VALUE"""),"")</f>
        <v/>
      </c>
      <c r="AG187" s="2" t="str">
        <f ca="1">IFERROR(__xludf.DUMMYFUNCTION("""COMPUTED_VALUE"""),"")</f>
        <v/>
      </c>
      <c r="AH187" s="2" t="str">
        <f ca="1">IFERROR(__xludf.DUMMYFUNCTION("""COMPUTED_VALUE"""),"")</f>
        <v/>
      </c>
      <c r="AI187" s="2" t="str">
        <f ca="1">IFERROR(__xludf.DUMMYFUNCTION("""COMPUTED_VALUE"""),"")</f>
        <v/>
      </c>
      <c r="AJ187" s="2" t="str">
        <f ca="1">IFERROR(__xludf.DUMMYFUNCTION("""COMPUTED_VALUE"""),"")</f>
        <v/>
      </c>
      <c r="AK187" s="2" t="str">
        <f ca="1">IFERROR(__xludf.DUMMYFUNCTION("""COMPUTED_VALUE"""),"")</f>
        <v/>
      </c>
      <c r="AL187" s="2" t="str">
        <f ca="1">IFERROR(__xludf.DUMMYFUNCTION("""COMPUTED_VALUE"""),"")</f>
        <v/>
      </c>
      <c r="AM187" s="2" t="str">
        <f ca="1">IFERROR(__xludf.DUMMYFUNCTION("""COMPUTED_VALUE"""),"")</f>
        <v/>
      </c>
      <c r="AN187" s="2" t="str">
        <f ca="1">IFERROR(__xludf.DUMMYFUNCTION("""COMPUTED_VALUE"""),"")</f>
        <v/>
      </c>
      <c r="AO187" s="2" t="str">
        <f ca="1">IFERROR(__xludf.DUMMYFUNCTION("""COMPUTED_VALUE"""),"")</f>
        <v/>
      </c>
      <c r="AP187" s="2" t="str">
        <f ca="1">IFERROR(__xludf.DUMMYFUNCTION("""COMPUTED_VALUE"""),"")</f>
        <v/>
      </c>
      <c r="AQ187" s="2" t="str">
        <f ca="1">IFERROR(__xludf.DUMMYFUNCTION("""COMPUTED_VALUE"""),"")</f>
        <v/>
      </c>
      <c r="AR187" s="2" t="str">
        <f ca="1">IFERROR(__xludf.DUMMYFUNCTION("""COMPUTED_VALUE"""),"")</f>
        <v/>
      </c>
      <c r="AS187" s="2" t="str">
        <f ca="1">IFERROR(__xludf.DUMMYFUNCTION("""COMPUTED_VALUE"""),"")</f>
        <v/>
      </c>
      <c r="AT187" s="2" t="str">
        <f ca="1">IFERROR(__xludf.DUMMYFUNCTION("""COMPUTED_VALUE"""),"")</f>
        <v/>
      </c>
      <c r="AU187" s="2" t="str">
        <f ca="1">IFERROR(__xludf.DUMMYFUNCTION("""COMPUTED_VALUE"""),"")</f>
        <v/>
      </c>
      <c r="AV187" s="2" t="str">
        <f ca="1">IFERROR(__xludf.DUMMYFUNCTION("""COMPUTED_VALUE"""),"")</f>
        <v/>
      </c>
      <c r="AW187" s="2" t="str">
        <f ca="1">IFERROR(__xludf.DUMMYFUNCTION("""COMPUTED_VALUE"""),"")</f>
        <v/>
      </c>
      <c r="AX187" s="2" t="str">
        <f ca="1">IFERROR(__xludf.DUMMYFUNCTION("""COMPUTED_VALUE"""),"")</f>
        <v/>
      </c>
      <c r="AY187" s="2" t="str">
        <f ca="1">IFERROR(__xludf.DUMMYFUNCTION("""COMPUTED_VALUE"""),"")</f>
        <v/>
      </c>
      <c r="AZ187" s="2" t="str">
        <f ca="1">IFERROR(__xludf.DUMMYFUNCTION("""COMPUTED_VALUE"""),"")</f>
        <v/>
      </c>
      <c r="BA187" s="2" t="str">
        <f ca="1">IFERROR(__xludf.DUMMYFUNCTION("""COMPUTED_VALUE"""),"")</f>
        <v/>
      </c>
      <c r="BB187" s="2" t="str">
        <f ca="1">IFERROR(__xludf.DUMMYFUNCTION("""COMPUTED_VALUE"""),"")</f>
        <v/>
      </c>
      <c r="BC187" s="2" t="str">
        <f ca="1">IFERROR(__xludf.DUMMYFUNCTION("""COMPUTED_VALUE"""),"")</f>
        <v/>
      </c>
      <c r="BD187" s="2" t="str">
        <f ca="1">IFERROR(__xludf.DUMMYFUNCTION("""COMPUTED_VALUE"""),"")</f>
        <v/>
      </c>
      <c r="BE187" s="2" t="str">
        <f ca="1">IFERROR(__xludf.DUMMYFUNCTION("""COMPUTED_VALUE"""),"")</f>
        <v/>
      </c>
      <c r="BF187" t="str">
        <f ca="1">IFERROR(__xludf.DUMMYFUNCTION("""COMPUTED_VALUE"""),"")</f>
        <v/>
      </c>
      <c r="BG187" t="str">
        <f ca="1">IFERROR(__xludf.DUMMYFUNCTION("""COMPUTED_VALUE"""),"")</f>
        <v/>
      </c>
      <c r="BH187" t="str">
        <f ca="1">IFERROR(__xludf.DUMMYFUNCTION("""COMPUTED_VALUE"""),"")</f>
        <v/>
      </c>
      <c r="BI187" t="str">
        <f ca="1">IFERROR(__xludf.DUMMYFUNCTION("""COMPUTED_VALUE"""),"")</f>
        <v/>
      </c>
      <c r="BJ187" s="3" t="str">
        <f ca="1">IFERROR(__xludf.DUMMYFUNCTION("""COMPUTED_VALUE"""),"")</f>
        <v/>
      </c>
    </row>
    <row r="188" spans="1:62" ht="12.5" x14ac:dyDescent="0.25">
      <c r="A188" s="6">
        <f ca="1">IFERROR(__xludf.DUMMYFUNCTION("""COMPUTED_VALUE"""),43785.9075387962)</f>
        <v>43785.9075387962</v>
      </c>
      <c r="B188" s="2" t="str">
        <f ca="1">IFERROR(__xludf.DUMMYFUNCTION("""COMPUTED_VALUE"""),"Bay of Plenty")</f>
        <v>Bay of Plenty</v>
      </c>
      <c r="C188" s="2" t="str">
        <f ca="1">IFERROR(__xludf.DUMMYFUNCTION("""COMPUTED_VALUE"""),"Tx 54")</f>
        <v>Tx 54</v>
      </c>
      <c r="D188" s="10">
        <f ca="1">IFERROR(__xludf.DUMMYFUNCTION("""COMPUTED_VALUE"""),43742)</f>
        <v>43742</v>
      </c>
      <c r="E188" s="4">
        <f ca="1">IFERROR(__xludf.DUMMYFUNCTION("""COMPUTED_VALUE"""),0.53125)</f>
        <v>0.53125</v>
      </c>
      <c r="F188" s="2" t="str">
        <f ca="1">IFERROR(__xludf.DUMMYFUNCTION("""COMPUTED_VALUE"""),"Cutwater rd saltmarsh")</f>
        <v>Cutwater rd saltmarsh</v>
      </c>
      <c r="G188" s="2" t="str">
        <f ca="1">IFERROR(__xludf.DUMMYFUNCTION("""COMPUTED_VALUE"""),"VHF (close approach): I followed the signal until I got within 50 m of the bird")</f>
        <v>VHF (close approach): I followed the signal until I got within 50 m of the bird</v>
      </c>
      <c r="H188" s="2" t="str">
        <f ca="1">IFERROR(__xludf.DUMMYFUNCTION("""COMPUTED_VALUE"""),"")</f>
        <v/>
      </c>
      <c r="I188" s="2" t="str">
        <f ca="1">IFERROR(__xludf.DUMMYFUNCTION("""COMPUTED_VALUE"""),"")</f>
        <v/>
      </c>
      <c r="J188" s="2" t="str">
        <f ca="1">IFERROR(__xludf.DUMMYFUNCTION("""COMPUTED_VALUE"""),"")</f>
        <v/>
      </c>
      <c r="K188" s="2" t="str">
        <f ca="1">IFERROR(__xludf.DUMMYFUNCTION("""COMPUTED_VALUE"""),"")</f>
        <v/>
      </c>
      <c r="L188" s="2" t="str">
        <f ca="1">IFERROR(__xludf.DUMMYFUNCTION("""COMPUTED_VALUE"""),"No - I got very close to the bird but it was well hidden in the vegetation")</f>
        <v>No - I got very close to the bird but it was well hidden in the vegetation</v>
      </c>
      <c r="M188" s="5">
        <f ca="1">IFERROR(__xludf.DUMMYFUNCTION("""COMPUTED_VALUE"""),1907577)</f>
        <v>1907577</v>
      </c>
      <c r="N188" s="5">
        <f ca="1">IFERROR(__xludf.DUMMYFUNCTION("""COMPUTED_VALUE"""),5813097)</f>
        <v>5813097</v>
      </c>
      <c r="O188" s="2" t="str">
        <f ca="1">IFERROR(__xludf.DUMMYFUNCTION("""COMPUTED_VALUE"""),"")</f>
        <v/>
      </c>
      <c r="P188" s="2" t="str">
        <f ca="1">IFERROR(__xludf.DUMMYFUNCTION("""COMPUTED_VALUE"""),"N/A - not grazed")</f>
        <v>N/A - not grazed</v>
      </c>
      <c r="Q188" s="2" t="str">
        <f ca="1">IFERROR(__xludf.DUMMYFUNCTION("""COMPUTED_VALUE"""),"Wet")</f>
        <v>Wet</v>
      </c>
      <c r="R188" s="2" t="str">
        <f ca="1">IFERROR(__xludf.DUMMYFUNCTION("""COMPUTED_VALUE"""),"DN")</f>
        <v>DN</v>
      </c>
      <c r="S188" s="2" t="str">
        <f ca="1">IFERROR(__xludf.DUMMYFUNCTION("""COMPUTED_VALUE"""),"?")</f>
        <v>?</v>
      </c>
      <c r="T188" s="2" t="str">
        <f ca="1">IFERROR(__xludf.DUMMYFUNCTION("""COMPUTED_VALUE"""),"Saltmarsh")</f>
        <v>Saltmarsh</v>
      </c>
      <c r="U188" s="2" t="str">
        <f ca="1">IFERROR(__xludf.DUMMYFUNCTION("""COMPUTED_VALUE"""),"another bird flushed out of pukehina canal which flew into saltmarsh. not a transmitted bird.  Karl &amp; Catherine out doing monitor. ")</f>
        <v xml:space="preserve">another bird flushed out of pukehina canal which flew into saltmarsh. not a transmitted bird.  Karl &amp; Catherine out doing monitor. </v>
      </c>
      <c r="V188" s="2" t="str">
        <f ca="1">IFERROR(__xludf.DUMMYFUNCTION("""COMPUTED_VALUE"""),"")</f>
        <v/>
      </c>
      <c r="W188" s="2" t="str">
        <f ca="1">IFERROR(__xludf.DUMMYFUNCTION("""COMPUTED_VALUE"""),"")</f>
        <v/>
      </c>
      <c r="X188" s="2" t="str">
        <f ca="1">IFERROR(__xludf.DUMMYFUNCTION("""COMPUTED_VALUE"""),"")</f>
        <v/>
      </c>
      <c r="Y188" s="2" t="str">
        <f ca="1">IFERROR(__xludf.DUMMYFUNCTION("""COMPUTED_VALUE"""),"")</f>
        <v/>
      </c>
      <c r="Z188" s="2" t="str">
        <f ca="1">IFERROR(__xludf.DUMMYFUNCTION("""COMPUTED_VALUE"""),"")</f>
        <v/>
      </c>
      <c r="AA188" s="2" t="str">
        <f ca="1">IFERROR(__xludf.DUMMYFUNCTION("""COMPUTED_VALUE"""),"")</f>
        <v/>
      </c>
      <c r="AB188" s="2" t="str">
        <f ca="1">IFERROR(__xludf.DUMMYFUNCTION("""COMPUTED_VALUE"""),"")</f>
        <v/>
      </c>
      <c r="AC188" s="2" t="str">
        <f ca="1">IFERROR(__xludf.DUMMYFUNCTION("""COMPUTED_VALUE"""),"")</f>
        <v/>
      </c>
      <c r="AD188" s="2" t="str">
        <f ca="1">IFERROR(__xludf.DUMMYFUNCTION("""COMPUTED_VALUE"""),"")</f>
        <v/>
      </c>
      <c r="AE188" s="2" t="str">
        <f ca="1">IFERROR(__xludf.DUMMYFUNCTION("""COMPUTED_VALUE"""),"")</f>
        <v/>
      </c>
      <c r="AF188" s="2" t="str">
        <f ca="1">IFERROR(__xludf.DUMMYFUNCTION("""COMPUTED_VALUE"""),"")</f>
        <v/>
      </c>
      <c r="AG188" s="2" t="str">
        <f ca="1">IFERROR(__xludf.DUMMYFUNCTION("""COMPUTED_VALUE"""),"")</f>
        <v/>
      </c>
      <c r="AH188" s="2" t="str">
        <f ca="1">IFERROR(__xludf.DUMMYFUNCTION("""COMPUTED_VALUE"""),"")</f>
        <v/>
      </c>
      <c r="AI188" s="2" t="str">
        <f ca="1">IFERROR(__xludf.DUMMYFUNCTION("""COMPUTED_VALUE"""),"")</f>
        <v/>
      </c>
      <c r="AJ188" s="2" t="str">
        <f ca="1">IFERROR(__xludf.DUMMYFUNCTION("""COMPUTED_VALUE"""),"")</f>
        <v/>
      </c>
      <c r="AK188" s="2" t="str">
        <f ca="1">IFERROR(__xludf.DUMMYFUNCTION("""COMPUTED_VALUE"""),"")</f>
        <v/>
      </c>
      <c r="AL188" s="2" t="str">
        <f ca="1">IFERROR(__xludf.DUMMYFUNCTION("""COMPUTED_VALUE"""),"")</f>
        <v/>
      </c>
      <c r="AM188" s="2" t="str">
        <f ca="1">IFERROR(__xludf.DUMMYFUNCTION("""COMPUTED_VALUE"""),"")</f>
        <v/>
      </c>
      <c r="AN188" s="2" t="str">
        <f ca="1">IFERROR(__xludf.DUMMYFUNCTION("""COMPUTED_VALUE"""),"")</f>
        <v/>
      </c>
      <c r="AO188" s="2" t="str">
        <f ca="1">IFERROR(__xludf.DUMMYFUNCTION("""COMPUTED_VALUE"""),"")</f>
        <v/>
      </c>
      <c r="AP188" s="2" t="str">
        <f ca="1">IFERROR(__xludf.DUMMYFUNCTION("""COMPUTED_VALUE"""),"")</f>
        <v/>
      </c>
      <c r="AQ188" s="2" t="str">
        <f ca="1">IFERROR(__xludf.DUMMYFUNCTION("""COMPUTED_VALUE"""),"")</f>
        <v/>
      </c>
      <c r="AR188" s="2" t="str">
        <f ca="1">IFERROR(__xludf.DUMMYFUNCTION("""COMPUTED_VALUE"""),"")</f>
        <v/>
      </c>
      <c r="AS188" s="2" t="str">
        <f ca="1">IFERROR(__xludf.DUMMYFUNCTION("""COMPUTED_VALUE"""),"")</f>
        <v/>
      </c>
      <c r="AT188" s="2" t="str">
        <f ca="1">IFERROR(__xludf.DUMMYFUNCTION("""COMPUTED_VALUE"""),"")</f>
        <v/>
      </c>
      <c r="AU188" s="2" t="str">
        <f ca="1">IFERROR(__xludf.DUMMYFUNCTION("""COMPUTED_VALUE"""),"")</f>
        <v/>
      </c>
      <c r="AV188" s="2" t="str">
        <f ca="1">IFERROR(__xludf.DUMMYFUNCTION("""COMPUTED_VALUE"""),"")</f>
        <v/>
      </c>
      <c r="AW188" s="2" t="str">
        <f ca="1">IFERROR(__xludf.DUMMYFUNCTION("""COMPUTED_VALUE"""),"")</f>
        <v/>
      </c>
      <c r="AX188" s="2" t="str">
        <f ca="1">IFERROR(__xludf.DUMMYFUNCTION("""COMPUTED_VALUE"""),"")</f>
        <v/>
      </c>
      <c r="AY188" s="2" t="str">
        <f ca="1">IFERROR(__xludf.DUMMYFUNCTION("""COMPUTED_VALUE"""),"")</f>
        <v/>
      </c>
      <c r="AZ188" s="2" t="str">
        <f ca="1">IFERROR(__xludf.DUMMYFUNCTION("""COMPUTED_VALUE"""),"")</f>
        <v/>
      </c>
      <c r="BA188" s="2" t="str">
        <f ca="1">IFERROR(__xludf.DUMMYFUNCTION("""COMPUTED_VALUE"""),"")</f>
        <v/>
      </c>
      <c r="BB188" s="2" t="str">
        <f ca="1">IFERROR(__xludf.DUMMYFUNCTION("""COMPUTED_VALUE"""),"")</f>
        <v/>
      </c>
      <c r="BC188" s="2" t="str">
        <f ca="1">IFERROR(__xludf.DUMMYFUNCTION("""COMPUTED_VALUE"""),"")</f>
        <v/>
      </c>
      <c r="BD188" s="2" t="str">
        <f ca="1">IFERROR(__xludf.DUMMYFUNCTION("""COMPUTED_VALUE"""),"")</f>
        <v/>
      </c>
      <c r="BE188" s="2" t="str">
        <f ca="1">IFERROR(__xludf.DUMMYFUNCTION("""COMPUTED_VALUE"""),"")</f>
        <v/>
      </c>
      <c r="BF188" t="str">
        <f ca="1">IFERROR(__xludf.DUMMYFUNCTION("""COMPUTED_VALUE"""),"")</f>
        <v/>
      </c>
      <c r="BG188" t="str">
        <f ca="1">IFERROR(__xludf.DUMMYFUNCTION("""COMPUTED_VALUE"""),"")</f>
        <v/>
      </c>
      <c r="BH188" t="str">
        <f ca="1">IFERROR(__xludf.DUMMYFUNCTION("""COMPUTED_VALUE"""),"")</f>
        <v/>
      </c>
      <c r="BI188" t="str">
        <f ca="1">IFERROR(__xludf.DUMMYFUNCTION("""COMPUTED_VALUE"""),"")</f>
        <v/>
      </c>
      <c r="BJ188" s="3" t="str">
        <f ca="1">IFERROR(__xludf.DUMMYFUNCTION("""COMPUTED_VALUE"""),"")</f>
        <v/>
      </c>
    </row>
    <row r="189" spans="1:62" ht="12.5" x14ac:dyDescent="0.25">
      <c r="A189" s="6">
        <f ca="1">IFERROR(__xludf.DUMMYFUNCTION("""COMPUTED_VALUE"""),43785.9114276388)</f>
        <v>43785.911427638799</v>
      </c>
      <c r="B189" s="2" t="str">
        <f ca="1">IFERROR(__xludf.DUMMYFUNCTION("""COMPUTED_VALUE"""),"Bay of Plenty")</f>
        <v>Bay of Plenty</v>
      </c>
      <c r="C189" s="2" t="str">
        <f ca="1">IFERROR(__xludf.DUMMYFUNCTION("""COMPUTED_VALUE"""),"Tx 54")</f>
        <v>Tx 54</v>
      </c>
      <c r="D189" s="10">
        <f ca="1">IFERROR(__xludf.DUMMYFUNCTION("""COMPUTED_VALUE"""),43453)</f>
        <v>43453</v>
      </c>
      <c r="E189" s="4">
        <f ca="1">IFERROR(__xludf.DUMMYFUNCTION("""COMPUTED_VALUE"""),0.541666666667879)</f>
        <v>0.54166666666787899</v>
      </c>
      <c r="F189" s="2" t="str">
        <f ca="1">IFERROR(__xludf.DUMMYFUNCTION("""COMPUTED_VALUE"""),"Cutwater rd saltmarsh")</f>
        <v>Cutwater rd saltmarsh</v>
      </c>
      <c r="G189" s="2" t="str">
        <f ca="1">IFERROR(__xludf.DUMMYFUNCTION("""COMPUTED_VALUE"""),"VHF (close approach): I followed the signal until I got within 50 m of the bird")</f>
        <v>VHF (close approach): I followed the signal until I got within 50 m of the bird</v>
      </c>
      <c r="H189" s="2" t="str">
        <f ca="1">IFERROR(__xludf.DUMMYFUNCTION("""COMPUTED_VALUE"""),"")</f>
        <v/>
      </c>
      <c r="I189" s="2" t="str">
        <f ca="1">IFERROR(__xludf.DUMMYFUNCTION("""COMPUTED_VALUE"""),"")</f>
        <v/>
      </c>
      <c r="J189" s="2" t="str">
        <f ca="1">IFERROR(__xludf.DUMMYFUNCTION("""COMPUTED_VALUE"""),"")</f>
        <v/>
      </c>
      <c r="K189" s="2" t="str">
        <f ca="1">IFERROR(__xludf.DUMMYFUNCTION("""COMPUTED_VALUE"""),"")</f>
        <v/>
      </c>
      <c r="L189" s="2" t="str">
        <f ca="1">IFERROR(__xludf.DUMMYFUNCTION("""COMPUTED_VALUE"""),"No - I got very close to the bird but it was well hidden in the vegetation")</f>
        <v>No - I got very close to the bird but it was well hidden in the vegetation</v>
      </c>
      <c r="M189" s="5">
        <f ca="1">IFERROR(__xludf.DUMMYFUNCTION("""COMPUTED_VALUE"""),1907449)</f>
        <v>1907449</v>
      </c>
      <c r="N189" s="5">
        <f ca="1">IFERROR(__xludf.DUMMYFUNCTION("""COMPUTED_VALUE"""),5813151)</f>
        <v>5813151</v>
      </c>
      <c r="O189" s="2" t="str">
        <f ca="1">IFERROR(__xludf.DUMMYFUNCTION("""COMPUTED_VALUE"""),"")</f>
        <v/>
      </c>
      <c r="P189" s="2" t="str">
        <f ca="1">IFERROR(__xludf.DUMMYFUNCTION("""COMPUTED_VALUE"""),"N/A - not grazed")</f>
        <v>N/A - not grazed</v>
      </c>
      <c r="Q189" s="2" t="str">
        <f ca="1">IFERROR(__xludf.DUMMYFUNCTION("""COMPUTED_VALUE"""),"Don't know")</f>
        <v>Don't know</v>
      </c>
      <c r="R189" s="2" t="str">
        <f ca="1">IFERROR(__xludf.DUMMYFUNCTION("""COMPUTED_VALUE"""),"DN")</f>
        <v>DN</v>
      </c>
      <c r="S189" s="2" t="str">
        <f ca="1">IFERROR(__xludf.DUMMYFUNCTION("""COMPUTED_VALUE"""),"DN")</f>
        <v>DN</v>
      </c>
      <c r="T189" s="2" t="str">
        <f ca="1">IFERROR(__xludf.DUMMYFUNCTION("""COMPUTED_VALUE"""),"Saltmarsh")</f>
        <v>Saltmarsh</v>
      </c>
      <c r="U189" s="2" t="str">
        <f ca="1">IFERROR(__xludf.DUMMYFUNCTION("""COMPUTED_VALUE"""),"Day with Melv, Set cat trap.. saw bittern chase off hawk. Flew into site where hawk was on ground &amp; chased off. another untransmitted bird seen overhead flying inland. 2 unmarked birds seen")</f>
        <v>Day with Melv, Set cat trap.. saw bittern chase off hawk. Flew into site where hawk was on ground &amp; chased off. another untransmitted bird seen overhead flying inland. 2 unmarked birds seen</v>
      </c>
      <c r="V189" s="2" t="str">
        <f ca="1">IFERROR(__xludf.DUMMYFUNCTION("""COMPUTED_VALUE"""),"")</f>
        <v/>
      </c>
      <c r="W189" s="2" t="str">
        <f ca="1">IFERROR(__xludf.DUMMYFUNCTION("""COMPUTED_VALUE"""),"")</f>
        <v/>
      </c>
      <c r="X189" s="2" t="str">
        <f ca="1">IFERROR(__xludf.DUMMYFUNCTION("""COMPUTED_VALUE"""),"")</f>
        <v/>
      </c>
      <c r="Y189" s="2" t="str">
        <f ca="1">IFERROR(__xludf.DUMMYFUNCTION("""COMPUTED_VALUE"""),"")</f>
        <v/>
      </c>
      <c r="Z189" s="2" t="str">
        <f ca="1">IFERROR(__xludf.DUMMYFUNCTION("""COMPUTED_VALUE"""),"")</f>
        <v/>
      </c>
      <c r="AA189" s="2" t="str">
        <f ca="1">IFERROR(__xludf.DUMMYFUNCTION("""COMPUTED_VALUE"""),"")</f>
        <v/>
      </c>
      <c r="AB189" s="2" t="str">
        <f ca="1">IFERROR(__xludf.DUMMYFUNCTION("""COMPUTED_VALUE"""),"")</f>
        <v/>
      </c>
      <c r="AC189" s="2" t="str">
        <f ca="1">IFERROR(__xludf.DUMMYFUNCTION("""COMPUTED_VALUE"""),"")</f>
        <v/>
      </c>
      <c r="AD189" s="2" t="str">
        <f ca="1">IFERROR(__xludf.DUMMYFUNCTION("""COMPUTED_VALUE"""),"")</f>
        <v/>
      </c>
      <c r="AE189" s="2" t="str">
        <f ca="1">IFERROR(__xludf.DUMMYFUNCTION("""COMPUTED_VALUE"""),"")</f>
        <v/>
      </c>
      <c r="AF189" s="2" t="str">
        <f ca="1">IFERROR(__xludf.DUMMYFUNCTION("""COMPUTED_VALUE"""),"")</f>
        <v/>
      </c>
      <c r="AG189" s="2" t="str">
        <f ca="1">IFERROR(__xludf.DUMMYFUNCTION("""COMPUTED_VALUE"""),"")</f>
        <v/>
      </c>
      <c r="AH189" s="2" t="str">
        <f ca="1">IFERROR(__xludf.DUMMYFUNCTION("""COMPUTED_VALUE"""),"")</f>
        <v/>
      </c>
      <c r="AI189" s="2" t="str">
        <f ca="1">IFERROR(__xludf.DUMMYFUNCTION("""COMPUTED_VALUE"""),"")</f>
        <v/>
      </c>
      <c r="AJ189" s="2" t="str">
        <f ca="1">IFERROR(__xludf.DUMMYFUNCTION("""COMPUTED_VALUE"""),"")</f>
        <v/>
      </c>
      <c r="AK189" s="2" t="str">
        <f ca="1">IFERROR(__xludf.DUMMYFUNCTION("""COMPUTED_VALUE"""),"")</f>
        <v/>
      </c>
      <c r="AL189" s="2" t="str">
        <f ca="1">IFERROR(__xludf.DUMMYFUNCTION("""COMPUTED_VALUE"""),"")</f>
        <v/>
      </c>
      <c r="AM189" s="2" t="str">
        <f ca="1">IFERROR(__xludf.DUMMYFUNCTION("""COMPUTED_VALUE"""),"")</f>
        <v/>
      </c>
      <c r="AN189" s="2" t="str">
        <f ca="1">IFERROR(__xludf.DUMMYFUNCTION("""COMPUTED_VALUE"""),"")</f>
        <v/>
      </c>
      <c r="AO189" s="2" t="str">
        <f ca="1">IFERROR(__xludf.DUMMYFUNCTION("""COMPUTED_VALUE"""),"")</f>
        <v/>
      </c>
      <c r="AP189" s="2" t="str">
        <f ca="1">IFERROR(__xludf.DUMMYFUNCTION("""COMPUTED_VALUE"""),"")</f>
        <v/>
      </c>
      <c r="AQ189" s="2" t="str">
        <f ca="1">IFERROR(__xludf.DUMMYFUNCTION("""COMPUTED_VALUE"""),"")</f>
        <v/>
      </c>
      <c r="AR189" s="2" t="str">
        <f ca="1">IFERROR(__xludf.DUMMYFUNCTION("""COMPUTED_VALUE"""),"")</f>
        <v/>
      </c>
      <c r="AS189" s="2" t="str">
        <f ca="1">IFERROR(__xludf.DUMMYFUNCTION("""COMPUTED_VALUE"""),"")</f>
        <v/>
      </c>
      <c r="AT189" s="2" t="str">
        <f ca="1">IFERROR(__xludf.DUMMYFUNCTION("""COMPUTED_VALUE"""),"")</f>
        <v/>
      </c>
      <c r="AU189" s="2" t="str">
        <f ca="1">IFERROR(__xludf.DUMMYFUNCTION("""COMPUTED_VALUE"""),"")</f>
        <v/>
      </c>
      <c r="AV189" s="2" t="str">
        <f ca="1">IFERROR(__xludf.DUMMYFUNCTION("""COMPUTED_VALUE"""),"")</f>
        <v/>
      </c>
      <c r="AW189" s="2" t="str">
        <f ca="1">IFERROR(__xludf.DUMMYFUNCTION("""COMPUTED_VALUE"""),"")</f>
        <v/>
      </c>
      <c r="AX189" s="2" t="str">
        <f ca="1">IFERROR(__xludf.DUMMYFUNCTION("""COMPUTED_VALUE"""),"")</f>
        <v/>
      </c>
      <c r="AY189" s="2" t="str">
        <f ca="1">IFERROR(__xludf.DUMMYFUNCTION("""COMPUTED_VALUE"""),"")</f>
        <v/>
      </c>
      <c r="AZ189" s="2" t="str">
        <f ca="1">IFERROR(__xludf.DUMMYFUNCTION("""COMPUTED_VALUE"""),"")</f>
        <v/>
      </c>
      <c r="BA189" s="2" t="str">
        <f ca="1">IFERROR(__xludf.DUMMYFUNCTION("""COMPUTED_VALUE"""),"")</f>
        <v/>
      </c>
      <c r="BB189" s="2" t="str">
        <f ca="1">IFERROR(__xludf.DUMMYFUNCTION("""COMPUTED_VALUE"""),"")</f>
        <v/>
      </c>
      <c r="BC189" s="2" t="str">
        <f ca="1">IFERROR(__xludf.DUMMYFUNCTION("""COMPUTED_VALUE"""),"")</f>
        <v/>
      </c>
      <c r="BD189" s="2" t="str">
        <f ca="1">IFERROR(__xludf.DUMMYFUNCTION("""COMPUTED_VALUE"""),"")</f>
        <v/>
      </c>
      <c r="BE189" s="2" t="str">
        <f ca="1">IFERROR(__xludf.DUMMYFUNCTION("""COMPUTED_VALUE"""),"")</f>
        <v/>
      </c>
      <c r="BF189" t="str">
        <f ca="1">IFERROR(__xludf.DUMMYFUNCTION("""COMPUTED_VALUE"""),"")</f>
        <v/>
      </c>
      <c r="BG189" t="str">
        <f ca="1">IFERROR(__xludf.DUMMYFUNCTION("""COMPUTED_VALUE"""),"")</f>
        <v/>
      </c>
      <c r="BH189" t="str">
        <f ca="1">IFERROR(__xludf.DUMMYFUNCTION("""COMPUTED_VALUE"""),"")</f>
        <v/>
      </c>
      <c r="BI189" t="str">
        <f ca="1">IFERROR(__xludf.DUMMYFUNCTION("""COMPUTED_VALUE"""),"")</f>
        <v/>
      </c>
      <c r="BJ189" s="3" t="str">
        <f ca="1">IFERROR(__xludf.DUMMYFUNCTION("""COMPUTED_VALUE"""),"")</f>
        <v/>
      </c>
    </row>
    <row r="190" spans="1:62" ht="12.5" x14ac:dyDescent="0.25">
      <c r="A190" s="6">
        <f ca="1">IFERROR(__xludf.DUMMYFUNCTION("""COMPUTED_VALUE"""),43802.453011655)</f>
        <v>43802.453011655001</v>
      </c>
      <c r="B190" s="2" t="str">
        <f ca="1">IFERROR(__xludf.DUMMYFUNCTION("""COMPUTED_VALUE"""),"Bay of Plenty")</f>
        <v>Bay of Plenty</v>
      </c>
      <c r="C190" s="2" t="str">
        <f ca="1">IFERROR(__xludf.DUMMYFUNCTION("""COMPUTED_VALUE"""),"Tx 54")</f>
        <v>Tx 54</v>
      </c>
      <c r="D190" s="10">
        <f ca="1">IFERROR(__xludf.DUMMYFUNCTION("""COMPUTED_VALUE"""),43799)</f>
        <v>43799</v>
      </c>
      <c r="E190" s="4">
        <f ca="1">IFERROR(__xludf.DUMMYFUNCTION("""COMPUTED_VALUE"""),0.694444444445252)</f>
        <v>0.694444444445252</v>
      </c>
      <c r="F190" s="2" t="str">
        <f ca="1">IFERROR(__xludf.DUMMYFUNCTION("""COMPUTED_VALUE"""),"Cutwater rd")</f>
        <v>Cutwater rd</v>
      </c>
      <c r="G190" s="2" t="str">
        <f ca="1">IFERROR(__xludf.DUMMYFUNCTION("""COMPUTED_VALUE"""),"VHF (close approach): I followed the signal until I got within 50 m of the bird")</f>
        <v>VHF (close approach): I followed the signal until I got within 50 m of the bird</v>
      </c>
      <c r="H190" s="2" t="str">
        <f ca="1">IFERROR(__xludf.DUMMYFUNCTION("""COMPUTED_VALUE"""),"")</f>
        <v/>
      </c>
      <c r="I190" s="2" t="str">
        <f ca="1">IFERROR(__xludf.DUMMYFUNCTION("""COMPUTED_VALUE"""),"")</f>
        <v/>
      </c>
      <c r="J190" s="2" t="str">
        <f ca="1">IFERROR(__xludf.DUMMYFUNCTION("""COMPUTED_VALUE"""),"")</f>
        <v/>
      </c>
      <c r="K190" s="2" t="str">
        <f ca="1">IFERROR(__xludf.DUMMYFUNCTION("""COMPUTED_VALUE"""),"")</f>
        <v/>
      </c>
      <c r="L190" s="2" t="str">
        <f ca="1">IFERROR(__xludf.DUMMYFUNCTION("""COMPUTED_VALUE"""),"Yes - it flushed")</f>
        <v>Yes - it flushed</v>
      </c>
      <c r="M190" s="5">
        <f ca="1">IFERROR(__xludf.DUMMYFUNCTION("""COMPUTED_VALUE"""),1907541)</f>
        <v>1907541</v>
      </c>
      <c r="N190" s="5">
        <f ca="1">IFERROR(__xludf.DUMMYFUNCTION("""COMPUTED_VALUE"""),5812866)</f>
        <v>5812866</v>
      </c>
      <c r="O190" s="2" t="str">
        <f ca="1">IFERROR(__xludf.DUMMYFUNCTION("""COMPUTED_VALUE"""),"")</f>
        <v/>
      </c>
      <c r="P190" s="2" t="str">
        <f ca="1">IFERROR(__xludf.DUMMYFUNCTION("""COMPUTED_VALUE"""),"No")</f>
        <v>No</v>
      </c>
      <c r="Q190" s="2" t="str">
        <f ca="1">IFERROR(__xludf.DUMMYFUNCTION("""COMPUTED_VALUE"""),"Wet")</f>
        <v>Wet</v>
      </c>
      <c r="R190" s="2" t="str">
        <f ca="1">IFERROR(__xludf.DUMMYFUNCTION("""COMPUTED_VALUE"""),"drain edge")</f>
        <v>drain edge</v>
      </c>
      <c r="S190" s="2" t="str">
        <f ca="1">IFERROR(__xludf.DUMMYFUNCTION("""COMPUTED_VALUE"""),"drain edge")</f>
        <v>drain edge</v>
      </c>
      <c r="T190" s="2" t="str">
        <f ca="1">IFERROR(__xludf.DUMMYFUNCTION("""COMPUTED_VALUE"""),"drain")</f>
        <v>drain</v>
      </c>
      <c r="U190" s="2" t="str">
        <f ca="1">IFERROR(__xludf.DUMMYFUNCTION("""COMPUTED_VALUE"""),"entered by Karl - Signal was extremely strong there, within 20m. ")</f>
        <v xml:space="preserve">entered by Karl - Signal was extremely strong there, within 20m. </v>
      </c>
      <c r="V190" s="2" t="str">
        <f ca="1">IFERROR(__xludf.DUMMYFUNCTION("""COMPUTED_VALUE"""),"")</f>
        <v/>
      </c>
      <c r="W190" s="2" t="str">
        <f ca="1">IFERROR(__xludf.DUMMYFUNCTION("""COMPUTED_VALUE"""),"")</f>
        <v/>
      </c>
      <c r="X190" s="2" t="str">
        <f ca="1">IFERROR(__xludf.DUMMYFUNCTION("""COMPUTED_VALUE"""),"")</f>
        <v/>
      </c>
      <c r="Y190" s="2" t="str">
        <f ca="1">IFERROR(__xludf.DUMMYFUNCTION("""COMPUTED_VALUE"""),"")</f>
        <v/>
      </c>
      <c r="Z190" s="2" t="str">
        <f ca="1">IFERROR(__xludf.DUMMYFUNCTION("""COMPUTED_VALUE"""),"")</f>
        <v/>
      </c>
      <c r="AA190" s="2" t="str">
        <f ca="1">IFERROR(__xludf.DUMMYFUNCTION("""COMPUTED_VALUE"""),"")</f>
        <v/>
      </c>
      <c r="AB190" s="2" t="str">
        <f ca="1">IFERROR(__xludf.DUMMYFUNCTION("""COMPUTED_VALUE"""),"")</f>
        <v/>
      </c>
      <c r="AC190" s="2" t="str">
        <f ca="1">IFERROR(__xludf.DUMMYFUNCTION("""COMPUTED_VALUE"""),"")</f>
        <v/>
      </c>
      <c r="AD190" s="2" t="str">
        <f ca="1">IFERROR(__xludf.DUMMYFUNCTION("""COMPUTED_VALUE"""),"")</f>
        <v/>
      </c>
      <c r="AE190" s="2" t="str">
        <f ca="1">IFERROR(__xludf.DUMMYFUNCTION("""COMPUTED_VALUE"""),"")</f>
        <v/>
      </c>
      <c r="AF190" s="2" t="str">
        <f ca="1">IFERROR(__xludf.DUMMYFUNCTION("""COMPUTED_VALUE"""),"")</f>
        <v/>
      </c>
      <c r="AG190" s="2" t="str">
        <f ca="1">IFERROR(__xludf.DUMMYFUNCTION("""COMPUTED_VALUE"""),"")</f>
        <v/>
      </c>
      <c r="AH190" s="2" t="str">
        <f ca="1">IFERROR(__xludf.DUMMYFUNCTION("""COMPUTED_VALUE"""),"")</f>
        <v/>
      </c>
      <c r="AI190" s="2" t="str">
        <f ca="1">IFERROR(__xludf.DUMMYFUNCTION("""COMPUTED_VALUE"""),"")</f>
        <v/>
      </c>
      <c r="AJ190" s="2" t="str">
        <f ca="1">IFERROR(__xludf.DUMMYFUNCTION("""COMPUTED_VALUE"""),"")</f>
        <v/>
      </c>
      <c r="AK190" s="2" t="str">
        <f ca="1">IFERROR(__xludf.DUMMYFUNCTION("""COMPUTED_VALUE"""),"")</f>
        <v/>
      </c>
      <c r="AL190" s="2" t="str">
        <f ca="1">IFERROR(__xludf.DUMMYFUNCTION("""COMPUTED_VALUE"""),"")</f>
        <v/>
      </c>
      <c r="AM190" s="2" t="str">
        <f ca="1">IFERROR(__xludf.DUMMYFUNCTION("""COMPUTED_VALUE"""),"")</f>
        <v/>
      </c>
      <c r="AN190" s="2" t="str">
        <f ca="1">IFERROR(__xludf.DUMMYFUNCTION("""COMPUTED_VALUE"""),"")</f>
        <v/>
      </c>
      <c r="AO190" s="2" t="str">
        <f ca="1">IFERROR(__xludf.DUMMYFUNCTION("""COMPUTED_VALUE"""),"")</f>
        <v/>
      </c>
      <c r="AP190" s="2" t="str">
        <f ca="1">IFERROR(__xludf.DUMMYFUNCTION("""COMPUTED_VALUE"""),"")</f>
        <v/>
      </c>
      <c r="AQ190" s="2" t="str">
        <f ca="1">IFERROR(__xludf.DUMMYFUNCTION("""COMPUTED_VALUE"""),"")</f>
        <v/>
      </c>
      <c r="AR190" s="2" t="str">
        <f ca="1">IFERROR(__xludf.DUMMYFUNCTION("""COMPUTED_VALUE"""),"")</f>
        <v/>
      </c>
      <c r="AS190" s="2" t="str">
        <f ca="1">IFERROR(__xludf.DUMMYFUNCTION("""COMPUTED_VALUE"""),"")</f>
        <v/>
      </c>
      <c r="AT190" s="2" t="str">
        <f ca="1">IFERROR(__xludf.DUMMYFUNCTION("""COMPUTED_VALUE"""),"")</f>
        <v/>
      </c>
      <c r="AU190" s="2" t="str">
        <f ca="1">IFERROR(__xludf.DUMMYFUNCTION("""COMPUTED_VALUE"""),"")</f>
        <v/>
      </c>
      <c r="AV190" s="2" t="str">
        <f ca="1">IFERROR(__xludf.DUMMYFUNCTION("""COMPUTED_VALUE"""),"")</f>
        <v/>
      </c>
      <c r="AW190" s="2" t="str">
        <f ca="1">IFERROR(__xludf.DUMMYFUNCTION("""COMPUTED_VALUE"""),"")</f>
        <v/>
      </c>
      <c r="AX190" s="2" t="str">
        <f ca="1">IFERROR(__xludf.DUMMYFUNCTION("""COMPUTED_VALUE"""),"")</f>
        <v/>
      </c>
      <c r="AY190" s="2" t="str">
        <f ca="1">IFERROR(__xludf.DUMMYFUNCTION("""COMPUTED_VALUE"""),"")</f>
        <v/>
      </c>
      <c r="AZ190" s="2" t="str">
        <f ca="1">IFERROR(__xludf.DUMMYFUNCTION("""COMPUTED_VALUE"""),"")</f>
        <v/>
      </c>
      <c r="BA190" s="2" t="str">
        <f ca="1">IFERROR(__xludf.DUMMYFUNCTION("""COMPUTED_VALUE"""),"")</f>
        <v/>
      </c>
      <c r="BB190" s="2" t="str">
        <f ca="1">IFERROR(__xludf.DUMMYFUNCTION("""COMPUTED_VALUE"""),"")</f>
        <v/>
      </c>
      <c r="BC190" s="2" t="str">
        <f ca="1">IFERROR(__xludf.DUMMYFUNCTION("""COMPUTED_VALUE"""),"")</f>
        <v/>
      </c>
      <c r="BD190" s="2" t="str">
        <f ca="1">IFERROR(__xludf.DUMMYFUNCTION("""COMPUTED_VALUE"""),"")</f>
        <v/>
      </c>
      <c r="BE190" s="2" t="str">
        <f ca="1">IFERROR(__xludf.DUMMYFUNCTION("""COMPUTED_VALUE"""),"")</f>
        <v/>
      </c>
      <c r="BF190" t="str">
        <f ca="1">IFERROR(__xludf.DUMMYFUNCTION("""COMPUTED_VALUE"""),"")</f>
        <v/>
      </c>
      <c r="BG190" t="str">
        <f ca="1">IFERROR(__xludf.DUMMYFUNCTION("""COMPUTED_VALUE"""),"")</f>
        <v/>
      </c>
      <c r="BH190" t="str">
        <f ca="1">IFERROR(__xludf.DUMMYFUNCTION("""COMPUTED_VALUE"""),"")</f>
        <v/>
      </c>
      <c r="BI190" t="str">
        <f ca="1">IFERROR(__xludf.DUMMYFUNCTION("""COMPUTED_VALUE"""),"")</f>
        <v/>
      </c>
      <c r="BJ190" s="3" t="str">
        <f ca="1">IFERROR(__xludf.DUMMYFUNCTION("""COMPUTED_VALUE"""),"")</f>
        <v/>
      </c>
    </row>
    <row r="191" spans="1:62" ht="12.5" x14ac:dyDescent="0.25">
      <c r="A191" s="6">
        <f ca="1">IFERROR(__xludf.DUMMYFUNCTION("""COMPUTED_VALUE"""),43802.4558321874)</f>
        <v>43802.455832187399</v>
      </c>
      <c r="B191" s="2" t="str">
        <f ca="1">IFERROR(__xludf.DUMMYFUNCTION("""COMPUTED_VALUE"""),"Bay of Plenty")</f>
        <v>Bay of Plenty</v>
      </c>
      <c r="C191" s="2" t="str">
        <f ca="1">IFERROR(__xludf.DUMMYFUNCTION("""COMPUTED_VALUE"""),"Tx 54")</f>
        <v>Tx 54</v>
      </c>
      <c r="D191" s="10">
        <f ca="1">IFERROR(__xludf.DUMMYFUNCTION("""COMPUTED_VALUE"""),43799)</f>
        <v>43799</v>
      </c>
      <c r="E191" s="4">
        <f ca="1">IFERROR(__xludf.DUMMYFUNCTION("""COMPUTED_VALUE"""),0.782638888889778)</f>
        <v>0.78263888888977795</v>
      </c>
      <c r="F191" s="2" t="str">
        <f ca="1">IFERROR(__xludf.DUMMYFUNCTION("""COMPUTED_VALUE"""),"Cutwater rd")</f>
        <v>Cutwater rd</v>
      </c>
      <c r="G191" s="2" t="str">
        <f ca="1">IFERROR(__xludf.DUMMYFUNCTION("""COMPUTED_VALUE"""),"VHF (close approach): I followed the signal until I got within 50 m of the bird")</f>
        <v>VHF (close approach): I followed the signal until I got within 50 m of the bird</v>
      </c>
      <c r="H191" s="2" t="str">
        <f ca="1">IFERROR(__xludf.DUMMYFUNCTION("""COMPUTED_VALUE"""),"")</f>
        <v/>
      </c>
      <c r="I191" s="2" t="str">
        <f ca="1">IFERROR(__xludf.DUMMYFUNCTION("""COMPUTED_VALUE"""),"")</f>
        <v/>
      </c>
      <c r="J191" s="2" t="str">
        <f ca="1">IFERROR(__xludf.DUMMYFUNCTION("""COMPUTED_VALUE"""),"")</f>
        <v/>
      </c>
      <c r="K191" s="2" t="str">
        <f ca="1">IFERROR(__xludf.DUMMYFUNCTION("""COMPUTED_VALUE"""),"")</f>
        <v/>
      </c>
      <c r="L191" s="2" t="str">
        <f ca="1">IFERROR(__xludf.DUMMYFUNCTION("""COMPUTED_VALUE"""),"Yes - it flushed")</f>
        <v>Yes - it flushed</v>
      </c>
      <c r="M191" s="5">
        <f ca="1">IFERROR(__xludf.DUMMYFUNCTION("""COMPUTED_VALUE"""),1907693)</f>
        <v>1907693</v>
      </c>
      <c r="N191" s="5">
        <f ca="1">IFERROR(__xludf.DUMMYFUNCTION("""COMPUTED_VALUE"""),5812771)</f>
        <v>5812771</v>
      </c>
      <c r="O191" s="2" t="str">
        <f ca="1">IFERROR(__xludf.DUMMYFUNCTION("""COMPUTED_VALUE"""),"")</f>
        <v/>
      </c>
      <c r="P191" s="2" t="str">
        <f ca="1">IFERROR(__xludf.DUMMYFUNCTION("""COMPUTED_VALUE"""),"No")</f>
        <v>No</v>
      </c>
      <c r="Q191" s="2" t="str">
        <f ca="1">IFERROR(__xludf.DUMMYFUNCTION("""COMPUTED_VALUE"""),"Dry")</f>
        <v>Dry</v>
      </c>
      <c r="R191" s="2" t="str">
        <f ca="1">IFERROR(__xludf.DUMMYFUNCTION("""COMPUTED_VALUE"""),"NA")</f>
        <v>NA</v>
      </c>
      <c r="S191" s="2" t="str">
        <f ca="1">IFERROR(__xludf.DUMMYFUNCTION("""COMPUTED_VALUE"""),"see map")</f>
        <v>see map</v>
      </c>
      <c r="T191" s="2" t="str">
        <f ca="1">IFERROR(__xludf.DUMMYFUNCTION("""COMPUTED_VALUE"""),"Paddock")</f>
        <v>Paddock</v>
      </c>
      <c r="U191" s="2" t="str">
        <f ca="1">IFERROR(__xludf.DUMMYFUNCTION("""COMPUTED_VALUE"""),"Rachel Langman - was in this postion for two hours after been flushed from drain. 18.47 Flushed as a hawk had disturbed him, landed about 20m to the left")</f>
        <v>Rachel Langman - was in this postion for two hours after been flushed from drain. 18.47 Flushed as a hawk had disturbed him, landed about 20m to the left</v>
      </c>
      <c r="V191" s="2" t="str">
        <f ca="1">IFERROR(__xludf.DUMMYFUNCTION("""COMPUTED_VALUE"""),"")</f>
        <v/>
      </c>
      <c r="W191" s="2" t="str">
        <f ca="1">IFERROR(__xludf.DUMMYFUNCTION("""COMPUTED_VALUE"""),"")</f>
        <v/>
      </c>
      <c r="X191" s="2" t="str">
        <f ca="1">IFERROR(__xludf.DUMMYFUNCTION("""COMPUTED_VALUE"""),"")</f>
        <v/>
      </c>
      <c r="Y191" s="2" t="str">
        <f ca="1">IFERROR(__xludf.DUMMYFUNCTION("""COMPUTED_VALUE"""),"")</f>
        <v/>
      </c>
      <c r="Z191" s="2" t="str">
        <f ca="1">IFERROR(__xludf.DUMMYFUNCTION("""COMPUTED_VALUE"""),"")</f>
        <v/>
      </c>
      <c r="AA191" s="2" t="str">
        <f ca="1">IFERROR(__xludf.DUMMYFUNCTION("""COMPUTED_VALUE"""),"")</f>
        <v/>
      </c>
      <c r="AB191" s="2" t="str">
        <f ca="1">IFERROR(__xludf.DUMMYFUNCTION("""COMPUTED_VALUE"""),"")</f>
        <v/>
      </c>
      <c r="AC191" s="2" t="str">
        <f ca="1">IFERROR(__xludf.DUMMYFUNCTION("""COMPUTED_VALUE"""),"")</f>
        <v/>
      </c>
      <c r="AD191" s="2" t="str">
        <f ca="1">IFERROR(__xludf.DUMMYFUNCTION("""COMPUTED_VALUE"""),"")</f>
        <v/>
      </c>
      <c r="AE191" s="2" t="str">
        <f ca="1">IFERROR(__xludf.DUMMYFUNCTION("""COMPUTED_VALUE"""),"")</f>
        <v/>
      </c>
      <c r="AF191" s="2" t="str">
        <f ca="1">IFERROR(__xludf.DUMMYFUNCTION("""COMPUTED_VALUE"""),"")</f>
        <v/>
      </c>
      <c r="AG191" s="2" t="str">
        <f ca="1">IFERROR(__xludf.DUMMYFUNCTION("""COMPUTED_VALUE"""),"")</f>
        <v/>
      </c>
      <c r="AH191" s="2" t="str">
        <f ca="1">IFERROR(__xludf.DUMMYFUNCTION("""COMPUTED_VALUE"""),"")</f>
        <v/>
      </c>
      <c r="AI191" s="2" t="str">
        <f ca="1">IFERROR(__xludf.DUMMYFUNCTION("""COMPUTED_VALUE"""),"")</f>
        <v/>
      </c>
      <c r="AJ191" s="2" t="str">
        <f ca="1">IFERROR(__xludf.DUMMYFUNCTION("""COMPUTED_VALUE"""),"")</f>
        <v/>
      </c>
      <c r="AK191" s="2" t="str">
        <f ca="1">IFERROR(__xludf.DUMMYFUNCTION("""COMPUTED_VALUE"""),"")</f>
        <v/>
      </c>
      <c r="AL191" s="2" t="str">
        <f ca="1">IFERROR(__xludf.DUMMYFUNCTION("""COMPUTED_VALUE"""),"")</f>
        <v/>
      </c>
      <c r="AM191" s="2" t="str">
        <f ca="1">IFERROR(__xludf.DUMMYFUNCTION("""COMPUTED_VALUE"""),"")</f>
        <v/>
      </c>
      <c r="AN191" s="2" t="str">
        <f ca="1">IFERROR(__xludf.DUMMYFUNCTION("""COMPUTED_VALUE"""),"")</f>
        <v/>
      </c>
      <c r="AO191" s="2" t="str">
        <f ca="1">IFERROR(__xludf.DUMMYFUNCTION("""COMPUTED_VALUE"""),"")</f>
        <v/>
      </c>
      <c r="AP191" s="2" t="str">
        <f ca="1">IFERROR(__xludf.DUMMYFUNCTION("""COMPUTED_VALUE"""),"")</f>
        <v/>
      </c>
      <c r="AQ191" s="2" t="str">
        <f ca="1">IFERROR(__xludf.DUMMYFUNCTION("""COMPUTED_VALUE"""),"")</f>
        <v/>
      </c>
      <c r="AR191" s="2" t="str">
        <f ca="1">IFERROR(__xludf.DUMMYFUNCTION("""COMPUTED_VALUE"""),"")</f>
        <v/>
      </c>
      <c r="AS191" s="2" t="str">
        <f ca="1">IFERROR(__xludf.DUMMYFUNCTION("""COMPUTED_VALUE"""),"")</f>
        <v/>
      </c>
      <c r="AT191" s="2" t="str">
        <f ca="1">IFERROR(__xludf.DUMMYFUNCTION("""COMPUTED_VALUE"""),"")</f>
        <v/>
      </c>
      <c r="AU191" s="2" t="str">
        <f ca="1">IFERROR(__xludf.DUMMYFUNCTION("""COMPUTED_VALUE"""),"")</f>
        <v/>
      </c>
      <c r="AV191" s="2" t="str">
        <f ca="1">IFERROR(__xludf.DUMMYFUNCTION("""COMPUTED_VALUE"""),"")</f>
        <v/>
      </c>
      <c r="AW191" s="2" t="str">
        <f ca="1">IFERROR(__xludf.DUMMYFUNCTION("""COMPUTED_VALUE"""),"")</f>
        <v/>
      </c>
      <c r="AX191" s="2" t="str">
        <f ca="1">IFERROR(__xludf.DUMMYFUNCTION("""COMPUTED_VALUE"""),"")</f>
        <v/>
      </c>
      <c r="AY191" s="2" t="str">
        <f ca="1">IFERROR(__xludf.DUMMYFUNCTION("""COMPUTED_VALUE"""),"")</f>
        <v/>
      </c>
      <c r="AZ191" s="2" t="str">
        <f ca="1">IFERROR(__xludf.DUMMYFUNCTION("""COMPUTED_VALUE"""),"")</f>
        <v/>
      </c>
      <c r="BA191" s="2" t="str">
        <f ca="1">IFERROR(__xludf.DUMMYFUNCTION("""COMPUTED_VALUE"""),"")</f>
        <v/>
      </c>
      <c r="BB191" s="2" t="str">
        <f ca="1">IFERROR(__xludf.DUMMYFUNCTION("""COMPUTED_VALUE"""),"")</f>
        <v/>
      </c>
      <c r="BC191" s="2" t="str">
        <f ca="1">IFERROR(__xludf.DUMMYFUNCTION("""COMPUTED_VALUE"""),"")</f>
        <v/>
      </c>
      <c r="BD191" s="2" t="str">
        <f ca="1">IFERROR(__xludf.DUMMYFUNCTION("""COMPUTED_VALUE"""),"")</f>
        <v/>
      </c>
      <c r="BE191" s="2" t="str">
        <f ca="1">IFERROR(__xludf.DUMMYFUNCTION("""COMPUTED_VALUE"""),"")</f>
        <v/>
      </c>
      <c r="BF191" t="str">
        <f ca="1">IFERROR(__xludf.DUMMYFUNCTION("""COMPUTED_VALUE"""),"")</f>
        <v/>
      </c>
      <c r="BG191" t="str">
        <f ca="1">IFERROR(__xludf.DUMMYFUNCTION("""COMPUTED_VALUE"""),"")</f>
        <v/>
      </c>
      <c r="BH191" t="str">
        <f ca="1">IFERROR(__xludf.DUMMYFUNCTION("""COMPUTED_VALUE"""),"")</f>
        <v/>
      </c>
      <c r="BI191" t="str">
        <f ca="1">IFERROR(__xludf.DUMMYFUNCTION("""COMPUTED_VALUE"""),"")</f>
        <v/>
      </c>
      <c r="BJ191" s="3" t="str">
        <f ca="1">IFERROR(__xludf.DUMMYFUNCTION("""COMPUTED_VALUE"""),"")</f>
        <v/>
      </c>
    </row>
    <row r="192" spans="1:62" ht="12.5" x14ac:dyDescent="0.25">
      <c r="A192" s="6">
        <f ca="1">IFERROR(__xludf.DUMMYFUNCTION("""COMPUTED_VALUE"""),43802.4812480324)</f>
        <v>43802.481248032404</v>
      </c>
      <c r="B192" s="2" t="str">
        <f ca="1">IFERROR(__xludf.DUMMYFUNCTION("""COMPUTED_VALUE"""),"Bay of Plenty")</f>
        <v>Bay of Plenty</v>
      </c>
      <c r="C192" s="2" t="str">
        <f ca="1">IFERROR(__xludf.DUMMYFUNCTION("""COMPUTED_VALUE"""),"Tx 54")</f>
        <v>Tx 54</v>
      </c>
      <c r="D192" s="10">
        <f ca="1">IFERROR(__xludf.DUMMYFUNCTION("""COMPUTED_VALUE"""),43799)</f>
        <v>43799</v>
      </c>
      <c r="E192" s="4">
        <f ca="1">IFERROR(__xludf.DUMMYFUNCTION("""COMPUTED_VALUE"""),0.805555555554747)</f>
        <v>0.805555555554747</v>
      </c>
      <c r="F192" s="2" t="str">
        <f ca="1">IFERROR(__xludf.DUMMYFUNCTION("""COMPUTED_VALUE"""),"ccutwater rd")</f>
        <v>ccutwater rd</v>
      </c>
      <c r="G192" s="2" t="str">
        <f ca="1">IFERROR(__xludf.DUMMYFUNCTION("""COMPUTED_VALUE"""),"VHF (close approach): I followed the signal until I got within 50 m of the bird")</f>
        <v>VHF (close approach): I followed the signal until I got within 50 m of the bird</v>
      </c>
      <c r="H192" s="2" t="str">
        <f ca="1">IFERROR(__xludf.DUMMYFUNCTION("""COMPUTED_VALUE"""),"")</f>
        <v/>
      </c>
      <c r="I192" s="2" t="str">
        <f ca="1">IFERROR(__xludf.DUMMYFUNCTION("""COMPUTED_VALUE"""),"")</f>
        <v/>
      </c>
      <c r="J192" s="2" t="str">
        <f ca="1">IFERROR(__xludf.DUMMYFUNCTION("""COMPUTED_VALUE"""),"")</f>
        <v/>
      </c>
      <c r="K192" s="2" t="str">
        <f ca="1">IFERROR(__xludf.DUMMYFUNCTION("""COMPUTED_VALUE"""),"")</f>
        <v/>
      </c>
      <c r="L192" s="2" t="str">
        <f ca="1">IFERROR(__xludf.DUMMYFUNCTION("""COMPUTED_VALUE"""),"Yes - it flushed")</f>
        <v>Yes - it flushed</v>
      </c>
      <c r="M192" s="5">
        <f ca="1">IFERROR(__xludf.DUMMYFUNCTION("""COMPUTED_VALUE"""),1907693)</f>
        <v>1907693</v>
      </c>
      <c r="N192" s="5">
        <f ca="1">IFERROR(__xludf.DUMMYFUNCTION("""COMPUTED_VALUE"""),5812771)</f>
        <v>5812771</v>
      </c>
      <c r="O192" s="2" t="str">
        <f ca="1">IFERROR(__xludf.DUMMYFUNCTION("""COMPUTED_VALUE"""),"")</f>
        <v/>
      </c>
      <c r="P192" s="2" t="str">
        <f ca="1">IFERROR(__xludf.DUMMYFUNCTION("""COMPUTED_VALUE"""),"No")</f>
        <v>No</v>
      </c>
      <c r="Q192" s="2" t="str">
        <f ca="1">IFERROR(__xludf.DUMMYFUNCTION("""COMPUTED_VALUE"""),"Dry")</f>
        <v>Dry</v>
      </c>
      <c r="R192" s="2" t="str">
        <f ca="1">IFERROR(__xludf.DUMMYFUNCTION("""COMPUTED_VALUE"""),"NA")</f>
        <v>NA</v>
      </c>
      <c r="S192" s="2" t="str">
        <f ca="1">IFERROR(__xludf.DUMMYFUNCTION("""COMPUTED_VALUE"""),"see map")</f>
        <v>see map</v>
      </c>
      <c r="T192" s="2" t="str">
        <f ca="1">IFERROR(__xludf.DUMMYFUNCTION("""COMPUTED_VALUE"""),"paddock")</f>
        <v>paddock</v>
      </c>
      <c r="U192" s="2" t="str">
        <f ca="1">IFERROR(__xludf.DUMMYFUNCTION("""COMPUTED_VALUE"""),"Rachel Langman - Bird flew to this location from previous after a loud plan passed overhead. still there an hour later - hawk flies over several times slowing down over bird. heard another bird booming in saltmarsh at 20.30 entered by Karl ")</f>
        <v xml:space="preserve">Rachel Langman - Bird flew to this location from previous after a loud plan passed overhead. still there an hour later - hawk flies over several times slowing down over bird. heard another bird booming in saltmarsh at 20.30 entered by Karl </v>
      </c>
      <c r="V192" s="2" t="str">
        <f ca="1">IFERROR(__xludf.DUMMYFUNCTION("""COMPUTED_VALUE"""),"")</f>
        <v/>
      </c>
      <c r="W192" s="2" t="str">
        <f ca="1">IFERROR(__xludf.DUMMYFUNCTION("""COMPUTED_VALUE"""),"")</f>
        <v/>
      </c>
      <c r="X192" s="2" t="str">
        <f ca="1">IFERROR(__xludf.DUMMYFUNCTION("""COMPUTED_VALUE"""),"")</f>
        <v/>
      </c>
      <c r="Y192" s="2" t="str">
        <f ca="1">IFERROR(__xludf.DUMMYFUNCTION("""COMPUTED_VALUE"""),"")</f>
        <v/>
      </c>
      <c r="Z192" s="2" t="str">
        <f ca="1">IFERROR(__xludf.DUMMYFUNCTION("""COMPUTED_VALUE"""),"")</f>
        <v/>
      </c>
      <c r="AA192" s="2" t="str">
        <f ca="1">IFERROR(__xludf.DUMMYFUNCTION("""COMPUTED_VALUE"""),"")</f>
        <v/>
      </c>
      <c r="AB192" s="2" t="str">
        <f ca="1">IFERROR(__xludf.DUMMYFUNCTION("""COMPUTED_VALUE"""),"")</f>
        <v/>
      </c>
      <c r="AC192" s="2" t="str">
        <f ca="1">IFERROR(__xludf.DUMMYFUNCTION("""COMPUTED_VALUE"""),"")</f>
        <v/>
      </c>
      <c r="AD192" s="2" t="str">
        <f ca="1">IFERROR(__xludf.DUMMYFUNCTION("""COMPUTED_VALUE"""),"")</f>
        <v/>
      </c>
      <c r="AE192" s="2" t="str">
        <f ca="1">IFERROR(__xludf.DUMMYFUNCTION("""COMPUTED_VALUE"""),"")</f>
        <v/>
      </c>
      <c r="AF192" s="2" t="str">
        <f ca="1">IFERROR(__xludf.DUMMYFUNCTION("""COMPUTED_VALUE"""),"")</f>
        <v/>
      </c>
      <c r="AG192" s="2" t="str">
        <f ca="1">IFERROR(__xludf.DUMMYFUNCTION("""COMPUTED_VALUE"""),"")</f>
        <v/>
      </c>
      <c r="AH192" s="2" t="str">
        <f ca="1">IFERROR(__xludf.DUMMYFUNCTION("""COMPUTED_VALUE"""),"")</f>
        <v/>
      </c>
      <c r="AI192" s="2" t="str">
        <f ca="1">IFERROR(__xludf.DUMMYFUNCTION("""COMPUTED_VALUE"""),"")</f>
        <v/>
      </c>
      <c r="AJ192" s="2" t="str">
        <f ca="1">IFERROR(__xludf.DUMMYFUNCTION("""COMPUTED_VALUE"""),"")</f>
        <v/>
      </c>
      <c r="AK192" s="2" t="str">
        <f ca="1">IFERROR(__xludf.DUMMYFUNCTION("""COMPUTED_VALUE"""),"")</f>
        <v/>
      </c>
      <c r="AL192" s="2" t="str">
        <f ca="1">IFERROR(__xludf.DUMMYFUNCTION("""COMPUTED_VALUE"""),"")</f>
        <v/>
      </c>
      <c r="AM192" s="2" t="str">
        <f ca="1">IFERROR(__xludf.DUMMYFUNCTION("""COMPUTED_VALUE"""),"")</f>
        <v/>
      </c>
      <c r="AN192" s="2" t="str">
        <f ca="1">IFERROR(__xludf.DUMMYFUNCTION("""COMPUTED_VALUE"""),"")</f>
        <v/>
      </c>
      <c r="AO192" s="2" t="str">
        <f ca="1">IFERROR(__xludf.DUMMYFUNCTION("""COMPUTED_VALUE"""),"")</f>
        <v/>
      </c>
      <c r="AP192" s="2" t="str">
        <f ca="1">IFERROR(__xludf.DUMMYFUNCTION("""COMPUTED_VALUE"""),"")</f>
        <v/>
      </c>
      <c r="AQ192" s="2" t="str">
        <f ca="1">IFERROR(__xludf.DUMMYFUNCTION("""COMPUTED_VALUE"""),"")</f>
        <v/>
      </c>
      <c r="AR192" s="2" t="str">
        <f ca="1">IFERROR(__xludf.DUMMYFUNCTION("""COMPUTED_VALUE"""),"")</f>
        <v/>
      </c>
      <c r="AS192" s="2" t="str">
        <f ca="1">IFERROR(__xludf.DUMMYFUNCTION("""COMPUTED_VALUE"""),"")</f>
        <v/>
      </c>
      <c r="AT192" s="2" t="str">
        <f ca="1">IFERROR(__xludf.DUMMYFUNCTION("""COMPUTED_VALUE"""),"")</f>
        <v/>
      </c>
      <c r="AU192" s="2" t="str">
        <f ca="1">IFERROR(__xludf.DUMMYFUNCTION("""COMPUTED_VALUE"""),"")</f>
        <v/>
      </c>
      <c r="AV192" s="2" t="str">
        <f ca="1">IFERROR(__xludf.DUMMYFUNCTION("""COMPUTED_VALUE"""),"")</f>
        <v/>
      </c>
      <c r="AW192" s="2" t="str">
        <f ca="1">IFERROR(__xludf.DUMMYFUNCTION("""COMPUTED_VALUE"""),"")</f>
        <v/>
      </c>
      <c r="AX192" s="2" t="str">
        <f ca="1">IFERROR(__xludf.DUMMYFUNCTION("""COMPUTED_VALUE"""),"")</f>
        <v/>
      </c>
      <c r="AY192" s="2" t="str">
        <f ca="1">IFERROR(__xludf.DUMMYFUNCTION("""COMPUTED_VALUE"""),"")</f>
        <v/>
      </c>
      <c r="AZ192" s="2" t="str">
        <f ca="1">IFERROR(__xludf.DUMMYFUNCTION("""COMPUTED_VALUE"""),"")</f>
        <v/>
      </c>
      <c r="BA192" s="2" t="str">
        <f ca="1">IFERROR(__xludf.DUMMYFUNCTION("""COMPUTED_VALUE"""),"")</f>
        <v/>
      </c>
      <c r="BB192" s="2" t="str">
        <f ca="1">IFERROR(__xludf.DUMMYFUNCTION("""COMPUTED_VALUE"""),"")</f>
        <v/>
      </c>
      <c r="BC192" s="2" t="str">
        <f ca="1">IFERROR(__xludf.DUMMYFUNCTION("""COMPUTED_VALUE"""),"")</f>
        <v/>
      </c>
      <c r="BD192" s="2" t="str">
        <f ca="1">IFERROR(__xludf.DUMMYFUNCTION("""COMPUTED_VALUE"""),"")</f>
        <v/>
      </c>
      <c r="BE192" s="2" t="str">
        <f ca="1">IFERROR(__xludf.DUMMYFUNCTION("""COMPUTED_VALUE"""),"")</f>
        <v/>
      </c>
      <c r="BF192" t="str">
        <f ca="1">IFERROR(__xludf.DUMMYFUNCTION("""COMPUTED_VALUE"""),"")</f>
        <v/>
      </c>
      <c r="BG192" t="str">
        <f ca="1">IFERROR(__xludf.DUMMYFUNCTION("""COMPUTED_VALUE"""),"")</f>
        <v/>
      </c>
      <c r="BH192" t="str">
        <f ca="1">IFERROR(__xludf.DUMMYFUNCTION("""COMPUTED_VALUE"""),"")</f>
        <v/>
      </c>
      <c r="BI192" t="str">
        <f ca="1">IFERROR(__xludf.DUMMYFUNCTION("""COMPUTED_VALUE"""),"")</f>
        <v/>
      </c>
      <c r="BJ192" s="3" t="str">
        <f ca="1">IFERROR(__xludf.DUMMYFUNCTION("""COMPUTED_VALUE"""),"")</f>
        <v/>
      </c>
    </row>
    <row r="193" spans="1:62" ht="12.5" x14ac:dyDescent="0.25">
      <c r="A193" s="6">
        <f ca="1">IFERROR(__xludf.DUMMYFUNCTION("""COMPUTED_VALUE"""),43802.4867427083)</f>
        <v>43802.486742708301</v>
      </c>
      <c r="B193" s="2" t="str">
        <f ca="1">IFERROR(__xludf.DUMMYFUNCTION("""COMPUTED_VALUE"""),"Bay of Plenty")</f>
        <v>Bay of Plenty</v>
      </c>
      <c r="C193" s="2" t="str">
        <f ca="1">IFERROR(__xludf.DUMMYFUNCTION("""COMPUTED_VALUE"""),"Tx 54")</f>
        <v>Tx 54</v>
      </c>
      <c r="D193" s="10">
        <f ca="1">IFERROR(__xludf.DUMMYFUNCTION("""COMPUTED_VALUE"""),43800)</f>
        <v>43800</v>
      </c>
      <c r="E193" s="4">
        <f ca="1">IFERROR(__xludf.DUMMYFUNCTION("""COMPUTED_VALUE"""),0.477083333335031)</f>
        <v>0.477083333335031</v>
      </c>
      <c r="F193" s="2" t="str">
        <f ca="1">IFERROR(__xludf.DUMMYFUNCTION("""COMPUTED_VALUE"""),"Cutwater rd")</f>
        <v>Cutwater rd</v>
      </c>
      <c r="G193" s="2" t="str">
        <f ca="1">IFERROR(__xludf.DUMMYFUNCTION("""COMPUTED_VALUE"""),"VHF (close approach): I followed the signal until I got within 50 m of the bird")</f>
        <v>VHF (close approach): I followed the signal until I got within 50 m of the bird</v>
      </c>
      <c r="H193" s="2" t="str">
        <f ca="1">IFERROR(__xludf.DUMMYFUNCTION("""COMPUTED_VALUE"""),"")</f>
        <v/>
      </c>
      <c r="I193" s="2" t="str">
        <f ca="1">IFERROR(__xludf.DUMMYFUNCTION("""COMPUTED_VALUE"""),"")</f>
        <v/>
      </c>
      <c r="J193" s="2" t="str">
        <f ca="1">IFERROR(__xludf.DUMMYFUNCTION("""COMPUTED_VALUE"""),"")</f>
        <v/>
      </c>
      <c r="K193" s="2" t="str">
        <f ca="1">IFERROR(__xludf.DUMMYFUNCTION("""COMPUTED_VALUE"""),"")</f>
        <v/>
      </c>
      <c r="L193" s="2" t="str">
        <f ca="1">IFERROR(__xludf.DUMMYFUNCTION("""COMPUTED_VALUE"""),"Yes - it flushed")</f>
        <v>Yes - it flushed</v>
      </c>
      <c r="M193" s="5">
        <f ca="1">IFERROR(__xludf.DUMMYFUNCTION("""COMPUTED_VALUE"""),190715)</f>
        <v>190715</v>
      </c>
      <c r="N193" s="5">
        <f ca="1">IFERROR(__xludf.DUMMYFUNCTION("""COMPUTED_VALUE"""),581301)</f>
        <v>581301</v>
      </c>
      <c r="O193" s="2" t="str">
        <f ca="1">IFERROR(__xludf.DUMMYFUNCTION("""COMPUTED_VALUE"""),"")</f>
        <v/>
      </c>
      <c r="P193" s="2" t="str">
        <f ca="1">IFERROR(__xludf.DUMMYFUNCTION("""COMPUTED_VALUE"""),"No")</f>
        <v>No</v>
      </c>
      <c r="Q193" s="2" t="str">
        <f ca="1">IFERROR(__xludf.DUMMYFUNCTION("""COMPUTED_VALUE"""),"Wet")</f>
        <v>Wet</v>
      </c>
      <c r="R193" s="2" t="str">
        <f ca="1">IFERROR(__xludf.DUMMYFUNCTION("""COMPUTED_VALUE"""),"dont know")</f>
        <v>dont know</v>
      </c>
      <c r="S193" s="2" t="str">
        <f ca="1">IFERROR(__xludf.DUMMYFUNCTION("""COMPUTED_VALUE"""),"drain edge")</f>
        <v>drain edge</v>
      </c>
      <c r="T193" s="2" t="str">
        <f ca="1">IFERROR(__xludf.DUMMYFUNCTION("""COMPUTED_VALUE"""),"drain")</f>
        <v>drain</v>
      </c>
      <c r="U193" s="2" t="str">
        <f ca="1">IFERROR(__xludf.DUMMYFUNCTION("""COMPUTED_VALUE"""),"Rachel Langman - 11.27 Driving down the track past the bend where I first saw him the night before, heading towards the metal shed to get a bearing of where he was. He flew out right next to my car on the left-hand side from down the bank again. Was only "&amp;"2-3m away at eye level, flew alongside my car for about 10m then crossed in front of me and flew North, over the bank to the estuary side. ")</f>
        <v xml:space="preserve">Rachel Langman - 11.27 Driving down the track past the bend where I first saw him the night before, heading towards the metal shed to get a bearing of where he was. He flew out right next to my car on the left-hand side from down the bank again. Was only 2-3m away at eye level, flew alongside my car for about 10m then crossed in front of me and flew North, over the bank to the estuary side. </v>
      </c>
      <c r="V193" s="2" t="str">
        <f ca="1">IFERROR(__xludf.DUMMYFUNCTION("""COMPUTED_VALUE"""),"")</f>
        <v/>
      </c>
      <c r="W193" s="2" t="str">
        <f ca="1">IFERROR(__xludf.DUMMYFUNCTION("""COMPUTED_VALUE"""),"")</f>
        <v/>
      </c>
      <c r="X193" s="2" t="str">
        <f ca="1">IFERROR(__xludf.DUMMYFUNCTION("""COMPUTED_VALUE"""),"")</f>
        <v/>
      </c>
      <c r="Y193" s="2" t="str">
        <f ca="1">IFERROR(__xludf.DUMMYFUNCTION("""COMPUTED_VALUE"""),"")</f>
        <v/>
      </c>
      <c r="Z193" s="2" t="str">
        <f ca="1">IFERROR(__xludf.DUMMYFUNCTION("""COMPUTED_VALUE"""),"")</f>
        <v/>
      </c>
      <c r="AA193" s="2" t="str">
        <f ca="1">IFERROR(__xludf.DUMMYFUNCTION("""COMPUTED_VALUE"""),"")</f>
        <v/>
      </c>
      <c r="AB193" s="2" t="str">
        <f ca="1">IFERROR(__xludf.DUMMYFUNCTION("""COMPUTED_VALUE"""),"")</f>
        <v/>
      </c>
      <c r="AC193" s="2" t="str">
        <f ca="1">IFERROR(__xludf.DUMMYFUNCTION("""COMPUTED_VALUE"""),"")</f>
        <v/>
      </c>
      <c r="AD193" s="2" t="str">
        <f ca="1">IFERROR(__xludf.DUMMYFUNCTION("""COMPUTED_VALUE"""),"")</f>
        <v/>
      </c>
      <c r="AE193" s="2" t="str">
        <f ca="1">IFERROR(__xludf.DUMMYFUNCTION("""COMPUTED_VALUE"""),"")</f>
        <v/>
      </c>
      <c r="AF193" s="2" t="str">
        <f ca="1">IFERROR(__xludf.DUMMYFUNCTION("""COMPUTED_VALUE"""),"")</f>
        <v/>
      </c>
      <c r="AG193" s="2" t="str">
        <f ca="1">IFERROR(__xludf.DUMMYFUNCTION("""COMPUTED_VALUE"""),"")</f>
        <v/>
      </c>
      <c r="AH193" s="2" t="str">
        <f ca="1">IFERROR(__xludf.DUMMYFUNCTION("""COMPUTED_VALUE"""),"")</f>
        <v/>
      </c>
      <c r="AI193" s="2" t="str">
        <f ca="1">IFERROR(__xludf.DUMMYFUNCTION("""COMPUTED_VALUE"""),"")</f>
        <v/>
      </c>
      <c r="AJ193" s="2" t="str">
        <f ca="1">IFERROR(__xludf.DUMMYFUNCTION("""COMPUTED_VALUE"""),"")</f>
        <v/>
      </c>
      <c r="AK193" s="2" t="str">
        <f ca="1">IFERROR(__xludf.DUMMYFUNCTION("""COMPUTED_VALUE"""),"")</f>
        <v/>
      </c>
      <c r="AL193" s="2" t="str">
        <f ca="1">IFERROR(__xludf.DUMMYFUNCTION("""COMPUTED_VALUE"""),"")</f>
        <v/>
      </c>
      <c r="AM193" s="2" t="str">
        <f ca="1">IFERROR(__xludf.DUMMYFUNCTION("""COMPUTED_VALUE"""),"")</f>
        <v/>
      </c>
      <c r="AN193" s="2" t="str">
        <f ca="1">IFERROR(__xludf.DUMMYFUNCTION("""COMPUTED_VALUE"""),"")</f>
        <v/>
      </c>
      <c r="AO193" s="2" t="str">
        <f ca="1">IFERROR(__xludf.DUMMYFUNCTION("""COMPUTED_VALUE"""),"")</f>
        <v/>
      </c>
      <c r="AP193" s="2" t="str">
        <f ca="1">IFERROR(__xludf.DUMMYFUNCTION("""COMPUTED_VALUE"""),"")</f>
        <v/>
      </c>
      <c r="AQ193" s="2" t="str">
        <f ca="1">IFERROR(__xludf.DUMMYFUNCTION("""COMPUTED_VALUE"""),"")</f>
        <v/>
      </c>
      <c r="AR193" s="2" t="str">
        <f ca="1">IFERROR(__xludf.DUMMYFUNCTION("""COMPUTED_VALUE"""),"")</f>
        <v/>
      </c>
      <c r="AS193" s="2" t="str">
        <f ca="1">IFERROR(__xludf.DUMMYFUNCTION("""COMPUTED_VALUE"""),"")</f>
        <v/>
      </c>
      <c r="AT193" s="2" t="str">
        <f ca="1">IFERROR(__xludf.DUMMYFUNCTION("""COMPUTED_VALUE"""),"")</f>
        <v/>
      </c>
      <c r="AU193" s="2" t="str">
        <f ca="1">IFERROR(__xludf.DUMMYFUNCTION("""COMPUTED_VALUE"""),"")</f>
        <v/>
      </c>
      <c r="AV193" s="2" t="str">
        <f ca="1">IFERROR(__xludf.DUMMYFUNCTION("""COMPUTED_VALUE"""),"")</f>
        <v/>
      </c>
      <c r="AW193" s="2" t="str">
        <f ca="1">IFERROR(__xludf.DUMMYFUNCTION("""COMPUTED_VALUE"""),"")</f>
        <v/>
      </c>
      <c r="AX193" s="2" t="str">
        <f ca="1">IFERROR(__xludf.DUMMYFUNCTION("""COMPUTED_VALUE"""),"")</f>
        <v/>
      </c>
      <c r="AY193" s="2" t="str">
        <f ca="1">IFERROR(__xludf.DUMMYFUNCTION("""COMPUTED_VALUE"""),"")</f>
        <v/>
      </c>
      <c r="AZ193" s="2" t="str">
        <f ca="1">IFERROR(__xludf.DUMMYFUNCTION("""COMPUTED_VALUE"""),"")</f>
        <v/>
      </c>
      <c r="BA193" s="2" t="str">
        <f ca="1">IFERROR(__xludf.DUMMYFUNCTION("""COMPUTED_VALUE"""),"")</f>
        <v/>
      </c>
      <c r="BB193" s="2" t="str">
        <f ca="1">IFERROR(__xludf.DUMMYFUNCTION("""COMPUTED_VALUE"""),"")</f>
        <v/>
      </c>
      <c r="BC193" s="2" t="str">
        <f ca="1">IFERROR(__xludf.DUMMYFUNCTION("""COMPUTED_VALUE"""),"")</f>
        <v/>
      </c>
      <c r="BD193" s="2" t="str">
        <f ca="1">IFERROR(__xludf.DUMMYFUNCTION("""COMPUTED_VALUE"""),"")</f>
        <v/>
      </c>
      <c r="BE193" s="2" t="str">
        <f ca="1">IFERROR(__xludf.DUMMYFUNCTION("""COMPUTED_VALUE"""),"")</f>
        <v/>
      </c>
      <c r="BF193" t="str">
        <f ca="1">IFERROR(__xludf.DUMMYFUNCTION("""COMPUTED_VALUE"""),"")</f>
        <v/>
      </c>
      <c r="BG193" t="str">
        <f ca="1">IFERROR(__xludf.DUMMYFUNCTION("""COMPUTED_VALUE"""),"")</f>
        <v/>
      </c>
      <c r="BH193" t="str">
        <f ca="1">IFERROR(__xludf.DUMMYFUNCTION("""COMPUTED_VALUE"""),"")</f>
        <v/>
      </c>
      <c r="BI193" t="str">
        <f ca="1">IFERROR(__xludf.DUMMYFUNCTION("""COMPUTED_VALUE"""),"")</f>
        <v/>
      </c>
      <c r="BJ193" s="3" t="str">
        <f ca="1">IFERROR(__xludf.DUMMYFUNCTION("""COMPUTED_VALUE"""),"")</f>
        <v/>
      </c>
    </row>
    <row r="194" spans="1:62" ht="12.5" x14ac:dyDescent="0.25">
      <c r="A194" s="6">
        <f ca="1">IFERROR(__xludf.DUMMYFUNCTION("""COMPUTED_VALUE"""),43802.4888771412)</f>
        <v>43802.488877141201</v>
      </c>
      <c r="B194" s="2" t="str">
        <f ca="1">IFERROR(__xludf.DUMMYFUNCTION("""COMPUTED_VALUE"""),"Bay of Plenty")</f>
        <v>Bay of Plenty</v>
      </c>
      <c r="C194" s="2" t="str">
        <f ca="1">IFERROR(__xludf.DUMMYFUNCTION("""COMPUTED_VALUE"""),"Tx 54")</f>
        <v>Tx 54</v>
      </c>
      <c r="D194" s="10">
        <f ca="1">IFERROR(__xludf.DUMMYFUNCTION("""COMPUTED_VALUE"""),43800)</f>
        <v>43800</v>
      </c>
      <c r="E194" s="4">
        <f ca="1">IFERROR(__xludf.DUMMYFUNCTION("""COMPUTED_VALUE"""),0.496527777777373)</f>
        <v>0.496527777777373</v>
      </c>
      <c r="F194" s="2" t="str">
        <f ca="1">IFERROR(__xludf.DUMMYFUNCTION("""COMPUTED_VALUE"""),"Waihi WMR")</f>
        <v>Waihi WMR</v>
      </c>
      <c r="G194" s="2" t="str">
        <f ca="1">IFERROR(__xludf.DUMMYFUNCTION("""COMPUTED_VALUE"""),"VHF (close approach): I followed the signal until I got within 50 m of the bird")</f>
        <v>VHF (close approach): I followed the signal until I got within 50 m of the bird</v>
      </c>
      <c r="H194" s="2" t="str">
        <f ca="1">IFERROR(__xludf.DUMMYFUNCTION("""COMPUTED_VALUE"""),"")</f>
        <v/>
      </c>
      <c r="I194" s="2" t="str">
        <f ca="1">IFERROR(__xludf.DUMMYFUNCTION("""COMPUTED_VALUE"""),"")</f>
        <v/>
      </c>
      <c r="J194" s="2" t="str">
        <f ca="1">IFERROR(__xludf.DUMMYFUNCTION("""COMPUTED_VALUE"""),"")</f>
        <v/>
      </c>
      <c r="K194" s="2" t="str">
        <f ca="1">IFERROR(__xludf.DUMMYFUNCTION("""COMPUTED_VALUE"""),"")</f>
        <v/>
      </c>
      <c r="L194" s="2" t="str">
        <f ca="1">IFERROR(__xludf.DUMMYFUNCTION("""COMPUTED_VALUE"""),"No - I got very close to the bird but it was well hidden in the vegetation")</f>
        <v>No - I got very close to the bird but it was well hidden in the vegetation</v>
      </c>
      <c r="M194" s="5">
        <f ca="1">IFERROR(__xludf.DUMMYFUNCTION("""COMPUTED_VALUE"""),1906851)</f>
        <v>1906851</v>
      </c>
      <c r="N194" s="5">
        <f ca="1">IFERROR(__xludf.DUMMYFUNCTION("""COMPUTED_VALUE"""),5813164)</f>
        <v>5813164</v>
      </c>
      <c r="O194" s="2" t="str">
        <f ca="1">IFERROR(__xludf.DUMMYFUNCTION("""COMPUTED_VALUE"""),"")</f>
        <v/>
      </c>
      <c r="P194" s="2" t="str">
        <f ca="1">IFERROR(__xludf.DUMMYFUNCTION("""COMPUTED_VALUE"""),"No")</f>
        <v>No</v>
      </c>
      <c r="Q194" s="2" t="str">
        <f ca="1">IFERROR(__xludf.DUMMYFUNCTION("""COMPUTED_VALUE"""),"Don't know")</f>
        <v>Don't know</v>
      </c>
      <c r="R194" s="2" t="str">
        <f ca="1">IFERROR(__xludf.DUMMYFUNCTION("""COMPUTED_VALUE"""),"dont know")</f>
        <v>dont know</v>
      </c>
      <c r="S194" s="2" t="str">
        <f ca="1">IFERROR(__xludf.DUMMYFUNCTION("""COMPUTED_VALUE"""),"dont know")</f>
        <v>dont know</v>
      </c>
      <c r="T194" s="2" t="str">
        <f ca="1">IFERROR(__xludf.DUMMYFUNCTION("""COMPUTED_VALUE"""),"Waihi WMR")</f>
        <v>Waihi WMR</v>
      </c>
      <c r="U194" s="2" t="str">
        <f ca="1">IFERROR(__xludf.DUMMYFUNCTION("""COMPUTED_VALUE"""),"Rachel Langman- Entered by Karl. See Karl for Rachels full feild notes. ")</f>
        <v xml:space="preserve">Rachel Langman- Entered by Karl. See Karl for Rachels full feild notes. </v>
      </c>
      <c r="V194" s="2" t="str">
        <f ca="1">IFERROR(__xludf.DUMMYFUNCTION("""COMPUTED_VALUE"""),"")</f>
        <v/>
      </c>
      <c r="W194" s="2" t="str">
        <f ca="1">IFERROR(__xludf.DUMMYFUNCTION("""COMPUTED_VALUE"""),"")</f>
        <v/>
      </c>
      <c r="X194" s="2" t="str">
        <f ca="1">IFERROR(__xludf.DUMMYFUNCTION("""COMPUTED_VALUE"""),"")</f>
        <v/>
      </c>
      <c r="Y194" s="2" t="str">
        <f ca="1">IFERROR(__xludf.DUMMYFUNCTION("""COMPUTED_VALUE"""),"")</f>
        <v/>
      </c>
      <c r="Z194" s="2" t="str">
        <f ca="1">IFERROR(__xludf.DUMMYFUNCTION("""COMPUTED_VALUE"""),"")</f>
        <v/>
      </c>
      <c r="AA194" s="2" t="str">
        <f ca="1">IFERROR(__xludf.DUMMYFUNCTION("""COMPUTED_VALUE"""),"")</f>
        <v/>
      </c>
      <c r="AB194" s="2" t="str">
        <f ca="1">IFERROR(__xludf.DUMMYFUNCTION("""COMPUTED_VALUE"""),"")</f>
        <v/>
      </c>
      <c r="AC194" s="2" t="str">
        <f ca="1">IFERROR(__xludf.DUMMYFUNCTION("""COMPUTED_VALUE"""),"")</f>
        <v/>
      </c>
      <c r="AD194" s="2" t="str">
        <f ca="1">IFERROR(__xludf.DUMMYFUNCTION("""COMPUTED_VALUE"""),"")</f>
        <v/>
      </c>
      <c r="AE194" s="2" t="str">
        <f ca="1">IFERROR(__xludf.DUMMYFUNCTION("""COMPUTED_VALUE"""),"")</f>
        <v/>
      </c>
      <c r="AF194" s="2" t="str">
        <f ca="1">IFERROR(__xludf.DUMMYFUNCTION("""COMPUTED_VALUE"""),"")</f>
        <v/>
      </c>
      <c r="AG194" s="2" t="str">
        <f ca="1">IFERROR(__xludf.DUMMYFUNCTION("""COMPUTED_VALUE"""),"")</f>
        <v/>
      </c>
      <c r="AH194" s="2" t="str">
        <f ca="1">IFERROR(__xludf.DUMMYFUNCTION("""COMPUTED_VALUE"""),"")</f>
        <v/>
      </c>
      <c r="AI194" s="2" t="str">
        <f ca="1">IFERROR(__xludf.DUMMYFUNCTION("""COMPUTED_VALUE"""),"")</f>
        <v/>
      </c>
      <c r="AJ194" s="2" t="str">
        <f ca="1">IFERROR(__xludf.DUMMYFUNCTION("""COMPUTED_VALUE"""),"")</f>
        <v/>
      </c>
      <c r="AK194" s="2" t="str">
        <f ca="1">IFERROR(__xludf.DUMMYFUNCTION("""COMPUTED_VALUE"""),"")</f>
        <v/>
      </c>
      <c r="AL194" s="2" t="str">
        <f ca="1">IFERROR(__xludf.DUMMYFUNCTION("""COMPUTED_VALUE"""),"")</f>
        <v/>
      </c>
      <c r="AM194" s="2" t="str">
        <f ca="1">IFERROR(__xludf.DUMMYFUNCTION("""COMPUTED_VALUE"""),"")</f>
        <v/>
      </c>
      <c r="AN194" s="2" t="str">
        <f ca="1">IFERROR(__xludf.DUMMYFUNCTION("""COMPUTED_VALUE"""),"")</f>
        <v/>
      </c>
      <c r="AO194" s="2" t="str">
        <f ca="1">IFERROR(__xludf.DUMMYFUNCTION("""COMPUTED_VALUE"""),"")</f>
        <v/>
      </c>
      <c r="AP194" s="2" t="str">
        <f ca="1">IFERROR(__xludf.DUMMYFUNCTION("""COMPUTED_VALUE"""),"")</f>
        <v/>
      </c>
      <c r="AQ194" s="2" t="str">
        <f ca="1">IFERROR(__xludf.DUMMYFUNCTION("""COMPUTED_VALUE"""),"")</f>
        <v/>
      </c>
      <c r="AR194" s="2" t="str">
        <f ca="1">IFERROR(__xludf.DUMMYFUNCTION("""COMPUTED_VALUE"""),"")</f>
        <v/>
      </c>
      <c r="AS194" s="2" t="str">
        <f ca="1">IFERROR(__xludf.DUMMYFUNCTION("""COMPUTED_VALUE"""),"")</f>
        <v/>
      </c>
      <c r="AT194" s="2" t="str">
        <f ca="1">IFERROR(__xludf.DUMMYFUNCTION("""COMPUTED_VALUE"""),"")</f>
        <v/>
      </c>
      <c r="AU194" s="2" t="str">
        <f ca="1">IFERROR(__xludf.DUMMYFUNCTION("""COMPUTED_VALUE"""),"")</f>
        <v/>
      </c>
      <c r="AV194" s="2" t="str">
        <f ca="1">IFERROR(__xludf.DUMMYFUNCTION("""COMPUTED_VALUE"""),"")</f>
        <v/>
      </c>
      <c r="AW194" s="2" t="str">
        <f ca="1">IFERROR(__xludf.DUMMYFUNCTION("""COMPUTED_VALUE"""),"")</f>
        <v/>
      </c>
      <c r="AX194" s="2" t="str">
        <f ca="1">IFERROR(__xludf.DUMMYFUNCTION("""COMPUTED_VALUE"""),"")</f>
        <v/>
      </c>
      <c r="AY194" s="2" t="str">
        <f ca="1">IFERROR(__xludf.DUMMYFUNCTION("""COMPUTED_VALUE"""),"")</f>
        <v/>
      </c>
      <c r="AZ194" s="2" t="str">
        <f ca="1">IFERROR(__xludf.DUMMYFUNCTION("""COMPUTED_VALUE"""),"")</f>
        <v/>
      </c>
      <c r="BA194" s="2" t="str">
        <f ca="1">IFERROR(__xludf.DUMMYFUNCTION("""COMPUTED_VALUE"""),"")</f>
        <v/>
      </c>
      <c r="BB194" s="2" t="str">
        <f ca="1">IFERROR(__xludf.DUMMYFUNCTION("""COMPUTED_VALUE"""),"")</f>
        <v/>
      </c>
      <c r="BC194" s="2" t="str">
        <f ca="1">IFERROR(__xludf.DUMMYFUNCTION("""COMPUTED_VALUE"""),"")</f>
        <v/>
      </c>
      <c r="BD194" s="2" t="str">
        <f ca="1">IFERROR(__xludf.DUMMYFUNCTION("""COMPUTED_VALUE"""),"")</f>
        <v/>
      </c>
      <c r="BE194" s="2" t="str">
        <f ca="1">IFERROR(__xludf.DUMMYFUNCTION("""COMPUTED_VALUE"""),"")</f>
        <v/>
      </c>
      <c r="BF194" t="str">
        <f ca="1">IFERROR(__xludf.DUMMYFUNCTION("""COMPUTED_VALUE"""),"")</f>
        <v/>
      </c>
      <c r="BG194" t="str">
        <f ca="1">IFERROR(__xludf.DUMMYFUNCTION("""COMPUTED_VALUE"""),"")</f>
        <v/>
      </c>
      <c r="BH194" t="str">
        <f ca="1">IFERROR(__xludf.DUMMYFUNCTION("""COMPUTED_VALUE"""),"")</f>
        <v/>
      </c>
      <c r="BI194" t="str">
        <f ca="1">IFERROR(__xludf.DUMMYFUNCTION("""COMPUTED_VALUE"""),"")</f>
        <v/>
      </c>
      <c r="BJ194" s="3" t="str">
        <f ca="1">IFERROR(__xludf.DUMMYFUNCTION("""COMPUTED_VALUE"""),"")</f>
        <v/>
      </c>
    </row>
    <row r="195" spans="1:62" ht="12.5" x14ac:dyDescent="0.25">
      <c r="A195" s="6">
        <f ca="1">IFERROR(__xludf.DUMMYFUNCTION("""COMPUTED_VALUE"""),43258.6309302083)</f>
        <v>43258.630930208303</v>
      </c>
      <c r="B195" s="2" t="str">
        <f ca="1">IFERROR(__xludf.DUMMYFUNCTION("""COMPUTED_VALUE"""),"Bay of Plenty")</f>
        <v>Bay of Plenty</v>
      </c>
      <c r="C195" s="2" t="str">
        <f ca="1">IFERROR(__xludf.DUMMYFUNCTION("""COMPUTED_VALUE"""),"Tx 36 - M-91429")</f>
        <v>Tx 36 - M-91429</v>
      </c>
      <c r="D195" s="10">
        <f ca="1">IFERROR(__xludf.DUMMYFUNCTION("""COMPUTED_VALUE"""),42625)</f>
        <v>42625</v>
      </c>
      <c r="E195" s="4">
        <f ca="1">IFERROR(__xludf.DUMMYFUNCTION("""COMPUTED_VALUE"""),0)</f>
        <v>0</v>
      </c>
      <c r="F195" s="2" t="str">
        <f ca="1">IFERROR(__xludf.DUMMYFUNCTION("""COMPUTED_VALUE"""),"Farmland South of Little Waihi")</f>
        <v>Farmland South of Little Waihi</v>
      </c>
      <c r="G195" s="2" t="str">
        <f ca="1">IFERROR(__xludf.DUMMYFUNCTION("""COMPUTED_VALUE"""),"VHF (close approach): I followed the signal until I got within 50 m of the bird")</f>
        <v>VHF (close approach): I followed the signal until I got within 50 m of the bird</v>
      </c>
      <c r="H195" s="2" t="str">
        <f ca="1">IFERROR(__xludf.DUMMYFUNCTION("""COMPUTED_VALUE"""),"")</f>
        <v/>
      </c>
      <c r="I195" s="2" t="str">
        <f ca="1">IFERROR(__xludf.DUMMYFUNCTION("""COMPUTED_VALUE"""),"")</f>
        <v/>
      </c>
      <c r="J195" s="2" t="str">
        <f ca="1">IFERROR(__xludf.DUMMYFUNCTION("""COMPUTED_VALUE"""),"")</f>
        <v/>
      </c>
      <c r="K195" s="2" t="str">
        <f ca="1">IFERROR(__xludf.DUMMYFUNCTION("""COMPUTED_VALUE"""),"")</f>
        <v/>
      </c>
      <c r="L195" s="2" t="str">
        <f ca="1">IFERROR(__xludf.DUMMYFUNCTION("""COMPUTED_VALUE"""),"No - I got very close to the bird but it was well hidden in the vegetation")</f>
        <v>No - I got very close to the bird but it was well hidden in the vegetation</v>
      </c>
      <c r="M195" s="5">
        <f ca="1">IFERROR(__xludf.DUMMYFUNCTION("""COMPUTED_VALUE"""),1905773)</f>
        <v>1905773</v>
      </c>
      <c r="N195" s="5">
        <f ca="1">IFERROR(__xludf.DUMMYFUNCTION("""COMPUTED_VALUE"""),5812269)</f>
        <v>5812269</v>
      </c>
      <c r="O195" s="2" t="str">
        <f ca="1">IFERROR(__xludf.DUMMYFUNCTION("""COMPUTED_VALUE"""),"")</f>
        <v/>
      </c>
      <c r="P195" s="2" t="str">
        <f ca="1">IFERROR(__xludf.DUMMYFUNCTION("""COMPUTED_VALUE"""),"Don't know")</f>
        <v>Don't know</v>
      </c>
      <c r="Q195" s="2" t="str">
        <f ca="1">IFERROR(__xludf.DUMMYFUNCTION("""COMPUTED_VALUE"""),"Don't know")</f>
        <v>Don't know</v>
      </c>
      <c r="R195" s="2" t="str">
        <f ca="1">IFERROR(__xludf.DUMMYFUNCTION("""COMPUTED_VALUE"""),"Unk")</f>
        <v>Unk</v>
      </c>
      <c r="S195" s="2" t="str">
        <f ca="1">IFERROR(__xludf.DUMMYFUNCTION("""COMPUTED_VALUE"""),"Unk")</f>
        <v>Unk</v>
      </c>
      <c r="T195" s="2" t="str">
        <f ca="1">IFERROR(__xludf.DUMMYFUNCTION("""COMPUTED_VALUE"""),"Drainage Channel")</f>
        <v>Drainage Channel</v>
      </c>
      <c r="U195" s="2" t="str">
        <f ca="1">IFERROR(__xludf.DUMMYFUNCTION("""COMPUTED_VALUE"""),"Not an accurate fix. 36 on farmland to east of wetland. on 8th futher south than on 5th. On 12th in much the same are but further south still. 16th, today, could not get a signal. Tried on side road as well as from wetland but heard nothing.")</f>
        <v>Not an accurate fix. 36 on farmland to east of wetland. on 8th futher south than on 5th. On 12th in much the same are but further south still. 16th, today, could not get a signal. Tried on side road as well as from wetland but heard nothing.</v>
      </c>
      <c r="V195" s="2" t="str">
        <f ca="1">IFERROR(__xludf.DUMMYFUNCTION("""COMPUTED_VALUE"""),"")</f>
        <v/>
      </c>
      <c r="W195" s="2" t="str">
        <f ca="1">IFERROR(__xludf.DUMMYFUNCTION("""COMPUTED_VALUE"""),"")</f>
        <v/>
      </c>
      <c r="X195" s="2" t="str">
        <f ca="1">IFERROR(__xludf.DUMMYFUNCTION("""COMPUTED_VALUE"""),"")</f>
        <v/>
      </c>
      <c r="Y195" s="2" t="str">
        <f ca="1">IFERROR(__xludf.DUMMYFUNCTION("""COMPUTED_VALUE"""),"")</f>
        <v/>
      </c>
      <c r="Z195" s="2" t="str">
        <f ca="1">IFERROR(__xludf.DUMMYFUNCTION("""COMPUTED_VALUE"""),"")</f>
        <v/>
      </c>
      <c r="AA195" s="2" t="str">
        <f ca="1">IFERROR(__xludf.DUMMYFUNCTION("""COMPUTED_VALUE"""),"")</f>
        <v/>
      </c>
      <c r="AB195" s="2" t="str">
        <f ca="1">IFERROR(__xludf.DUMMYFUNCTION("""COMPUTED_VALUE"""),"")</f>
        <v/>
      </c>
      <c r="AC195" s="2" t="str">
        <f ca="1">IFERROR(__xludf.DUMMYFUNCTION("""COMPUTED_VALUE"""),"")</f>
        <v/>
      </c>
      <c r="AD195" s="2" t="str">
        <f ca="1">IFERROR(__xludf.DUMMYFUNCTION("""COMPUTED_VALUE"""),"")</f>
        <v/>
      </c>
      <c r="AE195" s="2" t="str">
        <f ca="1">IFERROR(__xludf.DUMMYFUNCTION("""COMPUTED_VALUE"""),"")</f>
        <v/>
      </c>
      <c r="AF195" s="2" t="str">
        <f ca="1">IFERROR(__xludf.DUMMYFUNCTION("""COMPUTED_VALUE"""),"")</f>
        <v/>
      </c>
      <c r="AG195" s="2" t="str">
        <f ca="1">IFERROR(__xludf.DUMMYFUNCTION("""COMPUTED_VALUE"""),"")</f>
        <v/>
      </c>
      <c r="AH195" s="2" t="str">
        <f ca="1">IFERROR(__xludf.DUMMYFUNCTION("""COMPUTED_VALUE"""),"")</f>
        <v/>
      </c>
      <c r="AI195" s="2" t="str">
        <f ca="1">IFERROR(__xludf.DUMMYFUNCTION("""COMPUTED_VALUE"""),"")</f>
        <v/>
      </c>
      <c r="AJ195" s="2" t="str">
        <f ca="1">IFERROR(__xludf.DUMMYFUNCTION("""COMPUTED_VALUE"""),"")</f>
        <v/>
      </c>
      <c r="AK195" s="2" t="str">
        <f ca="1">IFERROR(__xludf.DUMMYFUNCTION("""COMPUTED_VALUE"""),"")</f>
        <v/>
      </c>
      <c r="AL195" s="2" t="str">
        <f ca="1">IFERROR(__xludf.DUMMYFUNCTION("""COMPUTED_VALUE"""),"")</f>
        <v/>
      </c>
      <c r="AM195" s="2" t="str">
        <f ca="1">IFERROR(__xludf.DUMMYFUNCTION("""COMPUTED_VALUE"""),"")</f>
        <v/>
      </c>
      <c r="AN195" s="2" t="str">
        <f ca="1">IFERROR(__xludf.DUMMYFUNCTION("""COMPUTED_VALUE"""),"")</f>
        <v/>
      </c>
      <c r="AO195" s="2" t="str">
        <f ca="1">IFERROR(__xludf.DUMMYFUNCTION("""COMPUTED_VALUE"""),"")</f>
        <v/>
      </c>
      <c r="AP195" s="2" t="str">
        <f ca="1">IFERROR(__xludf.DUMMYFUNCTION("""COMPUTED_VALUE"""),"")</f>
        <v/>
      </c>
      <c r="AQ195" s="2" t="str">
        <f ca="1">IFERROR(__xludf.DUMMYFUNCTION("""COMPUTED_VALUE"""),"")</f>
        <v/>
      </c>
      <c r="AR195" s="2" t="str">
        <f ca="1">IFERROR(__xludf.DUMMYFUNCTION("""COMPUTED_VALUE"""),"")</f>
        <v/>
      </c>
      <c r="AS195" s="2" t="str">
        <f ca="1">IFERROR(__xludf.DUMMYFUNCTION("""COMPUTED_VALUE"""),"")</f>
        <v/>
      </c>
      <c r="AT195" s="2" t="str">
        <f ca="1">IFERROR(__xludf.DUMMYFUNCTION("""COMPUTED_VALUE"""),"")</f>
        <v/>
      </c>
      <c r="AU195" s="2" t="str">
        <f ca="1">IFERROR(__xludf.DUMMYFUNCTION("""COMPUTED_VALUE"""),"")</f>
        <v/>
      </c>
      <c r="AV195" s="2" t="str">
        <f ca="1">IFERROR(__xludf.DUMMYFUNCTION("""COMPUTED_VALUE"""),"")</f>
        <v/>
      </c>
      <c r="AW195" s="2" t="str">
        <f ca="1">IFERROR(__xludf.DUMMYFUNCTION("""COMPUTED_VALUE"""),"")</f>
        <v/>
      </c>
      <c r="AX195" s="2" t="str">
        <f ca="1">IFERROR(__xludf.DUMMYFUNCTION("""COMPUTED_VALUE"""),"")</f>
        <v/>
      </c>
      <c r="AY195" s="2" t="str">
        <f ca="1">IFERROR(__xludf.DUMMYFUNCTION("""COMPUTED_VALUE"""),"")</f>
        <v/>
      </c>
      <c r="AZ195" s="2" t="str">
        <f ca="1">IFERROR(__xludf.DUMMYFUNCTION("""COMPUTED_VALUE"""),"")</f>
        <v/>
      </c>
      <c r="BA195" s="2" t="str">
        <f ca="1">IFERROR(__xludf.DUMMYFUNCTION("""COMPUTED_VALUE"""),"")</f>
        <v/>
      </c>
      <c r="BB195" s="2" t="str">
        <f ca="1">IFERROR(__xludf.DUMMYFUNCTION("""COMPUTED_VALUE"""),"")</f>
        <v/>
      </c>
      <c r="BC195" s="2" t="str">
        <f ca="1">IFERROR(__xludf.DUMMYFUNCTION("""COMPUTED_VALUE"""),"")</f>
        <v/>
      </c>
      <c r="BD195" s="2" t="str">
        <f ca="1">IFERROR(__xludf.DUMMYFUNCTION("""COMPUTED_VALUE"""),"Little Waihi")</f>
        <v>Little Waihi</v>
      </c>
      <c r="BE195" s="2" t="str">
        <f ca="1">IFERROR(__xludf.DUMMYFUNCTION("""COMPUTED_VALUE"""),"36 on farmland to east of wetland. on 8th futher south than on 5th. On 12th in much the same are but further south still. 16th, today, could not get a signal. Tried on side road as well as from wetland but heard nothing.")</f>
        <v>36 on farmland to east of wetland. on 8th futher south than on 5th. On 12th in much the same are but further south still. 16th, today, could not get a signal. Tried on side road as well as from wetland but heard nothing.</v>
      </c>
      <c r="BF195" t="str">
        <f ca="1">IFERROR(__xludf.DUMMYFUNCTION("""COMPUTED_VALUE"""),"")</f>
        <v/>
      </c>
      <c r="BG195" t="str">
        <f ca="1">IFERROR(__xludf.DUMMYFUNCTION("""COMPUTED_VALUE"""),"")</f>
        <v/>
      </c>
      <c r="BH195" t="str">
        <f ca="1">IFERROR(__xludf.DUMMYFUNCTION("""COMPUTED_VALUE"""),"")</f>
        <v/>
      </c>
      <c r="BI195" t="str">
        <f ca="1">IFERROR(__xludf.DUMMYFUNCTION("""COMPUTED_VALUE"""),"")</f>
        <v/>
      </c>
      <c r="BJ195" s="3" t="str">
        <f ca="1">IFERROR(__xludf.DUMMYFUNCTION("""COMPUTED_VALUE"""),"")</f>
        <v/>
      </c>
    </row>
    <row r="196" spans="1:62" ht="12.5" x14ac:dyDescent="0.25">
      <c r="A196" s="6">
        <f ca="1">IFERROR(__xludf.DUMMYFUNCTION("""COMPUTED_VALUE"""),43258.6309302083)</f>
        <v>43258.630930208303</v>
      </c>
      <c r="B196" s="2" t="str">
        <f ca="1">IFERROR(__xludf.DUMMYFUNCTION("""COMPUTED_VALUE"""),"Bay of Plenty")</f>
        <v>Bay of Plenty</v>
      </c>
      <c r="C196" s="2" t="str">
        <f ca="1">IFERROR(__xludf.DUMMYFUNCTION("""COMPUTED_VALUE"""),"Tx 36 - M-91429")</f>
        <v>Tx 36 - M-91429</v>
      </c>
      <c r="D196" s="10">
        <f ca="1">IFERROR(__xludf.DUMMYFUNCTION("""COMPUTED_VALUE"""),42621)</f>
        <v>42621</v>
      </c>
      <c r="E196" s="4">
        <f ca="1">IFERROR(__xludf.DUMMYFUNCTION("""COMPUTED_VALUE"""),0)</f>
        <v>0</v>
      </c>
      <c r="F196" s="2" t="str">
        <f ca="1">IFERROR(__xludf.DUMMYFUNCTION("""COMPUTED_VALUE"""),"Farmland South of Little Waihi")</f>
        <v>Farmland South of Little Waihi</v>
      </c>
      <c r="G196" s="2" t="str">
        <f ca="1">IFERROR(__xludf.DUMMYFUNCTION("""COMPUTED_VALUE"""),"VHF (close approach): I followed the signal until I got within 50 m of the bird")</f>
        <v>VHF (close approach): I followed the signal until I got within 50 m of the bird</v>
      </c>
      <c r="H196" s="2" t="str">
        <f ca="1">IFERROR(__xludf.DUMMYFUNCTION("""COMPUTED_VALUE"""),"")</f>
        <v/>
      </c>
      <c r="I196" s="2" t="str">
        <f ca="1">IFERROR(__xludf.DUMMYFUNCTION("""COMPUTED_VALUE"""),"")</f>
        <v/>
      </c>
      <c r="J196" s="2" t="str">
        <f ca="1">IFERROR(__xludf.DUMMYFUNCTION("""COMPUTED_VALUE"""),"")</f>
        <v/>
      </c>
      <c r="K196" s="2" t="str">
        <f ca="1">IFERROR(__xludf.DUMMYFUNCTION("""COMPUTED_VALUE"""),"")</f>
        <v/>
      </c>
      <c r="L196" s="2" t="str">
        <f ca="1">IFERROR(__xludf.DUMMYFUNCTION("""COMPUTED_VALUE"""),"No - I got very close to the bird but it was well hidden in the vegetation")</f>
        <v>No - I got very close to the bird but it was well hidden in the vegetation</v>
      </c>
      <c r="M196" s="5">
        <f ca="1">IFERROR(__xludf.DUMMYFUNCTION("""COMPUTED_VALUE"""),1906035)</f>
        <v>1906035</v>
      </c>
      <c r="N196" s="5">
        <f ca="1">IFERROR(__xludf.DUMMYFUNCTION("""COMPUTED_VALUE"""),5812606)</f>
        <v>5812606</v>
      </c>
      <c r="O196" s="2" t="str">
        <f ca="1">IFERROR(__xludf.DUMMYFUNCTION("""COMPUTED_VALUE"""),"")</f>
        <v/>
      </c>
      <c r="P196" s="2" t="str">
        <f ca="1">IFERROR(__xludf.DUMMYFUNCTION("""COMPUTED_VALUE"""),"Don't know")</f>
        <v>Don't know</v>
      </c>
      <c r="Q196" s="2" t="str">
        <f ca="1">IFERROR(__xludf.DUMMYFUNCTION("""COMPUTED_VALUE"""),"Don't know")</f>
        <v>Don't know</v>
      </c>
      <c r="R196" s="2" t="str">
        <f ca="1">IFERROR(__xludf.DUMMYFUNCTION("""COMPUTED_VALUE"""),"Unk")</f>
        <v>Unk</v>
      </c>
      <c r="S196" s="2" t="str">
        <f ca="1">IFERROR(__xludf.DUMMYFUNCTION("""COMPUTED_VALUE"""),"Unk")</f>
        <v>Unk</v>
      </c>
      <c r="T196" s="2" t="str">
        <f ca="1">IFERROR(__xludf.DUMMYFUNCTION("""COMPUTED_VALUE"""),"Drainage Channel")</f>
        <v>Drainage Channel</v>
      </c>
      <c r="U196" s="2" t="str">
        <f ca="1">IFERROR(__xludf.DUMMYFUNCTION("""COMPUTED_VALUE"""),"Not an accurate fix.36 on farmland to east of wetland. on 8th futher south than on 5th. On 12th in much the same are but further south still. 16th, today, could not get a signal. Tried on side road as well as from wetland but heard nothing.")</f>
        <v>Not an accurate fix.36 on farmland to east of wetland. on 8th futher south than on 5th. On 12th in much the same are but further south still. 16th, today, could not get a signal. Tried on side road as well as from wetland but heard nothing.</v>
      </c>
      <c r="V196" s="2" t="str">
        <f ca="1">IFERROR(__xludf.DUMMYFUNCTION("""COMPUTED_VALUE"""),"")</f>
        <v/>
      </c>
      <c r="W196" s="2" t="str">
        <f ca="1">IFERROR(__xludf.DUMMYFUNCTION("""COMPUTED_VALUE"""),"")</f>
        <v/>
      </c>
      <c r="X196" s="2" t="str">
        <f ca="1">IFERROR(__xludf.DUMMYFUNCTION("""COMPUTED_VALUE"""),"")</f>
        <v/>
      </c>
      <c r="Y196" s="2" t="str">
        <f ca="1">IFERROR(__xludf.DUMMYFUNCTION("""COMPUTED_VALUE"""),"")</f>
        <v/>
      </c>
      <c r="Z196" s="2" t="str">
        <f ca="1">IFERROR(__xludf.DUMMYFUNCTION("""COMPUTED_VALUE"""),"")</f>
        <v/>
      </c>
      <c r="AA196" s="2" t="str">
        <f ca="1">IFERROR(__xludf.DUMMYFUNCTION("""COMPUTED_VALUE"""),"")</f>
        <v/>
      </c>
      <c r="AB196" s="2" t="str">
        <f ca="1">IFERROR(__xludf.DUMMYFUNCTION("""COMPUTED_VALUE"""),"")</f>
        <v/>
      </c>
      <c r="AC196" s="2" t="str">
        <f ca="1">IFERROR(__xludf.DUMMYFUNCTION("""COMPUTED_VALUE"""),"")</f>
        <v/>
      </c>
      <c r="AD196" s="2" t="str">
        <f ca="1">IFERROR(__xludf.DUMMYFUNCTION("""COMPUTED_VALUE"""),"")</f>
        <v/>
      </c>
      <c r="AE196" s="2" t="str">
        <f ca="1">IFERROR(__xludf.DUMMYFUNCTION("""COMPUTED_VALUE"""),"")</f>
        <v/>
      </c>
      <c r="AF196" s="2" t="str">
        <f ca="1">IFERROR(__xludf.DUMMYFUNCTION("""COMPUTED_VALUE"""),"")</f>
        <v/>
      </c>
      <c r="AG196" s="2" t="str">
        <f ca="1">IFERROR(__xludf.DUMMYFUNCTION("""COMPUTED_VALUE"""),"")</f>
        <v/>
      </c>
      <c r="AH196" s="2" t="str">
        <f ca="1">IFERROR(__xludf.DUMMYFUNCTION("""COMPUTED_VALUE"""),"")</f>
        <v/>
      </c>
      <c r="AI196" s="2" t="str">
        <f ca="1">IFERROR(__xludf.DUMMYFUNCTION("""COMPUTED_VALUE"""),"")</f>
        <v/>
      </c>
      <c r="AJ196" s="2" t="str">
        <f ca="1">IFERROR(__xludf.DUMMYFUNCTION("""COMPUTED_VALUE"""),"")</f>
        <v/>
      </c>
      <c r="AK196" s="2" t="str">
        <f ca="1">IFERROR(__xludf.DUMMYFUNCTION("""COMPUTED_VALUE"""),"")</f>
        <v/>
      </c>
      <c r="AL196" s="2" t="str">
        <f ca="1">IFERROR(__xludf.DUMMYFUNCTION("""COMPUTED_VALUE"""),"")</f>
        <v/>
      </c>
      <c r="AM196" s="2" t="str">
        <f ca="1">IFERROR(__xludf.DUMMYFUNCTION("""COMPUTED_VALUE"""),"")</f>
        <v/>
      </c>
      <c r="AN196" s="2" t="str">
        <f ca="1">IFERROR(__xludf.DUMMYFUNCTION("""COMPUTED_VALUE"""),"")</f>
        <v/>
      </c>
      <c r="AO196" s="2" t="str">
        <f ca="1">IFERROR(__xludf.DUMMYFUNCTION("""COMPUTED_VALUE"""),"")</f>
        <v/>
      </c>
      <c r="AP196" s="2" t="str">
        <f ca="1">IFERROR(__xludf.DUMMYFUNCTION("""COMPUTED_VALUE"""),"")</f>
        <v/>
      </c>
      <c r="AQ196" s="2" t="str">
        <f ca="1">IFERROR(__xludf.DUMMYFUNCTION("""COMPUTED_VALUE"""),"")</f>
        <v/>
      </c>
      <c r="AR196" s="2" t="str">
        <f ca="1">IFERROR(__xludf.DUMMYFUNCTION("""COMPUTED_VALUE"""),"")</f>
        <v/>
      </c>
      <c r="AS196" s="2" t="str">
        <f ca="1">IFERROR(__xludf.DUMMYFUNCTION("""COMPUTED_VALUE"""),"")</f>
        <v/>
      </c>
      <c r="AT196" s="2" t="str">
        <f ca="1">IFERROR(__xludf.DUMMYFUNCTION("""COMPUTED_VALUE"""),"")</f>
        <v/>
      </c>
      <c r="AU196" s="2" t="str">
        <f ca="1">IFERROR(__xludf.DUMMYFUNCTION("""COMPUTED_VALUE"""),"")</f>
        <v/>
      </c>
      <c r="AV196" s="2" t="str">
        <f ca="1">IFERROR(__xludf.DUMMYFUNCTION("""COMPUTED_VALUE"""),"")</f>
        <v/>
      </c>
      <c r="AW196" s="2" t="str">
        <f ca="1">IFERROR(__xludf.DUMMYFUNCTION("""COMPUTED_VALUE"""),"")</f>
        <v/>
      </c>
      <c r="AX196" s="2" t="str">
        <f ca="1">IFERROR(__xludf.DUMMYFUNCTION("""COMPUTED_VALUE"""),"")</f>
        <v/>
      </c>
      <c r="AY196" s="2" t="str">
        <f ca="1">IFERROR(__xludf.DUMMYFUNCTION("""COMPUTED_VALUE"""),"")</f>
        <v/>
      </c>
      <c r="AZ196" s="2" t="str">
        <f ca="1">IFERROR(__xludf.DUMMYFUNCTION("""COMPUTED_VALUE"""),"")</f>
        <v/>
      </c>
      <c r="BA196" s="2" t="str">
        <f ca="1">IFERROR(__xludf.DUMMYFUNCTION("""COMPUTED_VALUE"""),"")</f>
        <v/>
      </c>
      <c r="BB196" s="2" t="str">
        <f ca="1">IFERROR(__xludf.DUMMYFUNCTION("""COMPUTED_VALUE"""),"")</f>
        <v/>
      </c>
      <c r="BC196" s="2" t="str">
        <f ca="1">IFERROR(__xludf.DUMMYFUNCTION("""COMPUTED_VALUE"""),"")</f>
        <v/>
      </c>
      <c r="BD196" s="2" t="str">
        <f ca="1">IFERROR(__xludf.DUMMYFUNCTION("""COMPUTED_VALUE"""),"Little Waihi")</f>
        <v>Little Waihi</v>
      </c>
      <c r="BE196" s="2" t="str">
        <f ca="1">IFERROR(__xludf.DUMMYFUNCTION("""COMPUTED_VALUE"""),"36 on farmland to east of wetland. on 8th futher south than on 5th. On 12th in much the same are but further south still. 16th, today, could not get a signal. Tried on side road as well as from wetland but heard nothing.")</f>
        <v>36 on farmland to east of wetland. on 8th futher south than on 5th. On 12th in much the same are but further south still. 16th, today, could not get a signal. Tried on side road as well as from wetland but heard nothing.</v>
      </c>
      <c r="BF196" t="str">
        <f ca="1">IFERROR(__xludf.DUMMYFUNCTION("""COMPUTED_VALUE"""),"")</f>
        <v/>
      </c>
      <c r="BG196" t="str">
        <f ca="1">IFERROR(__xludf.DUMMYFUNCTION("""COMPUTED_VALUE"""),"")</f>
        <v/>
      </c>
      <c r="BH196" t="str">
        <f ca="1">IFERROR(__xludf.DUMMYFUNCTION("""COMPUTED_VALUE"""),"")</f>
        <v/>
      </c>
      <c r="BI196" t="str">
        <f ca="1">IFERROR(__xludf.DUMMYFUNCTION("""COMPUTED_VALUE"""),"")</f>
        <v/>
      </c>
      <c r="BJ196" s="3" t="str">
        <f ca="1">IFERROR(__xludf.DUMMYFUNCTION("""COMPUTED_VALUE"""),"")</f>
        <v/>
      </c>
    </row>
    <row r="197" spans="1:62" ht="12.5" x14ac:dyDescent="0.25">
      <c r="A197" s="2"/>
      <c r="B197" s="2"/>
      <c r="C197" s="2"/>
      <c r="D197" s="2"/>
      <c r="E197" s="4"/>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spans="1:62" ht="12.5" x14ac:dyDescent="0.25">
      <c r="A198" s="2"/>
      <c r="B198" s="2"/>
      <c r="C198" s="2"/>
      <c r="D198" s="2"/>
      <c r="E198" s="4"/>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spans="1:62" ht="12.5" x14ac:dyDescent="0.25">
      <c r="A199" s="2"/>
      <c r="B199" s="2"/>
      <c r="C199" s="2"/>
      <c r="D199" s="2"/>
      <c r="E199" s="4"/>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spans="1:62" ht="12.5" x14ac:dyDescent="0.25">
      <c r="A200" s="2"/>
      <c r="B200" s="2"/>
      <c r="C200" s="2"/>
      <c r="D200" s="2"/>
      <c r="E200" s="4"/>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spans="1:62" ht="12.5" x14ac:dyDescent="0.25">
      <c r="A201" s="2"/>
      <c r="B201" s="2"/>
      <c r="C201" s="2"/>
      <c r="D201" s="2"/>
      <c r="E201" s="4"/>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spans="1:62" ht="12.5" x14ac:dyDescent="0.25">
      <c r="A202" s="2"/>
      <c r="B202" s="2"/>
      <c r="C202" s="2"/>
      <c r="D202" s="2"/>
      <c r="E202" s="4"/>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spans="1:62" ht="12.5" x14ac:dyDescent="0.25">
      <c r="A203" s="2"/>
      <c r="B203" s="2"/>
      <c r="C203" s="2"/>
      <c r="D203" s="2"/>
      <c r="E203" s="4"/>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spans="1:62" ht="12.5" x14ac:dyDescent="0.25">
      <c r="A204" s="2"/>
      <c r="B204" s="2"/>
      <c r="C204" s="2"/>
      <c r="D204" s="2"/>
      <c r="E204" s="4"/>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spans="1:62" ht="12.5" x14ac:dyDescent="0.25">
      <c r="A205" s="2"/>
      <c r="B205" s="2"/>
      <c r="C205" s="2"/>
      <c r="D205" s="2"/>
      <c r="E205" s="4"/>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spans="1:62" ht="12.5" x14ac:dyDescent="0.25">
      <c r="A206" s="2"/>
      <c r="B206" s="2"/>
      <c r="C206" s="2"/>
      <c r="D206" s="2"/>
      <c r="E206" s="4"/>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spans="1:62" ht="12.5" x14ac:dyDescent="0.25">
      <c r="A207" s="2"/>
      <c r="B207" s="2"/>
      <c r="C207" s="2"/>
      <c r="D207" s="2"/>
      <c r="E207" s="4"/>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spans="1:62" ht="12.5" x14ac:dyDescent="0.25">
      <c r="A208" s="2"/>
      <c r="B208" s="2"/>
      <c r="C208" s="2"/>
      <c r="D208" s="2"/>
      <c r="E208" s="4"/>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spans="1:57" ht="12.5" x14ac:dyDescent="0.25">
      <c r="A209" s="2"/>
      <c r="B209" s="2"/>
      <c r="C209" s="2"/>
      <c r="D209" s="2"/>
      <c r="E209" s="4"/>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spans="1:57" ht="12.5" x14ac:dyDescent="0.25">
      <c r="A210" s="2"/>
      <c r="B210" s="2"/>
      <c r="C210" s="2"/>
      <c r="D210" s="2"/>
      <c r="E210" s="4"/>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spans="1:57" ht="12.5" x14ac:dyDescent="0.25">
      <c r="A211" s="2"/>
      <c r="B211" s="2"/>
      <c r="C211" s="2"/>
      <c r="D211" s="2"/>
      <c r="E211" s="4"/>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spans="1:57" ht="12.5" x14ac:dyDescent="0.25">
      <c r="A212" s="2"/>
      <c r="B212" s="2"/>
      <c r="C212" s="2"/>
      <c r="D212" s="2"/>
      <c r="E212" s="4"/>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spans="1:57" ht="12.5" x14ac:dyDescent="0.25">
      <c r="A213" s="2"/>
      <c r="B213" s="2"/>
      <c r="C213" s="2"/>
      <c r="D213" s="2"/>
      <c r="E213" s="4"/>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spans="1:57" ht="12.5" x14ac:dyDescent="0.25">
      <c r="A214" s="2"/>
      <c r="B214" s="2"/>
      <c r="C214" s="2"/>
      <c r="D214" s="2"/>
      <c r="E214" s="4"/>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spans="1:57" ht="12.5" x14ac:dyDescent="0.25">
      <c r="A215" s="2"/>
      <c r="B215" s="2"/>
      <c r="C215" s="2"/>
      <c r="D215" s="2"/>
      <c r="E215" s="4"/>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spans="1:57" ht="12.5" x14ac:dyDescent="0.25">
      <c r="A216" s="2"/>
      <c r="B216" s="2"/>
      <c r="C216" s="2"/>
      <c r="D216" s="2"/>
      <c r="E216" s="4"/>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spans="1:57" ht="12.5" x14ac:dyDescent="0.25">
      <c r="A217" s="2"/>
      <c r="B217" s="2"/>
      <c r="C217" s="2"/>
      <c r="D217" s="2"/>
      <c r="E217" s="4"/>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spans="1:57" ht="12.5" x14ac:dyDescent="0.25">
      <c r="A218" s="2"/>
      <c r="B218" s="2"/>
      <c r="C218" s="2"/>
      <c r="D218" s="2"/>
      <c r="E218" s="4"/>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spans="1:57" ht="12.5" x14ac:dyDescent="0.25">
      <c r="A219" s="2"/>
      <c r="B219" s="2"/>
      <c r="C219" s="2"/>
      <c r="D219" s="2"/>
      <c r="E219" s="4"/>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spans="1:57" ht="12.5" x14ac:dyDescent="0.25">
      <c r="A220" s="2"/>
      <c r="B220" s="2"/>
      <c r="C220" s="2"/>
      <c r="D220" s="2"/>
      <c r="E220" s="4"/>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spans="1:57" ht="12.5" x14ac:dyDescent="0.25">
      <c r="A221" s="2"/>
      <c r="B221" s="2"/>
      <c r="C221" s="2"/>
      <c r="D221" s="2"/>
      <c r="E221" s="4"/>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spans="1:57" ht="12.5" x14ac:dyDescent="0.25">
      <c r="A222" s="2"/>
      <c r="B222" s="2"/>
      <c r="C222" s="2"/>
      <c r="D222" s="2"/>
      <c r="E222" s="4"/>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spans="1:57" ht="12.5" x14ac:dyDescent="0.25">
      <c r="A223" s="2"/>
      <c r="B223" s="2"/>
      <c r="C223" s="2"/>
      <c r="D223" s="2"/>
      <c r="E223" s="4"/>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spans="1:57" ht="12.5" x14ac:dyDescent="0.25">
      <c r="A224" s="2"/>
      <c r="B224" s="2"/>
      <c r="C224" s="2"/>
      <c r="D224" s="2"/>
      <c r="E224" s="4"/>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spans="1:57" ht="12.5" x14ac:dyDescent="0.25">
      <c r="A225" s="2"/>
      <c r="B225" s="2"/>
      <c r="C225" s="2"/>
      <c r="D225" s="2"/>
      <c r="E225" s="4"/>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spans="1:57" ht="12.5" x14ac:dyDescent="0.25">
      <c r="A226" s="2"/>
      <c r="B226" s="2"/>
      <c r="C226" s="2"/>
      <c r="D226" s="2"/>
      <c r="E226" s="4"/>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spans="1:57" ht="12.5" x14ac:dyDescent="0.25">
      <c r="A227" s="2"/>
      <c r="B227" s="2"/>
      <c r="C227" s="2"/>
      <c r="D227" s="2"/>
      <c r="E227" s="4"/>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spans="1:57" ht="12.5" x14ac:dyDescent="0.25">
      <c r="A228" s="2"/>
      <c r="B228" s="2"/>
      <c r="C228" s="2"/>
      <c r="D228" s="2"/>
      <c r="E228" s="4"/>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spans="1:57" ht="12.5" x14ac:dyDescent="0.25">
      <c r="A229" s="2"/>
      <c r="B229" s="2"/>
      <c r="C229" s="2"/>
      <c r="D229" s="2"/>
      <c r="E229" s="4"/>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spans="1:57" ht="12.5" x14ac:dyDescent="0.25">
      <c r="A230" s="2"/>
      <c r="B230" s="2"/>
      <c r="C230" s="2"/>
      <c r="D230" s="2"/>
      <c r="E230" s="4"/>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spans="1:57" ht="12.5" x14ac:dyDescent="0.25">
      <c r="A231" s="2"/>
      <c r="B231" s="2"/>
      <c r="C231" s="2"/>
      <c r="D231" s="2"/>
      <c r="E231" s="4"/>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spans="1:57" ht="12.5" x14ac:dyDescent="0.25">
      <c r="A232" s="2"/>
      <c r="B232" s="2"/>
      <c r="C232" s="2"/>
      <c r="D232" s="2"/>
      <c r="E232" s="4"/>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spans="1:57" ht="12.5" x14ac:dyDescent="0.25">
      <c r="A233" s="2"/>
      <c r="B233" s="2"/>
      <c r="C233" s="2"/>
      <c r="D233" s="2"/>
      <c r="E233" s="4"/>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spans="1:57" ht="12.5" x14ac:dyDescent="0.25">
      <c r="A234" s="2"/>
      <c r="B234" s="2"/>
      <c r="C234" s="2"/>
      <c r="D234" s="2"/>
      <c r="E234" s="4"/>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spans="1:57" ht="12.5" x14ac:dyDescent="0.25">
      <c r="A235" s="2"/>
      <c r="B235" s="2"/>
      <c r="C235" s="2"/>
      <c r="D235" s="2"/>
      <c r="E235" s="4"/>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spans="1:57" ht="12.5" x14ac:dyDescent="0.25">
      <c r="A236" s="2"/>
      <c r="B236" s="2"/>
      <c r="C236" s="2"/>
      <c r="D236" s="2"/>
      <c r="E236" s="4"/>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spans="1:57" ht="12.5" x14ac:dyDescent="0.25">
      <c r="A237" s="2"/>
      <c r="B237" s="2"/>
      <c r="C237" s="2"/>
      <c r="D237" s="2"/>
      <c r="E237" s="4"/>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spans="1:57" ht="12.5" x14ac:dyDescent="0.25">
      <c r="A238" s="2"/>
      <c r="B238" s="2"/>
      <c r="C238" s="2"/>
      <c r="D238" s="2"/>
      <c r="E238" s="4"/>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spans="1:57" ht="12.5" x14ac:dyDescent="0.25">
      <c r="A239" s="2"/>
      <c r="B239" s="2"/>
      <c r="C239" s="2"/>
      <c r="D239" s="2"/>
      <c r="E239" s="4"/>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spans="1:57" ht="12.5" x14ac:dyDescent="0.25">
      <c r="A240" s="2"/>
      <c r="B240" s="2"/>
      <c r="C240" s="2"/>
      <c r="D240" s="2"/>
      <c r="E240" s="4"/>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spans="1:57" ht="12.5" x14ac:dyDescent="0.25">
      <c r="A241" s="2"/>
      <c r="B241" s="2"/>
      <c r="C241" s="2"/>
      <c r="D241" s="2"/>
      <c r="E241" s="4"/>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spans="1:57" ht="12.5" x14ac:dyDescent="0.25">
      <c r="A242" s="2"/>
      <c r="B242" s="2"/>
      <c r="C242" s="2"/>
      <c r="D242" s="2"/>
      <c r="E242" s="4"/>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spans="1:57" ht="12.5" x14ac:dyDescent="0.25">
      <c r="A243" s="2"/>
      <c r="B243" s="2"/>
      <c r="C243" s="2"/>
      <c r="D243" s="2"/>
      <c r="E243" s="4"/>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spans="1:57" ht="12.5" x14ac:dyDescent="0.25">
      <c r="A244" s="2"/>
      <c r="B244" s="2"/>
      <c r="C244" s="2"/>
      <c r="D244" s="2"/>
      <c r="E244" s="4"/>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spans="1:57" ht="12.5" x14ac:dyDescent="0.25">
      <c r="A245" s="2"/>
      <c r="B245" s="2"/>
      <c r="C245" s="2"/>
      <c r="D245" s="2"/>
      <c r="E245" s="4"/>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spans="1:57" ht="12.5" x14ac:dyDescent="0.25">
      <c r="A246" s="2"/>
      <c r="B246" s="2"/>
      <c r="C246" s="2"/>
      <c r="D246" s="2"/>
      <c r="E246" s="4"/>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spans="1:57" ht="12.5" x14ac:dyDescent="0.25">
      <c r="A247" s="2"/>
      <c r="B247" s="2"/>
      <c r="C247" s="2"/>
      <c r="D247" s="2"/>
      <c r="E247" s="4"/>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spans="1:57" ht="12.5" x14ac:dyDescent="0.25">
      <c r="A248" s="2"/>
      <c r="B248" s="2"/>
      <c r="C248" s="2"/>
      <c r="D248" s="2"/>
      <c r="E248" s="4"/>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spans="1:57" ht="12.5" x14ac:dyDescent="0.25">
      <c r="A249" s="2"/>
      <c r="B249" s="2"/>
      <c r="C249" s="2"/>
      <c r="D249" s="2"/>
      <c r="E249" s="4"/>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spans="1:57" ht="12.5" x14ac:dyDescent="0.25">
      <c r="A250" s="2"/>
      <c r="B250" s="2"/>
      <c r="C250" s="2"/>
      <c r="D250" s="2"/>
      <c r="E250" s="4"/>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spans="1:57" ht="12.5" x14ac:dyDescent="0.25">
      <c r="A251" s="2"/>
      <c r="B251" s="2"/>
      <c r="C251" s="2"/>
      <c r="D251" s="2"/>
      <c r="E251" s="4"/>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spans="1:57" ht="12.5" x14ac:dyDescent="0.25">
      <c r="A252" s="2"/>
      <c r="B252" s="2"/>
      <c r="C252" s="2"/>
      <c r="D252" s="2"/>
      <c r="E252" s="4"/>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spans="1:57" ht="12.5" x14ac:dyDescent="0.25">
      <c r="A253" s="2"/>
      <c r="B253" s="2"/>
      <c r="C253" s="2"/>
      <c r="D253" s="2"/>
      <c r="E253" s="4"/>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spans="1:57" ht="12.5" x14ac:dyDescent="0.25">
      <c r="A254" s="2"/>
      <c r="B254" s="2"/>
      <c r="C254" s="2"/>
      <c r="D254" s="2"/>
      <c r="E254" s="4"/>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spans="1:57" ht="12.5" x14ac:dyDescent="0.25">
      <c r="A255" s="2"/>
      <c r="B255" s="2"/>
      <c r="C255" s="2"/>
      <c r="D255" s="2"/>
      <c r="E255" s="4"/>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spans="1:57" ht="12.5" x14ac:dyDescent="0.25">
      <c r="A256" s="2"/>
      <c r="B256" s="2"/>
      <c r="C256" s="2"/>
      <c r="D256" s="2"/>
      <c r="E256" s="4"/>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spans="1:57" ht="12.5" x14ac:dyDescent="0.25">
      <c r="A257" s="2"/>
      <c r="B257" s="2"/>
      <c r="C257" s="2"/>
      <c r="D257" s="2"/>
      <c r="E257" s="4"/>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spans="1:57" ht="12.5" x14ac:dyDescent="0.25">
      <c r="A258" s="2"/>
      <c r="B258" s="2"/>
      <c r="C258" s="2"/>
      <c r="D258" s="2"/>
      <c r="E258" s="4"/>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spans="1:57" ht="12.5" x14ac:dyDescent="0.25">
      <c r="A259" s="2"/>
      <c r="B259" s="2"/>
      <c r="C259" s="2"/>
      <c r="D259" s="2"/>
      <c r="E259" s="4"/>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spans="1:57" ht="12.5" x14ac:dyDescent="0.25">
      <c r="A260" s="2"/>
      <c r="B260" s="2"/>
      <c r="C260" s="2"/>
      <c r="D260" s="2"/>
      <c r="E260" s="4"/>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spans="1:57" ht="12.5" x14ac:dyDescent="0.25">
      <c r="A261" s="2"/>
      <c r="B261" s="2"/>
      <c r="C261" s="2"/>
      <c r="D261" s="2"/>
      <c r="E261" s="4"/>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spans="1:57" ht="12.5" x14ac:dyDescent="0.25">
      <c r="A262" s="2"/>
      <c r="B262" s="2"/>
      <c r="C262" s="2"/>
      <c r="D262" s="2"/>
      <c r="E262" s="4"/>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spans="1:57" ht="12.5" x14ac:dyDescent="0.25">
      <c r="A263" s="2"/>
      <c r="B263" s="2"/>
      <c r="C263" s="2"/>
      <c r="D263" s="2"/>
      <c r="E263" s="4"/>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spans="1:57" ht="12.5" x14ac:dyDescent="0.25">
      <c r="A264" s="2"/>
      <c r="B264" s="2"/>
      <c r="C264" s="2"/>
      <c r="D264" s="2"/>
      <c r="E264" s="4"/>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spans="1:57" ht="12.5" x14ac:dyDescent="0.25">
      <c r="A265" s="2"/>
      <c r="B265" s="2"/>
      <c r="C265" s="2"/>
      <c r="D265" s="2"/>
      <c r="E265" s="4"/>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spans="1:57" ht="12.5" x14ac:dyDescent="0.25">
      <c r="A266" s="2"/>
      <c r="B266" s="2"/>
      <c r="C266" s="2"/>
      <c r="D266" s="2"/>
      <c r="E266" s="4"/>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spans="1:57" ht="12.5" x14ac:dyDescent="0.25">
      <c r="A267" s="2"/>
      <c r="B267" s="2"/>
      <c r="C267" s="2"/>
      <c r="D267" s="2"/>
      <c r="E267" s="4"/>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spans="1:57" ht="12.5" x14ac:dyDescent="0.25">
      <c r="A268" s="2"/>
      <c r="B268" s="2"/>
      <c r="C268" s="2"/>
      <c r="D268" s="2"/>
      <c r="E268" s="4"/>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spans="1:57" ht="12.5" x14ac:dyDescent="0.25">
      <c r="A269" s="2"/>
      <c r="B269" s="2"/>
      <c r="C269" s="2"/>
      <c r="D269" s="2"/>
      <c r="E269" s="4"/>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spans="1:57" ht="12.5" x14ac:dyDescent="0.25">
      <c r="A270" s="2"/>
      <c r="B270" s="2"/>
      <c r="C270" s="2"/>
      <c r="D270" s="2"/>
      <c r="E270" s="4"/>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spans="1:57" ht="12.5" x14ac:dyDescent="0.25">
      <c r="A271" s="2"/>
      <c r="B271" s="2"/>
      <c r="C271" s="2"/>
      <c r="D271" s="2"/>
      <c r="E271" s="4"/>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spans="1:57" ht="12.5" x14ac:dyDescent="0.25">
      <c r="A272" s="2"/>
      <c r="B272" s="2"/>
      <c r="C272" s="2"/>
      <c r="D272" s="2"/>
      <c r="E272" s="4"/>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spans="1:57" ht="12.5" x14ac:dyDescent="0.25">
      <c r="A273" s="2"/>
      <c r="B273" s="2"/>
      <c r="C273" s="2"/>
      <c r="D273" s="2"/>
      <c r="E273" s="4"/>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spans="1:57" ht="12.5" x14ac:dyDescent="0.25">
      <c r="A274" s="2"/>
      <c r="B274" s="2"/>
      <c r="C274" s="2"/>
      <c r="D274" s="2"/>
      <c r="E274" s="4"/>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spans="1:57" ht="12.5" x14ac:dyDescent="0.25">
      <c r="A275" s="2"/>
      <c r="B275" s="2"/>
      <c r="C275" s="2"/>
      <c r="D275" s="2"/>
      <c r="E275" s="4"/>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spans="1:57" ht="12.5" x14ac:dyDescent="0.25">
      <c r="A276" s="2"/>
      <c r="B276" s="2"/>
      <c r="C276" s="2"/>
      <c r="D276" s="2"/>
      <c r="E276" s="4"/>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spans="1:57" ht="12.5" x14ac:dyDescent="0.25">
      <c r="A277" s="2"/>
      <c r="B277" s="2"/>
      <c r="C277" s="2"/>
      <c r="D277" s="2"/>
      <c r="E277" s="4"/>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spans="1:57" ht="12.5" x14ac:dyDescent="0.25">
      <c r="A278" s="2"/>
      <c r="B278" s="2"/>
      <c r="C278" s="2"/>
      <c r="D278" s="2"/>
      <c r="E278" s="4"/>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spans="1:57" ht="12.5" x14ac:dyDescent="0.25">
      <c r="A279" s="2"/>
      <c r="B279" s="2"/>
      <c r="C279" s="2"/>
      <c r="D279" s="2"/>
      <c r="E279" s="4"/>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spans="1:57" ht="12.5" x14ac:dyDescent="0.25">
      <c r="A280" s="2"/>
      <c r="B280" s="2"/>
      <c r="C280" s="2"/>
      <c r="D280" s="2"/>
      <c r="E280" s="4"/>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spans="1:57" ht="12.5" x14ac:dyDescent="0.25">
      <c r="A281" s="2"/>
      <c r="B281" s="2"/>
      <c r="C281" s="2"/>
      <c r="D281" s="2"/>
      <c r="E281" s="4"/>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spans="1:57" ht="12.5" x14ac:dyDescent="0.25">
      <c r="A282" s="2"/>
      <c r="B282" s="2"/>
      <c r="C282" s="2"/>
      <c r="D282" s="2"/>
      <c r="E282" s="4"/>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spans="1:57" ht="12.5" x14ac:dyDescent="0.25">
      <c r="A283" s="2"/>
      <c r="B283" s="2"/>
      <c r="C283" s="2"/>
      <c r="D283" s="2"/>
      <c r="E283" s="4"/>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spans="1:57" ht="12.5" x14ac:dyDescent="0.25">
      <c r="A284" s="2"/>
      <c r="B284" s="2"/>
      <c r="C284" s="2"/>
      <c r="D284" s="2"/>
      <c r="E284" s="4"/>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spans="1:57" ht="12.5" x14ac:dyDescent="0.25">
      <c r="A285" s="2"/>
      <c r="B285" s="2"/>
      <c r="C285" s="2"/>
      <c r="D285" s="2"/>
      <c r="E285" s="4"/>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spans="1:57" ht="12.5" x14ac:dyDescent="0.25">
      <c r="A286" s="2"/>
      <c r="B286" s="2"/>
      <c r="C286" s="2"/>
      <c r="D286" s="2"/>
      <c r="E286" s="4"/>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spans="1:57" ht="12.5" x14ac:dyDescent="0.25">
      <c r="A287" s="2"/>
      <c r="B287" s="2"/>
      <c r="C287" s="2"/>
      <c r="D287" s="2"/>
      <c r="E287" s="4"/>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spans="1:57" ht="12.5" x14ac:dyDescent="0.25">
      <c r="A288" s="2"/>
      <c r="B288" s="2"/>
      <c r="C288" s="2"/>
      <c r="D288" s="2"/>
      <c r="E288" s="4"/>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spans="1:57" ht="12.5" x14ac:dyDescent="0.25">
      <c r="A289" s="2"/>
      <c r="B289" s="2"/>
      <c r="C289" s="2"/>
      <c r="D289" s="2"/>
      <c r="E289" s="4"/>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spans="1:57" ht="12.5" x14ac:dyDescent="0.25">
      <c r="A290" s="2"/>
      <c r="B290" s="2"/>
      <c r="C290" s="2"/>
      <c r="D290" s="2"/>
      <c r="E290" s="4"/>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spans="1:57" ht="12.5" x14ac:dyDescent="0.25">
      <c r="A291" s="2"/>
      <c r="B291" s="2"/>
      <c r="C291" s="2"/>
      <c r="D291" s="2"/>
      <c r="E291" s="4"/>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spans="1:57" ht="12.5" x14ac:dyDescent="0.25">
      <c r="A292" s="2"/>
      <c r="B292" s="2"/>
      <c r="C292" s="2"/>
      <c r="D292" s="2"/>
      <c r="E292" s="4"/>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spans="1:57" ht="12.5" x14ac:dyDescent="0.25">
      <c r="A293" s="2"/>
      <c r="B293" s="2"/>
      <c r="C293" s="2"/>
      <c r="D293" s="2"/>
      <c r="E293" s="4"/>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spans="1:57" ht="12.5" x14ac:dyDescent="0.25">
      <c r="A294" s="2"/>
      <c r="B294" s="2"/>
      <c r="C294" s="2"/>
      <c r="D294" s="2"/>
      <c r="E294" s="4"/>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spans="1:57" ht="12.5" x14ac:dyDescent="0.25">
      <c r="A295" s="2"/>
      <c r="B295" s="2"/>
      <c r="C295" s="2"/>
      <c r="D295" s="2"/>
      <c r="E295" s="4"/>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spans="1:57" ht="12.5" x14ac:dyDescent="0.25">
      <c r="A296" s="2"/>
      <c r="B296" s="2"/>
      <c r="C296" s="2"/>
      <c r="D296" s="2"/>
      <c r="E296" s="4"/>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spans="1:57" ht="12.5" x14ac:dyDescent="0.25">
      <c r="A297" s="2"/>
      <c r="B297" s="2"/>
      <c r="C297" s="2"/>
      <c r="D297" s="2"/>
      <c r="E297" s="4"/>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spans="1:57" ht="12.5" x14ac:dyDescent="0.25">
      <c r="A298" s="2"/>
      <c r="B298" s="2"/>
      <c r="C298" s="2"/>
      <c r="D298" s="2"/>
      <c r="E298" s="4"/>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spans="1:57" ht="12.5" x14ac:dyDescent="0.25">
      <c r="A299" s="2"/>
      <c r="B299" s="2"/>
      <c r="C299" s="2"/>
      <c r="D299" s="2"/>
      <c r="E299" s="4"/>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spans="1:57" ht="12.5" x14ac:dyDescent="0.25">
      <c r="A300" s="2"/>
      <c r="B300" s="2"/>
      <c r="C300" s="2"/>
      <c r="D300" s="2"/>
      <c r="E300" s="4"/>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spans="1:57" ht="12.5" x14ac:dyDescent="0.25">
      <c r="A301" s="2"/>
      <c r="B301" s="2"/>
      <c r="C301" s="2"/>
      <c r="D301" s="2"/>
      <c r="E301" s="4"/>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spans="1:57" ht="12.5" x14ac:dyDescent="0.25">
      <c r="A302" s="2"/>
      <c r="B302" s="2"/>
      <c r="C302" s="2"/>
      <c r="D302" s="2"/>
      <c r="E302" s="4"/>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spans="1:57" ht="12.5" x14ac:dyDescent="0.25">
      <c r="A303" s="2"/>
      <c r="B303" s="2"/>
      <c r="C303" s="2"/>
      <c r="D303" s="2"/>
      <c r="E303" s="4"/>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spans="1:57" ht="12.5" x14ac:dyDescent="0.25">
      <c r="A304" s="2"/>
      <c r="B304" s="2"/>
      <c r="C304" s="2"/>
      <c r="D304" s="2"/>
      <c r="E304" s="4"/>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spans="1:57" ht="12.5" x14ac:dyDescent="0.25">
      <c r="A305" s="2"/>
      <c r="B305" s="2"/>
      <c r="C305" s="2"/>
      <c r="D305" s="2"/>
      <c r="E305" s="4"/>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spans="1:57" ht="12.5" x14ac:dyDescent="0.25">
      <c r="A306" s="2"/>
      <c r="B306" s="2"/>
      <c r="C306" s="2"/>
      <c r="D306" s="2"/>
      <c r="E306" s="4"/>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spans="1:57" ht="12.5" x14ac:dyDescent="0.25">
      <c r="A307" s="2"/>
      <c r="B307" s="2"/>
      <c r="C307" s="2"/>
      <c r="D307" s="2"/>
      <c r="E307" s="4"/>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spans="1:57" ht="12.5" x14ac:dyDescent="0.25">
      <c r="A308" s="2"/>
      <c r="B308" s="2"/>
      <c r="C308" s="2"/>
      <c r="D308" s="2"/>
      <c r="E308" s="4"/>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spans="1:57" ht="12.5" x14ac:dyDescent="0.25">
      <c r="A309" s="2"/>
      <c r="B309" s="2"/>
      <c r="C309" s="2"/>
      <c r="D309" s="2"/>
      <c r="E309" s="4"/>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spans="1:57" ht="12.5" x14ac:dyDescent="0.25">
      <c r="A310" s="2"/>
      <c r="B310" s="2"/>
      <c r="C310" s="2"/>
      <c r="D310" s="2"/>
      <c r="E310" s="4"/>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spans="1:57" ht="12.5" x14ac:dyDescent="0.25">
      <c r="A311" s="2"/>
      <c r="B311" s="2"/>
      <c r="C311" s="2"/>
      <c r="D311" s="2"/>
      <c r="E311" s="4"/>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spans="1:57" ht="12.5" x14ac:dyDescent="0.25">
      <c r="A312" s="2"/>
      <c r="B312" s="2"/>
      <c r="C312" s="2"/>
      <c r="D312" s="2"/>
      <c r="E312" s="4"/>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spans="1:57" ht="12.5" x14ac:dyDescent="0.25">
      <c r="A313" s="2"/>
      <c r="B313" s="2"/>
      <c r="C313" s="2"/>
      <c r="D313" s="2"/>
      <c r="E313" s="4"/>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spans="1:57" ht="12.5" x14ac:dyDescent="0.25">
      <c r="A314" s="2"/>
      <c r="B314" s="2"/>
      <c r="C314" s="2"/>
      <c r="D314" s="2"/>
      <c r="E314" s="4"/>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spans="1:57" ht="12.5" x14ac:dyDescent="0.25">
      <c r="A315" s="2"/>
      <c r="B315" s="2"/>
      <c r="C315" s="2"/>
      <c r="D315" s="2"/>
      <c r="E315" s="4"/>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spans="1:57" ht="12.5" x14ac:dyDescent="0.25">
      <c r="A316" s="2"/>
      <c r="B316" s="2"/>
      <c r="C316" s="2"/>
      <c r="D316" s="2"/>
      <c r="E316" s="4"/>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spans="1:57" ht="12.5" x14ac:dyDescent="0.25">
      <c r="A317" s="2"/>
      <c r="B317" s="2"/>
      <c r="C317" s="2"/>
      <c r="D317" s="2"/>
      <c r="E317" s="4"/>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spans="1:57" ht="12.5" x14ac:dyDescent="0.25">
      <c r="A318" s="2"/>
      <c r="B318" s="2"/>
      <c r="C318" s="2"/>
      <c r="D318" s="2"/>
      <c r="E318" s="4"/>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spans="1:57" ht="12.5" x14ac:dyDescent="0.25">
      <c r="A319" s="2"/>
      <c r="B319" s="2"/>
      <c r="C319" s="2"/>
      <c r="D319" s="2"/>
      <c r="E319" s="4"/>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spans="1:57" ht="12.5" x14ac:dyDescent="0.25">
      <c r="A320" s="2"/>
      <c r="B320" s="2"/>
      <c r="C320" s="2"/>
      <c r="D320" s="2"/>
      <c r="E320" s="4"/>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spans="1:57" ht="12.5" x14ac:dyDescent="0.25">
      <c r="A321" s="2"/>
      <c r="B321" s="2"/>
      <c r="C321" s="2"/>
      <c r="D321" s="2"/>
      <c r="E321" s="4"/>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spans="1:57" ht="12.5" x14ac:dyDescent="0.25">
      <c r="A322" s="2"/>
      <c r="B322" s="2"/>
      <c r="C322" s="2"/>
      <c r="D322" s="2"/>
      <c r="E322" s="4"/>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spans="1:57" ht="12.5" x14ac:dyDescent="0.25">
      <c r="A323" s="2"/>
      <c r="B323" s="2"/>
      <c r="C323" s="2"/>
      <c r="D323" s="2"/>
      <c r="E323" s="4"/>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spans="1:57" ht="12.5" x14ac:dyDescent="0.25">
      <c r="A324" s="2"/>
      <c r="B324" s="2"/>
      <c r="C324" s="2"/>
      <c r="D324" s="2"/>
      <c r="E324" s="4"/>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spans="1:57" ht="12.5" x14ac:dyDescent="0.25">
      <c r="A325" s="2"/>
      <c r="B325" s="2"/>
      <c r="C325" s="2"/>
      <c r="D325" s="2"/>
      <c r="E325" s="4"/>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spans="1:57" ht="12.5" x14ac:dyDescent="0.25">
      <c r="A326" s="2"/>
      <c r="B326" s="2"/>
      <c r="C326" s="2"/>
      <c r="D326" s="2"/>
      <c r="E326" s="4"/>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spans="1:57" ht="12.5" x14ac:dyDescent="0.25">
      <c r="A327" s="2"/>
      <c r="B327" s="2"/>
      <c r="C327" s="2"/>
      <c r="D327" s="2"/>
      <c r="E327" s="4"/>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spans="1:57" ht="12.5" x14ac:dyDescent="0.25">
      <c r="A328" s="2"/>
      <c r="B328" s="2"/>
      <c r="C328" s="2"/>
      <c r="D328" s="2"/>
      <c r="E328" s="4"/>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spans="1:57" ht="12.5" x14ac:dyDescent="0.25">
      <c r="A329" s="2"/>
      <c r="B329" s="2"/>
      <c r="C329" s="2"/>
      <c r="D329" s="2"/>
      <c r="E329" s="4"/>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spans="1:57" ht="12.5" x14ac:dyDescent="0.25">
      <c r="A330" s="2"/>
      <c r="B330" s="2"/>
      <c r="C330" s="2"/>
      <c r="D330" s="2"/>
      <c r="E330" s="4"/>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spans="1:57" ht="12.5" x14ac:dyDescent="0.25">
      <c r="A331" s="2"/>
      <c r="B331" s="2"/>
      <c r="C331" s="2"/>
      <c r="D331" s="2"/>
      <c r="E331" s="4"/>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spans="1:57" ht="12.5" x14ac:dyDescent="0.25">
      <c r="A332" s="2"/>
      <c r="B332" s="2"/>
      <c r="C332" s="2"/>
      <c r="D332" s="2"/>
      <c r="E332" s="4"/>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spans="1:57" ht="12.5" x14ac:dyDescent="0.25">
      <c r="A333" s="2"/>
      <c r="B333" s="2"/>
      <c r="C333" s="2"/>
      <c r="D333" s="2"/>
      <c r="E333" s="4"/>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spans="1:57" ht="12.5" x14ac:dyDescent="0.25">
      <c r="A334" s="2"/>
      <c r="B334" s="2"/>
      <c r="C334" s="2"/>
      <c r="D334" s="2"/>
      <c r="E334" s="4"/>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spans="1:57" ht="12.5" x14ac:dyDescent="0.25">
      <c r="A335" s="2"/>
      <c r="B335" s="2"/>
      <c r="C335" s="2"/>
      <c r="D335" s="2"/>
      <c r="E335" s="4"/>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spans="1:57" ht="12.5" x14ac:dyDescent="0.25">
      <c r="A336" s="2"/>
      <c r="B336" s="2"/>
      <c r="C336" s="2"/>
      <c r="D336" s="2"/>
      <c r="E336" s="4"/>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spans="1:57" ht="12.5" x14ac:dyDescent="0.25">
      <c r="A337" s="2"/>
      <c r="B337" s="2"/>
      <c r="C337" s="2"/>
      <c r="D337" s="2"/>
      <c r="E337" s="4"/>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spans="1:57" ht="12.5" x14ac:dyDescent="0.25">
      <c r="A338" s="2"/>
      <c r="B338" s="2"/>
      <c r="C338" s="2"/>
      <c r="D338" s="2"/>
      <c r="E338" s="4"/>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spans="1:57" ht="12.5" x14ac:dyDescent="0.25">
      <c r="A339" s="2"/>
      <c r="B339" s="2"/>
      <c r="C339" s="2"/>
      <c r="D339" s="2"/>
      <c r="E339" s="4"/>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spans="1:57" ht="12.5" x14ac:dyDescent="0.25">
      <c r="A340" s="2"/>
      <c r="B340" s="2"/>
      <c r="C340" s="2"/>
      <c r="D340" s="2"/>
      <c r="E340" s="4"/>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spans="1:57" ht="12.5" x14ac:dyDescent="0.25">
      <c r="A341" s="2"/>
      <c r="B341" s="2"/>
      <c r="C341" s="2"/>
      <c r="D341" s="2"/>
      <c r="E341" s="4"/>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spans="1:57" ht="12.5" x14ac:dyDescent="0.25">
      <c r="A342" s="2"/>
      <c r="B342" s="2"/>
      <c r="C342" s="2"/>
      <c r="D342" s="2"/>
      <c r="E342" s="4"/>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spans="1:57" ht="12.5" x14ac:dyDescent="0.25">
      <c r="A343" s="2"/>
      <c r="B343" s="2"/>
      <c r="C343" s="2"/>
      <c r="D343" s="2"/>
      <c r="E343" s="4"/>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spans="1:57" ht="12.5" x14ac:dyDescent="0.25">
      <c r="A344" s="2"/>
      <c r="B344" s="2"/>
      <c r="C344" s="2"/>
      <c r="D344" s="2"/>
      <c r="E344" s="4"/>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spans="1:57" ht="12.5" x14ac:dyDescent="0.25">
      <c r="A345" s="2"/>
      <c r="B345" s="2"/>
      <c r="C345" s="2"/>
      <c r="D345" s="2"/>
      <c r="E345" s="4"/>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spans="1:57" ht="12.5" x14ac:dyDescent="0.25">
      <c r="A346" s="2"/>
      <c r="B346" s="2"/>
      <c r="C346" s="2"/>
      <c r="D346" s="2"/>
      <c r="E346" s="4"/>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spans="1:57" ht="12.5" x14ac:dyDescent="0.25">
      <c r="A347" s="2"/>
      <c r="B347" s="2"/>
      <c r="C347" s="2"/>
      <c r="D347" s="2"/>
      <c r="E347" s="4"/>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spans="1:57" ht="12.5" x14ac:dyDescent="0.25">
      <c r="A348" s="2"/>
      <c r="B348" s="2"/>
      <c r="C348" s="2"/>
      <c r="D348" s="2"/>
      <c r="E348" s="4"/>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spans="1:57" ht="12.5" x14ac:dyDescent="0.25">
      <c r="A349" s="2"/>
      <c r="B349" s="2"/>
      <c r="C349" s="2"/>
      <c r="D349" s="2"/>
      <c r="E349" s="4"/>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spans="1:57" ht="12.5" x14ac:dyDescent="0.25">
      <c r="A350" s="2"/>
      <c r="B350" s="2"/>
      <c r="C350" s="2"/>
      <c r="D350" s="2"/>
      <c r="E350" s="4"/>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spans="1:57" ht="12.5" x14ac:dyDescent="0.25">
      <c r="A351" s="2"/>
      <c r="B351" s="2"/>
      <c r="C351" s="2"/>
      <c r="D351" s="2"/>
      <c r="E351" s="4"/>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spans="1:57" ht="12.5" x14ac:dyDescent="0.25">
      <c r="A352" s="2"/>
      <c r="B352" s="2"/>
      <c r="C352" s="2"/>
      <c r="D352" s="2"/>
      <c r="E352" s="4"/>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spans="1:57" ht="12.5" x14ac:dyDescent="0.25">
      <c r="A353" s="2"/>
      <c r="B353" s="2"/>
      <c r="C353" s="2"/>
      <c r="D353" s="2"/>
      <c r="E353" s="4"/>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spans="1:57" ht="12.5" x14ac:dyDescent="0.25">
      <c r="A354" s="2"/>
      <c r="B354" s="2"/>
      <c r="C354" s="2"/>
      <c r="D354" s="2"/>
      <c r="E354" s="4"/>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spans="1:57" ht="12.5" x14ac:dyDescent="0.25">
      <c r="A355" s="2"/>
      <c r="B355" s="2"/>
      <c r="C355" s="2"/>
      <c r="D355" s="2"/>
      <c r="E355" s="4"/>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spans="1:57" ht="12.5" x14ac:dyDescent="0.25">
      <c r="A356" s="2"/>
      <c r="B356" s="2"/>
      <c r="C356" s="2"/>
      <c r="D356" s="2"/>
      <c r="E356" s="4"/>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spans="1:57" ht="12.5" x14ac:dyDescent="0.25">
      <c r="A357" s="2"/>
      <c r="B357" s="2"/>
      <c r="C357" s="2"/>
      <c r="D357" s="2"/>
      <c r="E357" s="4"/>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spans="1:57" ht="12.5" x14ac:dyDescent="0.25">
      <c r="A358" s="2"/>
      <c r="B358" s="2"/>
      <c r="C358" s="2"/>
      <c r="D358" s="2"/>
      <c r="E358" s="4"/>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spans="1:57" ht="12.5" x14ac:dyDescent="0.25">
      <c r="A359" s="2"/>
      <c r="B359" s="2"/>
      <c r="C359" s="2"/>
      <c r="D359" s="2"/>
      <c r="E359" s="4"/>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spans="1:57" ht="12.5" x14ac:dyDescent="0.25">
      <c r="A360" s="2"/>
      <c r="B360" s="2"/>
      <c r="C360" s="2"/>
      <c r="D360" s="2"/>
      <c r="E360" s="4"/>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spans="1:57" ht="12.5" x14ac:dyDescent="0.25">
      <c r="A361" s="2"/>
      <c r="B361" s="2"/>
      <c r="C361" s="2"/>
      <c r="D361" s="2"/>
      <c r="E361" s="4"/>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spans="1:57" ht="12.5" x14ac:dyDescent="0.25">
      <c r="A362" s="2"/>
      <c r="B362" s="2"/>
      <c r="C362" s="2"/>
      <c r="D362" s="2"/>
      <c r="E362" s="4"/>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spans="1:57" ht="12.5" x14ac:dyDescent="0.25">
      <c r="A363" s="2"/>
      <c r="B363" s="2"/>
      <c r="C363" s="2"/>
      <c r="D363" s="2"/>
      <c r="E363" s="4"/>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spans="1:57" ht="12.5" x14ac:dyDescent="0.25">
      <c r="A364" s="2"/>
      <c r="B364" s="2"/>
      <c r="C364" s="2"/>
      <c r="D364" s="2"/>
      <c r="E364" s="4"/>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spans="1:57" ht="12.5" x14ac:dyDescent="0.25">
      <c r="A365" s="2"/>
      <c r="B365" s="2"/>
      <c r="C365" s="2"/>
      <c r="D365" s="2"/>
      <c r="E365" s="4"/>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spans="1:57" ht="12.5" x14ac:dyDescent="0.25">
      <c r="A366" s="2"/>
      <c r="B366" s="2"/>
      <c r="C366" s="2"/>
      <c r="D366" s="2"/>
      <c r="E366" s="4"/>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spans="1:57" ht="12.5" x14ac:dyDescent="0.25">
      <c r="A367" s="2"/>
      <c r="B367" s="2"/>
      <c r="C367" s="2"/>
      <c r="D367" s="2"/>
      <c r="E367" s="4"/>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spans="1:57" ht="12.5" x14ac:dyDescent="0.25">
      <c r="A368" s="2"/>
      <c r="B368" s="2"/>
      <c r="C368" s="2"/>
      <c r="D368" s="2"/>
      <c r="E368" s="4"/>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row>
    <row r="369" spans="1:57" ht="12.5" x14ac:dyDescent="0.25">
      <c r="A369" s="2"/>
      <c r="B369" s="2"/>
      <c r="C369" s="2"/>
      <c r="D369" s="2"/>
      <c r="E369" s="4"/>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row>
    <row r="370" spans="1:57" ht="12.5" x14ac:dyDescent="0.25">
      <c r="A370" s="2"/>
      <c r="B370" s="2"/>
      <c r="C370" s="2"/>
      <c r="D370" s="2"/>
      <c r="E370" s="4"/>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row>
    <row r="371" spans="1:57" ht="12.5" x14ac:dyDescent="0.25">
      <c r="A371" s="2"/>
      <c r="B371" s="2"/>
      <c r="C371" s="2"/>
      <c r="D371" s="2"/>
      <c r="E371" s="4"/>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row>
    <row r="372" spans="1:57" ht="12.5" x14ac:dyDescent="0.25">
      <c r="A372" s="2"/>
      <c r="B372" s="2"/>
      <c r="C372" s="2"/>
      <c r="D372" s="2"/>
      <c r="E372" s="4"/>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row>
    <row r="373" spans="1:57" ht="12.5" x14ac:dyDescent="0.25">
      <c r="A373" s="2"/>
      <c r="B373" s="2"/>
      <c r="C373" s="2"/>
      <c r="D373" s="2"/>
      <c r="E373" s="4"/>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row>
    <row r="374" spans="1:57" ht="12.5" x14ac:dyDescent="0.25">
      <c r="A374" s="2"/>
      <c r="B374" s="2"/>
      <c r="C374" s="2"/>
      <c r="D374" s="2"/>
      <c r="E374" s="4"/>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row>
    <row r="375" spans="1:57" ht="12.5" x14ac:dyDescent="0.25">
      <c r="A375" s="2"/>
      <c r="B375" s="2"/>
      <c r="C375" s="2"/>
      <c r="D375" s="2"/>
      <c r="E375" s="4"/>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row>
    <row r="376" spans="1:57" ht="12.5" x14ac:dyDescent="0.25">
      <c r="A376" s="2"/>
      <c r="B376" s="2"/>
      <c r="C376" s="2"/>
      <c r="D376" s="2"/>
      <c r="E376" s="4"/>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row>
    <row r="377" spans="1:57" ht="12.5" x14ac:dyDescent="0.25">
      <c r="A377" s="2"/>
      <c r="B377" s="2"/>
      <c r="C377" s="2"/>
      <c r="D377" s="2"/>
      <c r="E377" s="4"/>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row>
    <row r="378" spans="1:57" ht="12.5" x14ac:dyDescent="0.25">
      <c r="A378" s="2"/>
      <c r="B378" s="2"/>
      <c r="C378" s="2"/>
      <c r="D378" s="2"/>
      <c r="E378" s="4"/>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row>
    <row r="379" spans="1:57" ht="12.5" x14ac:dyDescent="0.25">
      <c r="A379" s="2"/>
      <c r="B379" s="2"/>
      <c r="C379" s="2"/>
      <c r="D379" s="2"/>
      <c r="E379" s="4"/>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spans="1:57" ht="12.5" x14ac:dyDescent="0.25">
      <c r="A380" s="2"/>
      <c r="B380" s="2"/>
      <c r="C380" s="2"/>
      <c r="D380" s="2"/>
      <c r="E380" s="4"/>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spans="1:57" ht="12.5" x14ac:dyDescent="0.25">
      <c r="A381" s="2"/>
      <c r="B381" s="2"/>
      <c r="C381" s="2"/>
      <c r="D381" s="2"/>
      <c r="E381" s="4"/>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row>
    <row r="382" spans="1:57" ht="12.5" x14ac:dyDescent="0.25">
      <c r="A382" s="2"/>
      <c r="B382" s="2"/>
      <c r="C382" s="2"/>
      <c r="D382" s="2"/>
      <c r="E382" s="4"/>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row>
    <row r="383" spans="1:57" ht="12.5" x14ac:dyDescent="0.25">
      <c r="A383" s="2"/>
      <c r="B383" s="2"/>
      <c r="C383" s="2"/>
      <c r="D383" s="2"/>
      <c r="E383" s="4"/>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row>
    <row r="384" spans="1:57" ht="12.5" x14ac:dyDescent="0.25">
      <c r="A384" s="2"/>
      <c r="B384" s="2"/>
      <c r="C384" s="2"/>
      <c r="D384" s="2"/>
      <c r="E384" s="4"/>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row>
    <row r="385" spans="1:57" ht="12.5" x14ac:dyDescent="0.25">
      <c r="A385" s="2"/>
      <c r="B385" s="2"/>
      <c r="C385" s="2"/>
      <c r="D385" s="2"/>
      <c r="E385" s="4"/>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row>
    <row r="386" spans="1:57" ht="12.5" x14ac:dyDescent="0.25">
      <c r="A386" s="2"/>
      <c r="B386" s="2"/>
      <c r="C386" s="2"/>
      <c r="D386" s="2"/>
      <c r="E386" s="4"/>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row>
    <row r="387" spans="1:57" ht="12.5" x14ac:dyDescent="0.25">
      <c r="A387" s="2"/>
      <c r="B387" s="2"/>
      <c r="C387" s="2"/>
      <c r="D387" s="2"/>
      <c r="E387" s="4"/>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row>
    <row r="388" spans="1:57" ht="12.5" x14ac:dyDescent="0.25">
      <c r="A388" s="2"/>
      <c r="B388" s="2"/>
      <c r="C388" s="2"/>
      <c r="D388" s="2"/>
      <c r="E388" s="4"/>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row>
    <row r="389" spans="1:57" ht="12.5" x14ac:dyDescent="0.25">
      <c r="A389" s="2"/>
      <c r="B389" s="2"/>
      <c r="C389" s="2"/>
      <c r="D389" s="2"/>
      <c r="E389" s="4"/>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row>
    <row r="390" spans="1:57" ht="12.5" x14ac:dyDescent="0.25">
      <c r="A390" s="2"/>
      <c r="B390" s="2"/>
      <c r="C390" s="2"/>
      <c r="D390" s="2"/>
      <c r="E390" s="4"/>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row>
    <row r="391" spans="1:57" ht="12.5" x14ac:dyDescent="0.25">
      <c r="A391" s="2"/>
      <c r="B391" s="2"/>
      <c r="C391" s="2"/>
      <c r="D391" s="2"/>
      <c r="E391" s="4"/>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row>
    <row r="392" spans="1:57" ht="12.5" x14ac:dyDescent="0.25">
      <c r="A392" s="2"/>
      <c r="B392" s="2"/>
      <c r="C392" s="2"/>
      <c r="D392" s="2"/>
      <c r="E392" s="4"/>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row>
    <row r="393" spans="1:57" ht="12.5" x14ac:dyDescent="0.25">
      <c r="A393" s="2"/>
      <c r="B393" s="2"/>
      <c r="C393" s="2"/>
      <c r="D393" s="2"/>
      <c r="E393" s="4"/>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row>
    <row r="394" spans="1:57" ht="12.5" x14ac:dyDescent="0.25">
      <c r="A394" s="2"/>
      <c r="B394" s="2"/>
      <c r="C394" s="2"/>
      <c r="D394" s="2"/>
      <c r="E394" s="4"/>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row>
    <row r="395" spans="1:57" ht="12.5" x14ac:dyDescent="0.25">
      <c r="A395" s="2"/>
      <c r="B395" s="2"/>
      <c r="C395" s="2"/>
      <c r="D395" s="2"/>
      <c r="E395" s="4"/>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row>
    <row r="396" spans="1:57" ht="12.5" x14ac:dyDescent="0.25">
      <c r="A396" s="2"/>
      <c r="B396" s="2"/>
      <c r="C396" s="2"/>
      <c r="D396" s="2"/>
      <c r="E396" s="4"/>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row>
    <row r="397" spans="1:57" ht="12.5" x14ac:dyDescent="0.25">
      <c r="A397" s="2"/>
      <c r="B397" s="2"/>
      <c r="C397" s="2"/>
      <c r="D397" s="2"/>
      <c r="E397" s="4"/>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row>
    <row r="398" spans="1:57" ht="12.5" x14ac:dyDescent="0.25">
      <c r="A398" s="2"/>
      <c r="B398" s="2"/>
      <c r="C398" s="2"/>
      <c r="D398" s="2"/>
      <c r="E398" s="4"/>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row>
    <row r="399" spans="1:57" ht="12.5" x14ac:dyDescent="0.25">
      <c r="A399" s="2"/>
      <c r="B399" s="2"/>
      <c r="C399" s="2"/>
      <c r="D399" s="2"/>
      <c r="E399" s="4"/>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row>
    <row r="400" spans="1:57" ht="12.5" x14ac:dyDescent="0.25">
      <c r="A400" s="2"/>
      <c r="B400" s="2"/>
      <c r="C400" s="2"/>
      <c r="D400" s="2"/>
      <c r="E400" s="4"/>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row>
    <row r="401" spans="1:57" ht="12.5" x14ac:dyDescent="0.25">
      <c r="A401" s="2"/>
      <c r="B401" s="2"/>
      <c r="C401" s="2"/>
      <c r="D401" s="2"/>
      <c r="E401" s="4"/>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row>
    <row r="402" spans="1:57" ht="12.5" x14ac:dyDescent="0.25">
      <c r="A402" s="2"/>
      <c r="B402" s="2"/>
      <c r="C402" s="2"/>
      <c r="D402" s="2"/>
      <c r="E402" s="4"/>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row>
    <row r="403" spans="1:57" ht="12.5" x14ac:dyDescent="0.25">
      <c r="A403" s="2"/>
      <c r="B403" s="2"/>
      <c r="C403" s="2"/>
      <c r="D403" s="2"/>
      <c r="E403" s="4"/>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row>
    <row r="404" spans="1:57" ht="12.5" x14ac:dyDescent="0.25">
      <c r="A404" s="2"/>
      <c r="B404" s="2"/>
      <c r="C404" s="2"/>
      <c r="D404" s="2"/>
      <c r="E404" s="4"/>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row>
    <row r="405" spans="1:57" ht="12.5" x14ac:dyDescent="0.25">
      <c r="A405" s="2"/>
      <c r="B405" s="2"/>
      <c r="C405" s="2"/>
      <c r="D405" s="2"/>
      <c r="E405" s="4"/>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row>
    <row r="406" spans="1:57" ht="12.5" x14ac:dyDescent="0.25">
      <c r="A406" s="2"/>
      <c r="B406" s="2"/>
      <c r="C406" s="2"/>
      <c r="D406" s="2"/>
      <c r="E406" s="4"/>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row>
    <row r="407" spans="1:57" ht="12.5" x14ac:dyDescent="0.25">
      <c r="A407" s="2"/>
      <c r="B407" s="2"/>
      <c r="C407" s="2"/>
      <c r="D407" s="2"/>
      <c r="E407" s="4"/>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row>
    <row r="408" spans="1:57" ht="12.5" x14ac:dyDescent="0.25">
      <c r="A408" s="2"/>
      <c r="B408" s="2"/>
      <c r="C408" s="2"/>
      <c r="D408" s="2"/>
      <c r="E408" s="4"/>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row>
    <row r="409" spans="1:57" ht="12.5" x14ac:dyDescent="0.25">
      <c r="A409" s="2"/>
      <c r="B409" s="2"/>
      <c r="C409" s="2"/>
      <c r="D409" s="2"/>
      <c r="E409" s="4"/>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row>
    <row r="410" spans="1:57" ht="12.5" x14ac:dyDescent="0.25">
      <c r="A410" s="2"/>
      <c r="B410" s="2"/>
      <c r="C410" s="2"/>
      <c r="D410" s="2"/>
      <c r="E410" s="4"/>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row>
    <row r="411" spans="1:57" ht="12.5" x14ac:dyDescent="0.25">
      <c r="A411" s="2"/>
      <c r="B411" s="2"/>
      <c r="C411" s="2"/>
      <c r="D411" s="2"/>
      <c r="E411" s="4"/>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row>
    <row r="412" spans="1:57" ht="12.5" x14ac:dyDescent="0.25">
      <c r="A412" s="2"/>
      <c r="B412" s="2"/>
      <c r="C412" s="2"/>
      <c r="D412" s="2"/>
      <c r="E412" s="4"/>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row>
    <row r="413" spans="1:57" ht="12.5" x14ac:dyDescent="0.25">
      <c r="A413" s="2"/>
      <c r="B413" s="2"/>
      <c r="C413" s="2"/>
      <c r="D413" s="2"/>
      <c r="E413" s="4"/>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row>
    <row r="414" spans="1:57" ht="12.5" x14ac:dyDescent="0.25">
      <c r="A414" s="2"/>
      <c r="B414" s="2"/>
      <c r="C414" s="2"/>
      <c r="D414" s="2"/>
      <c r="E414" s="4"/>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row>
    <row r="415" spans="1:57" ht="12.5" x14ac:dyDescent="0.25">
      <c r="A415" s="2"/>
      <c r="B415" s="2"/>
      <c r="C415" s="2"/>
      <c r="D415" s="2"/>
      <c r="E415" s="4"/>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row>
    <row r="416" spans="1:57" ht="12.5" x14ac:dyDescent="0.25">
      <c r="A416" s="2"/>
      <c r="B416" s="2"/>
      <c r="C416" s="2"/>
      <c r="D416" s="2"/>
      <c r="E416" s="4"/>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row>
    <row r="417" spans="1:57" ht="12.5" x14ac:dyDescent="0.25">
      <c r="A417" s="2"/>
      <c r="B417" s="2"/>
      <c r="C417" s="2"/>
      <c r="D417" s="2"/>
      <c r="E417" s="4"/>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row>
    <row r="418" spans="1:57" ht="12.5" x14ac:dyDescent="0.25">
      <c r="A418" s="2"/>
      <c r="B418" s="2"/>
      <c r="C418" s="2"/>
      <c r="D418" s="2"/>
      <c r="E418" s="4"/>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row>
    <row r="419" spans="1:57" ht="12.5" x14ac:dyDescent="0.25">
      <c r="A419" s="2"/>
      <c r="B419" s="2"/>
      <c r="C419" s="2"/>
      <c r="D419" s="2"/>
      <c r="E419" s="4"/>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row>
    <row r="420" spans="1:57" ht="12.5" x14ac:dyDescent="0.25">
      <c r="A420" s="2"/>
      <c r="B420" s="2"/>
      <c r="C420" s="2"/>
      <c r="D420" s="2"/>
      <c r="E420" s="4"/>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row>
    <row r="421" spans="1:57" ht="12.5" x14ac:dyDescent="0.25">
      <c r="A421" s="2"/>
      <c r="B421" s="2"/>
      <c r="C421" s="2"/>
      <c r="D421" s="2"/>
      <c r="E421" s="4"/>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row>
    <row r="422" spans="1:57" ht="12.5" x14ac:dyDescent="0.25">
      <c r="A422" s="2"/>
      <c r="B422" s="2"/>
      <c r="C422" s="2"/>
      <c r="D422" s="2"/>
      <c r="E422" s="4"/>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row>
    <row r="423" spans="1:57" ht="12.5" x14ac:dyDescent="0.25">
      <c r="A423" s="2"/>
      <c r="B423" s="2"/>
      <c r="C423" s="2"/>
      <c r="D423" s="2"/>
      <c r="E423" s="4"/>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row>
    <row r="424" spans="1:57" ht="12.5" x14ac:dyDescent="0.25">
      <c r="A424" s="2"/>
      <c r="B424" s="2"/>
      <c r="C424" s="2"/>
      <c r="D424" s="2"/>
      <c r="E424" s="4"/>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row>
    <row r="425" spans="1:57" ht="12.5" x14ac:dyDescent="0.25">
      <c r="A425" s="2"/>
      <c r="B425" s="2"/>
      <c r="C425" s="2"/>
      <c r="D425" s="2"/>
      <c r="E425" s="4"/>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row>
    <row r="426" spans="1:57" ht="12.5" x14ac:dyDescent="0.25">
      <c r="A426" s="2"/>
      <c r="B426" s="2"/>
      <c r="C426" s="2"/>
      <c r="D426" s="2"/>
      <c r="E426" s="4"/>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row>
    <row r="427" spans="1:57" ht="12.5" x14ac:dyDescent="0.25">
      <c r="A427" s="2"/>
      <c r="B427" s="2"/>
      <c r="C427" s="2"/>
      <c r="D427" s="2"/>
      <c r="E427" s="4"/>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row>
    <row r="428" spans="1:57" ht="12.5" x14ac:dyDescent="0.25">
      <c r="A428" s="2"/>
      <c r="B428" s="2"/>
      <c r="C428" s="2"/>
      <c r="D428" s="2"/>
      <c r="E428" s="4"/>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row>
    <row r="429" spans="1:57" ht="12.5" x14ac:dyDescent="0.25">
      <c r="A429" s="2"/>
      <c r="B429" s="2"/>
      <c r="C429" s="2"/>
      <c r="D429" s="2"/>
      <c r="E429" s="4"/>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row>
    <row r="430" spans="1:57" ht="12.5" x14ac:dyDescent="0.25">
      <c r="A430" s="2"/>
      <c r="B430" s="2"/>
      <c r="C430" s="2"/>
      <c r="D430" s="2"/>
      <c r="E430" s="4"/>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row>
    <row r="431" spans="1:57" ht="12.5" x14ac:dyDescent="0.25">
      <c r="A431" s="2"/>
      <c r="B431" s="2"/>
      <c r="C431" s="2"/>
      <c r="D431" s="2"/>
      <c r="E431" s="4"/>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row>
    <row r="432" spans="1:57" ht="12.5" x14ac:dyDescent="0.25">
      <c r="A432" s="2"/>
      <c r="B432" s="2"/>
      <c r="C432" s="2"/>
      <c r="D432" s="2"/>
      <c r="E432" s="4"/>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row>
    <row r="433" spans="1:57" ht="12.5" x14ac:dyDescent="0.25">
      <c r="A433" s="2"/>
      <c r="B433" s="2"/>
      <c r="C433" s="2"/>
      <c r="D433" s="2"/>
      <c r="E433" s="4"/>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row>
    <row r="434" spans="1:57" ht="12.5" x14ac:dyDescent="0.25">
      <c r="A434" s="2"/>
      <c r="B434" s="2"/>
      <c r="C434" s="2"/>
      <c r="D434" s="2"/>
      <c r="E434" s="4"/>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row>
    <row r="435" spans="1:57" ht="12.5" x14ac:dyDescent="0.25">
      <c r="A435" s="2"/>
      <c r="B435" s="2"/>
      <c r="C435" s="2"/>
      <c r="D435" s="2"/>
      <c r="E435" s="4"/>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row>
    <row r="436" spans="1:57" ht="12.5" x14ac:dyDescent="0.25">
      <c r="A436" s="2"/>
      <c r="B436" s="2"/>
      <c r="C436" s="2"/>
      <c r="D436" s="2"/>
      <c r="E436" s="4"/>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row>
    <row r="437" spans="1:57" ht="12.5" x14ac:dyDescent="0.25">
      <c r="A437" s="2"/>
      <c r="B437" s="2"/>
      <c r="C437" s="2"/>
      <c r="D437" s="2"/>
      <c r="E437" s="4"/>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row>
    <row r="438" spans="1:57" ht="12.5" x14ac:dyDescent="0.25">
      <c r="A438" s="2"/>
      <c r="B438" s="2"/>
      <c r="C438" s="2"/>
      <c r="D438" s="2"/>
      <c r="E438" s="4"/>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row>
    <row r="439" spans="1:57" ht="12.5" x14ac:dyDescent="0.25">
      <c r="A439" s="2"/>
      <c r="B439" s="2"/>
      <c r="C439" s="2"/>
      <c r="D439" s="2"/>
      <c r="E439" s="4"/>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row>
    <row r="440" spans="1:57" ht="12.5" x14ac:dyDescent="0.25">
      <c r="A440" s="2"/>
      <c r="B440" s="2"/>
      <c r="C440" s="2"/>
      <c r="D440" s="2"/>
      <c r="E440" s="4"/>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row>
    <row r="441" spans="1:57" ht="12.5" x14ac:dyDescent="0.25">
      <c r="A441" s="2"/>
      <c r="B441" s="2"/>
      <c r="C441" s="2"/>
      <c r="D441" s="2"/>
      <c r="E441" s="4"/>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row>
    <row r="442" spans="1:57" ht="12.5" x14ac:dyDescent="0.25">
      <c r="A442" s="2"/>
      <c r="B442" s="2"/>
      <c r="C442" s="2"/>
      <c r="D442" s="2"/>
      <c r="E442" s="4"/>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row>
    <row r="443" spans="1:57" ht="12.5" x14ac:dyDescent="0.25">
      <c r="A443" s="2"/>
      <c r="B443" s="2"/>
      <c r="C443" s="2"/>
      <c r="D443" s="2"/>
      <c r="E443" s="4"/>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row>
    <row r="444" spans="1:57" ht="12.5" x14ac:dyDescent="0.25">
      <c r="A444" s="2"/>
      <c r="B444" s="2"/>
      <c r="C444" s="2"/>
      <c r="D444" s="2"/>
      <c r="E444" s="4"/>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row>
    <row r="445" spans="1:57" ht="12.5" x14ac:dyDescent="0.25">
      <c r="A445" s="2"/>
      <c r="B445" s="2"/>
      <c r="C445" s="2"/>
      <c r="D445" s="2"/>
      <c r="E445" s="4"/>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row>
    <row r="446" spans="1:57" ht="12.5" x14ac:dyDescent="0.25">
      <c r="A446" s="2"/>
      <c r="B446" s="2"/>
      <c r="C446" s="2"/>
      <c r="D446" s="2"/>
      <c r="E446" s="4"/>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row>
    <row r="447" spans="1:57" ht="12.5" x14ac:dyDescent="0.25">
      <c r="A447" s="2"/>
      <c r="B447" s="2"/>
      <c r="C447" s="2"/>
      <c r="D447" s="2"/>
      <c r="E447" s="4"/>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row>
    <row r="448" spans="1:57" ht="12.5" x14ac:dyDescent="0.25">
      <c r="A448" s="2"/>
      <c r="B448" s="2"/>
      <c r="C448" s="2"/>
      <c r="D448" s="2"/>
      <c r="E448" s="4"/>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row>
    <row r="449" spans="1:57" ht="12.5" x14ac:dyDescent="0.25">
      <c r="A449" s="2"/>
      <c r="B449" s="2"/>
      <c r="C449" s="2"/>
      <c r="D449" s="2"/>
      <c r="E449" s="4"/>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row>
    <row r="450" spans="1:57" ht="12.5" x14ac:dyDescent="0.25">
      <c r="A450" s="2"/>
      <c r="B450" s="2"/>
      <c r="C450" s="2"/>
      <c r="D450" s="2"/>
      <c r="E450" s="4"/>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row>
    <row r="451" spans="1:57" ht="12.5" x14ac:dyDescent="0.25">
      <c r="A451" s="2"/>
      <c r="B451" s="2"/>
      <c r="C451" s="2"/>
      <c r="D451" s="2"/>
      <c r="E451" s="4"/>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row>
    <row r="452" spans="1:57" ht="12.5" x14ac:dyDescent="0.25">
      <c r="A452" s="2"/>
      <c r="B452" s="2"/>
      <c r="C452" s="2"/>
      <c r="D452" s="2"/>
      <c r="E452" s="4"/>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row>
    <row r="453" spans="1:57" ht="12.5" x14ac:dyDescent="0.25">
      <c r="A453" s="2"/>
      <c r="B453" s="2"/>
      <c r="C453" s="2"/>
      <c r="D453" s="2"/>
      <c r="E453" s="4"/>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row>
    <row r="454" spans="1:57" ht="12.5" x14ac:dyDescent="0.25">
      <c r="A454" s="2"/>
      <c r="B454" s="2"/>
      <c r="C454" s="2"/>
      <c r="D454" s="2"/>
      <c r="E454" s="4"/>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row>
    <row r="455" spans="1:57" ht="12.5" x14ac:dyDescent="0.25">
      <c r="A455" s="2"/>
      <c r="B455" s="2"/>
      <c r="C455" s="2"/>
      <c r="D455" s="2"/>
      <c r="E455" s="4"/>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row>
    <row r="456" spans="1:57" ht="12.5" x14ac:dyDescent="0.25">
      <c r="A456" s="2"/>
      <c r="B456" s="2"/>
      <c r="C456" s="2"/>
      <c r="D456" s="2"/>
      <c r="E456" s="4"/>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row>
    <row r="457" spans="1:57" ht="12.5" x14ac:dyDescent="0.25">
      <c r="A457" s="2"/>
      <c r="B457" s="2"/>
      <c r="C457" s="2"/>
      <c r="D457" s="2"/>
      <c r="E457" s="4"/>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row>
    <row r="458" spans="1:57" ht="12.5" x14ac:dyDescent="0.25">
      <c r="A458" s="2"/>
      <c r="B458" s="2"/>
      <c r="C458" s="2"/>
      <c r="D458" s="2"/>
      <c r="E458" s="4"/>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row>
    <row r="459" spans="1:57" ht="12.5" x14ac:dyDescent="0.25">
      <c r="A459" s="2"/>
      <c r="B459" s="2"/>
      <c r="C459" s="2"/>
      <c r="D459" s="2"/>
      <c r="E459" s="4"/>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row>
    <row r="460" spans="1:57" ht="12.5" x14ac:dyDescent="0.25">
      <c r="A460" s="2"/>
      <c r="B460" s="2"/>
      <c r="C460" s="2"/>
      <c r="D460" s="2"/>
      <c r="E460" s="4"/>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row>
    <row r="461" spans="1:57" ht="12.5" x14ac:dyDescent="0.25">
      <c r="A461" s="2"/>
      <c r="B461" s="2"/>
      <c r="C461" s="2"/>
      <c r="D461" s="2"/>
      <c r="E461" s="4"/>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row>
    <row r="462" spans="1:57" ht="12.5" x14ac:dyDescent="0.25">
      <c r="A462" s="2"/>
      <c r="B462" s="2"/>
      <c r="C462" s="2"/>
      <c r="D462" s="2"/>
      <c r="E462" s="4"/>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row>
    <row r="463" spans="1:57" ht="12.5" x14ac:dyDescent="0.25">
      <c r="A463" s="2"/>
      <c r="B463" s="2"/>
      <c r="C463" s="2"/>
      <c r="D463" s="2"/>
      <c r="E463" s="4"/>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row>
    <row r="464" spans="1:57" ht="12.5" x14ac:dyDescent="0.25">
      <c r="A464" s="2"/>
      <c r="B464" s="2"/>
      <c r="C464" s="2"/>
      <c r="D464" s="2"/>
      <c r="E464" s="4"/>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row>
    <row r="465" spans="1:57" ht="12.5" x14ac:dyDescent="0.25">
      <c r="A465" s="2"/>
      <c r="B465" s="2"/>
      <c r="C465" s="2"/>
      <c r="D465" s="2"/>
      <c r="E465" s="4"/>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row>
    <row r="466" spans="1:57" ht="12.5" x14ac:dyDescent="0.25">
      <c r="A466" s="2"/>
      <c r="B466" s="2"/>
      <c r="C466" s="2"/>
      <c r="D466" s="2"/>
      <c r="E466" s="4"/>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row>
    <row r="467" spans="1:57" ht="12.5" x14ac:dyDescent="0.25">
      <c r="A467" s="2"/>
      <c r="B467" s="2"/>
      <c r="C467" s="2"/>
      <c r="D467" s="2"/>
      <c r="E467" s="4"/>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row>
    <row r="468" spans="1:57" ht="12.5" x14ac:dyDescent="0.25">
      <c r="A468" s="2"/>
      <c r="B468" s="2"/>
      <c r="C468" s="2"/>
      <c r="D468" s="2"/>
      <c r="E468" s="4"/>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row>
    <row r="469" spans="1:57" ht="12.5" x14ac:dyDescent="0.25">
      <c r="A469" s="2"/>
      <c r="B469" s="2"/>
      <c r="C469" s="2"/>
      <c r="D469" s="2"/>
      <c r="E469" s="4"/>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row>
    <row r="470" spans="1:57" ht="12.5" x14ac:dyDescent="0.25">
      <c r="A470" s="2"/>
      <c r="B470" s="2"/>
      <c r="C470" s="2"/>
      <c r="D470" s="2"/>
      <c r="E470" s="4"/>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row>
    <row r="471" spans="1:57" ht="12.5" x14ac:dyDescent="0.25">
      <c r="A471" s="2"/>
      <c r="B471" s="2"/>
      <c r="C471" s="2"/>
      <c r="D471" s="2"/>
      <c r="E471" s="4"/>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row>
    <row r="472" spans="1:57" ht="12.5" x14ac:dyDescent="0.25">
      <c r="A472" s="2"/>
      <c r="B472" s="2"/>
      <c r="C472" s="2"/>
      <c r="D472" s="2"/>
      <c r="E472" s="4"/>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row>
    <row r="473" spans="1:57" ht="12.5" x14ac:dyDescent="0.25">
      <c r="A473" s="2"/>
      <c r="B473" s="2"/>
      <c r="C473" s="2"/>
      <c r="D473" s="2"/>
      <c r="E473" s="4"/>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row>
    <row r="474" spans="1:57" ht="12.5" x14ac:dyDescent="0.25">
      <c r="A474" s="2"/>
      <c r="B474" s="2"/>
      <c r="C474" s="2"/>
      <c r="D474" s="2"/>
      <c r="E474" s="4"/>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row>
    <row r="475" spans="1:57" ht="12.5" x14ac:dyDescent="0.25">
      <c r="A475" s="2"/>
      <c r="B475" s="2"/>
      <c r="C475" s="2"/>
      <c r="D475" s="2"/>
      <c r="E475" s="4"/>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row>
    <row r="476" spans="1:57" ht="12.5" x14ac:dyDescent="0.25">
      <c r="A476" s="2"/>
      <c r="B476" s="2"/>
      <c r="C476" s="2"/>
      <c r="D476" s="2"/>
      <c r="E476" s="4"/>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row>
    <row r="477" spans="1:57" ht="12.5" x14ac:dyDescent="0.25">
      <c r="A477" s="2"/>
      <c r="B477" s="2"/>
      <c r="C477" s="2"/>
      <c r="D477" s="2"/>
      <c r="E477" s="4"/>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row>
    <row r="478" spans="1:57" ht="12.5" x14ac:dyDescent="0.25">
      <c r="A478" s="2"/>
      <c r="B478" s="2"/>
      <c r="C478" s="2"/>
      <c r="D478" s="2"/>
      <c r="E478" s="4"/>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row>
    <row r="479" spans="1:57" ht="12.5" x14ac:dyDescent="0.25">
      <c r="A479" s="2"/>
      <c r="B479" s="2"/>
      <c r="C479" s="2"/>
      <c r="D479" s="2"/>
      <c r="E479" s="4"/>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row>
    <row r="480" spans="1:57" ht="12.5" x14ac:dyDescent="0.25">
      <c r="A480" s="2"/>
      <c r="B480" s="2"/>
      <c r="C480" s="2"/>
      <c r="D480" s="2"/>
      <c r="E480" s="4"/>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row>
    <row r="481" spans="1:57" ht="12.5" x14ac:dyDescent="0.25">
      <c r="A481" s="2"/>
      <c r="B481" s="2"/>
      <c r="C481" s="2"/>
      <c r="D481" s="2"/>
      <c r="E481" s="4"/>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row>
    <row r="482" spans="1:57" ht="12.5" x14ac:dyDescent="0.25">
      <c r="A482" s="2"/>
      <c r="B482" s="2"/>
      <c r="C482" s="2"/>
      <c r="D482" s="2"/>
      <c r="E482" s="4"/>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row>
    <row r="483" spans="1:57" ht="12.5" x14ac:dyDescent="0.25">
      <c r="A483" s="2"/>
      <c r="B483" s="2"/>
      <c r="C483" s="2"/>
      <c r="D483" s="2"/>
      <c r="E483" s="4"/>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row>
    <row r="484" spans="1:57" ht="12.5" x14ac:dyDescent="0.25">
      <c r="A484" s="2"/>
      <c r="B484" s="2"/>
      <c r="C484" s="2"/>
      <c r="D484" s="2"/>
      <c r="E484" s="4"/>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row>
    <row r="485" spans="1:57" ht="12.5" x14ac:dyDescent="0.25">
      <c r="A485" s="2"/>
      <c r="B485" s="2"/>
      <c r="C485" s="2"/>
      <c r="D485" s="2"/>
      <c r="E485" s="4"/>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row>
    <row r="486" spans="1:57" ht="12.5" x14ac:dyDescent="0.25">
      <c r="A486" s="2"/>
      <c r="B486" s="2"/>
      <c r="C486" s="2"/>
      <c r="D486" s="2"/>
      <c r="E486" s="4"/>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row>
    <row r="487" spans="1:57" ht="12.5" x14ac:dyDescent="0.25">
      <c r="A487" s="2"/>
      <c r="B487" s="2"/>
      <c r="C487" s="2"/>
      <c r="D487" s="2"/>
      <c r="E487" s="4"/>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row>
    <row r="488" spans="1:57" ht="12.5" x14ac:dyDescent="0.25">
      <c r="A488" s="2"/>
      <c r="B488" s="2"/>
      <c r="C488" s="2"/>
      <c r="D488" s="2"/>
      <c r="E488" s="4"/>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row>
    <row r="489" spans="1:57" ht="12.5" x14ac:dyDescent="0.25">
      <c r="A489" s="2"/>
      <c r="B489" s="2"/>
      <c r="C489" s="2"/>
      <c r="D489" s="2"/>
      <c r="E489" s="4"/>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row>
    <row r="490" spans="1:57" ht="12.5" x14ac:dyDescent="0.25">
      <c r="A490" s="2"/>
      <c r="B490" s="2"/>
      <c r="C490" s="2"/>
      <c r="D490" s="2"/>
      <c r="E490" s="4"/>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row>
    <row r="491" spans="1:57" ht="12.5" x14ac:dyDescent="0.25">
      <c r="A491" s="2"/>
      <c r="B491" s="2"/>
      <c r="C491" s="2"/>
      <c r="D491" s="2"/>
      <c r="E491" s="4"/>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row>
    <row r="492" spans="1:57" ht="12.5" x14ac:dyDescent="0.25">
      <c r="A492" s="2"/>
      <c r="B492" s="2"/>
      <c r="C492" s="2"/>
      <c r="D492" s="2"/>
      <c r="E492" s="4"/>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row>
    <row r="493" spans="1:57" ht="12.5" x14ac:dyDescent="0.25">
      <c r="A493" s="2"/>
      <c r="B493" s="2"/>
      <c r="C493" s="2"/>
      <c r="D493" s="2"/>
      <c r="E493" s="4"/>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row>
    <row r="494" spans="1:57" ht="12.5" x14ac:dyDescent="0.25">
      <c r="A494" s="2"/>
      <c r="B494" s="2"/>
      <c r="C494" s="2"/>
      <c r="D494" s="2"/>
      <c r="E494" s="4"/>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row>
    <row r="495" spans="1:57" ht="12.5" x14ac:dyDescent="0.25">
      <c r="A495" s="2"/>
      <c r="B495" s="2"/>
      <c r="C495" s="2"/>
      <c r="D495" s="2"/>
      <c r="E495" s="4"/>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row>
    <row r="496" spans="1:57" ht="12.5" x14ac:dyDescent="0.25">
      <c r="A496" s="2"/>
      <c r="B496" s="2"/>
      <c r="C496" s="2"/>
      <c r="D496" s="2"/>
      <c r="E496" s="4"/>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row>
    <row r="497" spans="1:57" ht="12.5" x14ac:dyDescent="0.25">
      <c r="A497" s="2"/>
      <c r="B497" s="2"/>
      <c r="C497" s="2"/>
      <c r="D497" s="2"/>
      <c r="E497" s="4"/>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row>
    <row r="498" spans="1:57" ht="12.5" x14ac:dyDescent="0.25">
      <c r="A498" s="2"/>
      <c r="B498" s="2"/>
      <c r="C498" s="2"/>
      <c r="D498" s="2"/>
      <c r="E498" s="4"/>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row>
    <row r="499" spans="1:57" ht="12.5" x14ac:dyDescent="0.25">
      <c r="A499" s="2"/>
      <c r="B499" s="2"/>
      <c r="C499" s="2"/>
      <c r="D499" s="2"/>
      <c r="E499" s="4"/>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row>
    <row r="500" spans="1:57" ht="12.5" x14ac:dyDescent="0.25">
      <c r="A500" s="2"/>
      <c r="B500" s="2"/>
      <c r="C500" s="2"/>
      <c r="D500" s="2"/>
      <c r="E500" s="4"/>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row>
    <row r="501" spans="1:57" ht="12.5" x14ac:dyDescent="0.25">
      <c r="A501" s="2"/>
      <c r="B501" s="2"/>
      <c r="C501" s="2"/>
      <c r="D501" s="2"/>
      <c r="E501" s="4"/>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row>
    <row r="502" spans="1:57" ht="12.5" x14ac:dyDescent="0.25">
      <c r="A502" s="2"/>
      <c r="B502" s="2"/>
      <c r="C502" s="2"/>
      <c r="D502" s="2"/>
      <c r="E502" s="4"/>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row>
    <row r="503" spans="1:57" ht="12.5" x14ac:dyDescent="0.25">
      <c r="A503" s="2"/>
      <c r="B503" s="2"/>
      <c r="C503" s="2"/>
      <c r="D503" s="2"/>
      <c r="E503" s="4"/>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row>
    <row r="504" spans="1:57" ht="12.5" x14ac:dyDescent="0.25">
      <c r="A504" s="2"/>
      <c r="B504" s="2"/>
      <c r="C504" s="2"/>
      <c r="D504" s="2"/>
      <c r="E504" s="4"/>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row>
    <row r="505" spans="1:57" ht="12.5" x14ac:dyDescent="0.25">
      <c r="A505" s="2"/>
      <c r="B505" s="2"/>
      <c r="C505" s="2"/>
      <c r="D505" s="2"/>
      <c r="E505" s="4"/>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row>
    <row r="506" spans="1:57" ht="12.5" x14ac:dyDescent="0.25">
      <c r="A506" s="2"/>
      <c r="B506" s="2"/>
      <c r="C506" s="2"/>
      <c r="D506" s="2"/>
      <c r="E506" s="4"/>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row>
    <row r="507" spans="1:57" ht="12.5" x14ac:dyDescent="0.25">
      <c r="A507" s="2"/>
      <c r="B507" s="2"/>
      <c r="C507" s="2"/>
      <c r="D507" s="2"/>
      <c r="E507" s="4"/>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row>
    <row r="508" spans="1:57" ht="12.5" x14ac:dyDescent="0.25">
      <c r="A508" s="2"/>
      <c r="B508" s="2"/>
      <c r="C508" s="2"/>
      <c r="D508" s="2"/>
      <c r="E508" s="4"/>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row>
    <row r="509" spans="1:57" ht="12.5" x14ac:dyDescent="0.25">
      <c r="A509" s="2"/>
      <c r="B509" s="2"/>
      <c r="C509" s="2"/>
      <c r="D509" s="2"/>
      <c r="E509" s="4"/>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row>
    <row r="510" spans="1:57" ht="12.5" x14ac:dyDescent="0.25">
      <c r="A510" s="2"/>
      <c r="B510" s="2"/>
      <c r="C510" s="2"/>
      <c r="D510" s="2"/>
      <c r="E510" s="4"/>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row>
    <row r="511" spans="1:57" ht="12.5" x14ac:dyDescent="0.25">
      <c r="A511" s="2"/>
      <c r="B511" s="2"/>
      <c r="C511" s="2"/>
      <c r="D511" s="2"/>
      <c r="E511" s="4"/>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row>
    <row r="512" spans="1:57" ht="12.5" x14ac:dyDescent="0.25">
      <c r="A512" s="2"/>
      <c r="B512" s="2"/>
      <c r="C512" s="2"/>
      <c r="D512" s="2"/>
      <c r="E512" s="4"/>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row>
    <row r="513" spans="1:57" ht="12.5" x14ac:dyDescent="0.25">
      <c r="A513" s="2"/>
      <c r="B513" s="2"/>
      <c r="C513" s="2"/>
      <c r="D513" s="2"/>
      <c r="E513" s="4"/>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row>
    <row r="514" spans="1:57" ht="12.5" x14ac:dyDescent="0.25">
      <c r="A514" s="2"/>
      <c r="B514" s="2"/>
      <c r="C514" s="2"/>
      <c r="D514" s="2"/>
      <c r="E514" s="4"/>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row>
    <row r="515" spans="1:57" ht="12.5" x14ac:dyDescent="0.25">
      <c r="A515" s="2"/>
      <c r="B515" s="2"/>
      <c r="C515" s="2"/>
      <c r="D515" s="2"/>
      <c r="E515" s="4"/>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row>
    <row r="516" spans="1:57" ht="12.5" x14ac:dyDescent="0.25">
      <c r="A516" s="2"/>
      <c r="B516" s="2"/>
      <c r="C516" s="2"/>
      <c r="D516" s="2"/>
      <c r="E516" s="4"/>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row>
    <row r="517" spans="1:57" ht="12.5" x14ac:dyDescent="0.25">
      <c r="A517" s="2"/>
      <c r="B517" s="2"/>
      <c r="C517" s="2"/>
      <c r="D517" s="2"/>
      <c r="E517" s="4"/>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row>
    <row r="518" spans="1:57" ht="12.5" x14ac:dyDescent="0.25">
      <c r="A518" s="2"/>
      <c r="B518" s="2"/>
      <c r="C518" s="2"/>
      <c r="D518" s="2"/>
      <c r="E518" s="4"/>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row>
    <row r="519" spans="1:57" ht="12.5" x14ac:dyDescent="0.25">
      <c r="A519" s="2"/>
      <c r="B519" s="2"/>
      <c r="C519" s="2"/>
      <c r="D519" s="2"/>
      <c r="E519" s="4"/>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row>
    <row r="520" spans="1:57" ht="12.5" x14ac:dyDescent="0.25">
      <c r="A520" s="2"/>
      <c r="B520" s="2"/>
      <c r="C520" s="2"/>
      <c r="D520" s="2"/>
      <c r="E520" s="4"/>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row>
    <row r="521" spans="1:57" ht="12.5" x14ac:dyDescent="0.25">
      <c r="A521" s="2"/>
      <c r="B521" s="2"/>
      <c r="C521" s="2"/>
      <c r="D521" s="2"/>
      <c r="E521" s="4"/>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row>
    <row r="522" spans="1:57" ht="12.5" x14ac:dyDescent="0.25">
      <c r="A522" s="2"/>
      <c r="B522" s="2"/>
      <c r="C522" s="2"/>
      <c r="D522" s="2"/>
      <c r="E522" s="4"/>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row>
    <row r="523" spans="1:57" ht="12.5" x14ac:dyDescent="0.25">
      <c r="A523" s="2"/>
      <c r="B523" s="2"/>
      <c r="C523" s="2"/>
      <c r="D523" s="2"/>
      <c r="E523" s="4"/>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row>
    <row r="524" spans="1:57" ht="12.5" x14ac:dyDescent="0.25">
      <c r="A524" s="2"/>
      <c r="B524" s="2"/>
      <c r="C524" s="2"/>
      <c r="D524" s="2"/>
      <c r="E524" s="4"/>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row>
    <row r="525" spans="1:57" ht="12.5" x14ac:dyDescent="0.25">
      <c r="A525" s="2"/>
      <c r="B525" s="2"/>
      <c r="C525" s="2"/>
      <c r="D525" s="2"/>
      <c r="E525" s="4"/>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row>
    <row r="526" spans="1:57" ht="12.5" x14ac:dyDescent="0.25">
      <c r="A526" s="2"/>
      <c r="B526" s="2"/>
      <c r="C526" s="2"/>
      <c r="D526" s="2"/>
      <c r="E526" s="4"/>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row>
    <row r="527" spans="1:57" ht="12.5" x14ac:dyDescent="0.25">
      <c r="A527" s="2"/>
      <c r="B527" s="2"/>
      <c r="C527" s="2"/>
      <c r="D527" s="2"/>
      <c r="E527" s="4"/>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row>
    <row r="528" spans="1:57" ht="12.5" x14ac:dyDescent="0.25">
      <c r="A528" s="2"/>
      <c r="B528" s="2"/>
      <c r="C528" s="2"/>
      <c r="D528" s="2"/>
      <c r="E528" s="4"/>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row>
    <row r="529" spans="1:57" ht="12.5" x14ac:dyDescent="0.25">
      <c r="A529" s="2"/>
      <c r="B529" s="2"/>
      <c r="C529" s="2"/>
      <c r="D529" s="2"/>
      <c r="E529" s="4"/>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row>
    <row r="530" spans="1:57" ht="12.5" x14ac:dyDescent="0.25">
      <c r="A530" s="2"/>
      <c r="B530" s="2"/>
      <c r="C530" s="2"/>
      <c r="D530" s="2"/>
      <c r="E530" s="4"/>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row>
    <row r="531" spans="1:57" ht="12.5" x14ac:dyDescent="0.25">
      <c r="A531" s="2"/>
      <c r="B531" s="2"/>
      <c r="C531" s="2"/>
      <c r="D531" s="2"/>
      <c r="E531" s="4"/>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row>
    <row r="532" spans="1:57" ht="12.5" x14ac:dyDescent="0.25">
      <c r="A532" s="2"/>
      <c r="B532" s="2"/>
      <c r="C532" s="2"/>
      <c r="D532" s="2"/>
      <c r="E532" s="4"/>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row>
    <row r="533" spans="1:57" ht="12.5" x14ac:dyDescent="0.25">
      <c r="A533" s="2"/>
      <c r="B533" s="2"/>
      <c r="C533" s="2"/>
      <c r="D533" s="2"/>
      <c r="E533" s="4"/>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row>
    <row r="534" spans="1:57" ht="12.5" x14ac:dyDescent="0.25">
      <c r="A534" s="2"/>
      <c r="B534" s="2"/>
      <c r="C534" s="2"/>
      <c r="D534" s="2"/>
      <c r="E534" s="4"/>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row>
    <row r="535" spans="1:57" ht="12.5" x14ac:dyDescent="0.25">
      <c r="A535" s="2"/>
      <c r="B535" s="2"/>
      <c r="C535" s="2"/>
      <c r="D535" s="2"/>
      <c r="E535" s="4"/>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row>
    <row r="536" spans="1:57" ht="12.5" x14ac:dyDescent="0.25">
      <c r="A536" s="2"/>
      <c r="B536" s="2"/>
      <c r="C536" s="2"/>
      <c r="D536" s="2"/>
      <c r="E536" s="4"/>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row>
    <row r="537" spans="1:57" ht="12.5" x14ac:dyDescent="0.25">
      <c r="A537" s="2"/>
      <c r="B537" s="2"/>
      <c r="C537" s="2"/>
      <c r="D537" s="2"/>
      <c r="E537" s="4"/>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row>
    <row r="538" spans="1:57" ht="12.5" x14ac:dyDescent="0.25">
      <c r="A538" s="2"/>
      <c r="B538" s="2"/>
      <c r="C538" s="2"/>
      <c r="D538" s="2"/>
      <c r="E538" s="4"/>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row>
    <row r="539" spans="1:57" ht="12.5" x14ac:dyDescent="0.25">
      <c r="A539" s="2"/>
      <c r="B539" s="2"/>
      <c r="C539" s="2"/>
      <c r="D539" s="2"/>
      <c r="E539" s="4"/>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row>
    <row r="540" spans="1:57" ht="12.5" x14ac:dyDescent="0.25">
      <c r="A540" s="2"/>
      <c r="B540" s="2"/>
      <c r="C540" s="2"/>
      <c r="D540" s="2"/>
      <c r="E540" s="4"/>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row>
    <row r="541" spans="1:57" ht="12.5" x14ac:dyDescent="0.25">
      <c r="A541" s="2"/>
      <c r="B541" s="2"/>
      <c r="C541" s="2"/>
      <c r="D541" s="2"/>
      <c r="E541" s="4"/>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row>
    <row r="542" spans="1:57" ht="12.5" x14ac:dyDescent="0.25">
      <c r="A542" s="2"/>
      <c r="B542" s="2"/>
      <c r="C542" s="2"/>
      <c r="D542" s="2"/>
      <c r="E542" s="4"/>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row>
    <row r="543" spans="1:57" ht="12.5" x14ac:dyDescent="0.25">
      <c r="A543" s="2"/>
      <c r="B543" s="2"/>
      <c r="C543" s="2"/>
      <c r="D543" s="2"/>
      <c r="E543" s="4"/>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row>
    <row r="544" spans="1:57" ht="12.5" x14ac:dyDescent="0.25">
      <c r="A544" s="2"/>
      <c r="B544" s="2"/>
      <c r="C544" s="2"/>
      <c r="D544" s="2"/>
      <c r="E544" s="4"/>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row>
    <row r="545" spans="1:57" ht="12.5" x14ac:dyDescent="0.25">
      <c r="A545" s="2"/>
      <c r="B545" s="2"/>
      <c r="C545" s="2"/>
      <c r="D545" s="2"/>
      <c r="E545" s="4"/>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row>
    <row r="546" spans="1:57" ht="12.5" x14ac:dyDescent="0.25">
      <c r="A546" s="2"/>
      <c r="B546" s="2"/>
      <c r="C546" s="2"/>
      <c r="D546" s="2"/>
      <c r="E546" s="4"/>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row>
    <row r="547" spans="1:57" ht="12.5" x14ac:dyDescent="0.25">
      <c r="A547" s="2"/>
      <c r="B547" s="2"/>
      <c r="C547" s="2"/>
      <c r="D547" s="2"/>
      <c r="E547" s="4"/>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row>
    <row r="548" spans="1:57" ht="12.5" x14ac:dyDescent="0.25">
      <c r="A548" s="2"/>
      <c r="B548" s="2"/>
      <c r="C548" s="2"/>
      <c r="D548" s="2"/>
      <c r="E548" s="4"/>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row>
    <row r="549" spans="1:57" ht="12.5" x14ac:dyDescent="0.25">
      <c r="A549" s="2"/>
      <c r="B549" s="2"/>
      <c r="C549" s="2"/>
      <c r="D549" s="2"/>
      <c r="E549" s="4"/>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row>
    <row r="550" spans="1:57" ht="12.5" x14ac:dyDescent="0.25">
      <c r="A550" s="2"/>
      <c r="B550" s="2"/>
      <c r="C550" s="2"/>
      <c r="D550" s="2"/>
      <c r="E550" s="4"/>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row>
    <row r="551" spans="1:57" ht="12.5" x14ac:dyDescent="0.25">
      <c r="A551" s="2"/>
      <c r="B551" s="2"/>
      <c r="C551" s="2"/>
      <c r="D551" s="2"/>
      <c r="E551" s="4"/>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row>
    <row r="552" spans="1:57" ht="12.5" x14ac:dyDescent="0.25">
      <c r="A552" s="2"/>
      <c r="B552" s="2"/>
      <c r="C552" s="2"/>
      <c r="D552" s="2"/>
      <c r="E552" s="4"/>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row>
    <row r="553" spans="1:57" ht="12.5" x14ac:dyDescent="0.25">
      <c r="A553" s="2"/>
      <c r="B553" s="2"/>
      <c r="C553" s="2"/>
      <c r="D553" s="2"/>
      <c r="E553" s="4"/>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row>
    <row r="554" spans="1:57" ht="12.5" x14ac:dyDescent="0.25">
      <c r="A554" s="2"/>
      <c r="B554" s="2"/>
      <c r="C554" s="2"/>
      <c r="D554" s="2"/>
      <c r="E554" s="4"/>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row>
    <row r="555" spans="1:57" ht="12.5" x14ac:dyDescent="0.25">
      <c r="A555" s="2"/>
      <c r="B555" s="2"/>
      <c r="C555" s="2"/>
      <c r="D555" s="2"/>
      <c r="E555" s="4"/>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row>
    <row r="556" spans="1:57" ht="12.5" x14ac:dyDescent="0.25">
      <c r="A556" s="2"/>
      <c r="B556" s="2"/>
      <c r="C556" s="2"/>
      <c r="D556" s="2"/>
      <c r="E556" s="4"/>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row>
    <row r="557" spans="1:57" ht="12.5" x14ac:dyDescent="0.25">
      <c r="A557" s="2"/>
      <c r="B557" s="2"/>
      <c r="C557" s="2"/>
      <c r="D557" s="2"/>
      <c r="E557" s="4"/>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row>
    <row r="558" spans="1:57" ht="12.5" x14ac:dyDescent="0.25">
      <c r="A558" s="2"/>
      <c r="B558" s="2"/>
      <c r="C558" s="2"/>
      <c r="D558" s="2"/>
      <c r="E558" s="4"/>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row>
    <row r="559" spans="1:57" ht="12.5" x14ac:dyDescent="0.25">
      <c r="A559" s="2"/>
      <c r="B559" s="2"/>
      <c r="C559" s="2"/>
      <c r="D559" s="2"/>
      <c r="E559" s="4"/>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row>
    <row r="560" spans="1:57" ht="12.5" x14ac:dyDescent="0.25">
      <c r="A560" s="2"/>
      <c r="B560" s="2"/>
      <c r="C560" s="2"/>
      <c r="D560" s="2"/>
      <c r="E560" s="4"/>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row>
    <row r="561" spans="1:57" ht="12.5" x14ac:dyDescent="0.25">
      <c r="A561" s="2"/>
      <c r="B561" s="2"/>
      <c r="C561" s="2"/>
      <c r="D561" s="2"/>
      <c r="E561" s="4"/>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row>
    <row r="562" spans="1:57" ht="12.5" x14ac:dyDescent="0.25">
      <c r="A562" s="2"/>
      <c r="B562" s="2"/>
      <c r="C562" s="2"/>
      <c r="D562" s="2"/>
      <c r="E562" s="4"/>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row>
    <row r="563" spans="1:57" ht="12.5" x14ac:dyDescent="0.25">
      <c r="A563" s="2"/>
      <c r="B563" s="2"/>
      <c r="C563" s="2"/>
      <c r="D563" s="2"/>
      <c r="E563" s="4"/>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row>
    <row r="564" spans="1:57" ht="12.5" x14ac:dyDescent="0.25">
      <c r="A564" s="2"/>
      <c r="B564" s="2"/>
      <c r="C564" s="2"/>
      <c r="D564" s="2"/>
      <c r="E564" s="4"/>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row>
    <row r="565" spans="1:57" ht="12.5" x14ac:dyDescent="0.25">
      <c r="A565" s="2"/>
      <c r="B565" s="2"/>
      <c r="C565" s="2"/>
      <c r="D565" s="2"/>
      <c r="E565" s="4"/>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row>
    <row r="566" spans="1:57" ht="12.5" x14ac:dyDescent="0.25">
      <c r="A566" s="2"/>
      <c r="B566" s="2"/>
      <c r="C566" s="2"/>
      <c r="D566" s="2"/>
      <c r="E566" s="4"/>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row>
    <row r="567" spans="1:57" ht="12.5" x14ac:dyDescent="0.25">
      <c r="A567" s="2"/>
      <c r="B567" s="2"/>
      <c r="C567" s="2"/>
      <c r="D567" s="2"/>
      <c r="E567" s="4"/>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row>
    <row r="568" spans="1:57" ht="12.5" x14ac:dyDescent="0.25">
      <c r="A568" s="2"/>
      <c r="B568" s="2"/>
      <c r="C568" s="2"/>
      <c r="D568" s="2"/>
      <c r="E568" s="4"/>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row>
    <row r="569" spans="1:57" ht="12.5" x14ac:dyDescent="0.25">
      <c r="A569" s="2"/>
      <c r="B569" s="2"/>
      <c r="C569" s="2"/>
      <c r="D569" s="2"/>
      <c r="E569" s="4"/>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row>
    <row r="570" spans="1:57" ht="12.5" x14ac:dyDescent="0.25">
      <c r="A570" s="2"/>
      <c r="B570" s="2"/>
      <c r="C570" s="2"/>
      <c r="D570" s="2"/>
      <c r="E570" s="4"/>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row>
    <row r="571" spans="1:57" ht="12.5" x14ac:dyDescent="0.25">
      <c r="A571" s="2"/>
      <c r="B571" s="2"/>
      <c r="C571" s="2"/>
      <c r="D571" s="2"/>
      <c r="E571" s="4"/>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row>
    <row r="572" spans="1:57" ht="12.5" x14ac:dyDescent="0.25">
      <c r="A572" s="2"/>
      <c r="B572" s="2"/>
      <c r="C572" s="2"/>
      <c r="D572" s="2"/>
      <c r="E572" s="4"/>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row>
    <row r="573" spans="1:57" ht="12.5" x14ac:dyDescent="0.25">
      <c r="A573" s="2"/>
      <c r="B573" s="2"/>
      <c r="C573" s="2"/>
      <c r="D573" s="2"/>
      <c r="E573" s="4"/>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row>
    <row r="574" spans="1:57" ht="12.5" x14ac:dyDescent="0.25">
      <c r="A574" s="2"/>
      <c r="B574" s="2"/>
      <c r="C574" s="2"/>
      <c r="D574" s="2"/>
      <c r="E574" s="4"/>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row>
    <row r="575" spans="1:57" ht="12.5" x14ac:dyDescent="0.25">
      <c r="A575" s="2"/>
      <c r="B575" s="2"/>
      <c r="C575" s="2"/>
      <c r="D575" s="2"/>
      <c r="E575" s="4"/>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row>
    <row r="576" spans="1:57" ht="12.5" x14ac:dyDescent="0.25">
      <c r="A576" s="2"/>
      <c r="B576" s="2"/>
      <c r="C576" s="2"/>
      <c r="D576" s="2"/>
      <c r="E576" s="4"/>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row>
    <row r="577" spans="1:57" ht="12.5" x14ac:dyDescent="0.25">
      <c r="A577" s="2"/>
      <c r="B577" s="2"/>
      <c r="C577" s="2"/>
      <c r="D577" s="2"/>
      <c r="E577" s="4"/>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row>
    <row r="578" spans="1:57" ht="12.5" x14ac:dyDescent="0.25">
      <c r="A578" s="2"/>
      <c r="B578" s="2"/>
      <c r="C578" s="2"/>
      <c r="D578" s="2"/>
      <c r="E578" s="4"/>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row>
    <row r="579" spans="1:57" ht="12.5" x14ac:dyDescent="0.25">
      <c r="A579" s="2"/>
      <c r="B579" s="2"/>
      <c r="C579" s="2"/>
      <c r="D579" s="2"/>
      <c r="E579" s="4"/>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row>
    <row r="580" spans="1:57" ht="12.5" x14ac:dyDescent="0.25">
      <c r="A580" s="2"/>
      <c r="B580" s="2"/>
      <c r="C580" s="2"/>
      <c r="D580" s="2"/>
      <c r="E580" s="4"/>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row>
    <row r="581" spans="1:57" ht="12.5" x14ac:dyDescent="0.25">
      <c r="A581" s="2"/>
      <c r="B581" s="2"/>
      <c r="C581" s="2"/>
      <c r="D581" s="2"/>
      <c r="E581" s="4"/>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row>
    <row r="582" spans="1:57" ht="12.5" x14ac:dyDescent="0.25">
      <c r="A582" s="2"/>
      <c r="B582" s="2"/>
      <c r="C582" s="2"/>
      <c r="D582" s="2"/>
      <c r="E582" s="4"/>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row>
    <row r="583" spans="1:57" ht="12.5" x14ac:dyDescent="0.25">
      <c r="A583" s="2"/>
      <c r="B583" s="2"/>
      <c r="C583" s="2"/>
      <c r="D583" s="2"/>
      <c r="E583" s="4"/>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row>
    <row r="584" spans="1:57" ht="12.5" x14ac:dyDescent="0.25">
      <c r="A584" s="2"/>
      <c r="B584" s="2"/>
      <c r="C584" s="2"/>
      <c r="D584" s="2"/>
      <c r="E584" s="4"/>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row>
    <row r="585" spans="1:57" ht="12.5" x14ac:dyDescent="0.25">
      <c r="A585" s="2"/>
      <c r="B585" s="2"/>
      <c r="C585" s="2"/>
      <c r="D585" s="2"/>
      <c r="E585" s="4"/>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row>
    <row r="586" spans="1:57" ht="12.5" x14ac:dyDescent="0.25">
      <c r="A586" s="2"/>
      <c r="B586" s="2"/>
      <c r="C586" s="2"/>
      <c r="D586" s="2"/>
      <c r="E586" s="4"/>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row>
    <row r="587" spans="1:57" ht="12.5" x14ac:dyDescent="0.25">
      <c r="A587" s="2"/>
      <c r="B587" s="2"/>
      <c r="C587" s="2"/>
      <c r="D587" s="2"/>
      <c r="E587" s="4"/>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row>
    <row r="588" spans="1:57" ht="12.5" x14ac:dyDescent="0.25">
      <c r="A588" s="2"/>
      <c r="B588" s="2"/>
      <c r="C588" s="2"/>
      <c r="D588" s="2"/>
      <c r="E588" s="4"/>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row>
    <row r="589" spans="1:57" ht="12.5" x14ac:dyDescent="0.25">
      <c r="A589" s="2"/>
      <c r="B589" s="2"/>
      <c r="C589" s="2"/>
      <c r="D589" s="2"/>
      <c r="E589" s="4"/>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row>
    <row r="590" spans="1:57" ht="12.5" x14ac:dyDescent="0.25">
      <c r="A590" s="2"/>
      <c r="B590" s="2"/>
      <c r="C590" s="2"/>
      <c r="D590" s="2"/>
      <c r="E590" s="4"/>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row>
    <row r="591" spans="1:57" ht="12.5" x14ac:dyDescent="0.25">
      <c r="A591" s="2"/>
      <c r="B591" s="2"/>
      <c r="C591" s="2"/>
      <c r="D591" s="2"/>
      <c r="E591" s="4"/>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row>
    <row r="592" spans="1:57" ht="12.5" x14ac:dyDescent="0.25">
      <c r="A592" s="2"/>
      <c r="B592" s="2"/>
      <c r="C592" s="2"/>
      <c r="D592" s="2"/>
      <c r="E592" s="4"/>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row>
    <row r="593" spans="1:57" ht="12.5" x14ac:dyDescent="0.25">
      <c r="A593" s="2"/>
      <c r="B593" s="2"/>
      <c r="C593" s="2"/>
      <c r="D593" s="2"/>
      <c r="E593" s="4"/>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row>
    <row r="594" spans="1:57" ht="12.5" x14ac:dyDescent="0.25">
      <c r="A594" s="2"/>
      <c r="B594" s="2"/>
      <c r="C594" s="2"/>
      <c r="D594" s="2"/>
      <c r="E594" s="4"/>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row>
    <row r="595" spans="1:57" ht="12.5" x14ac:dyDescent="0.25">
      <c r="A595" s="2"/>
      <c r="B595" s="2"/>
      <c r="C595" s="2"/>
      <c r="D595" s="2"/>
      <c r="E595" s="4"/>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row>
    <row r="596" spans="1:57" ht="12.5" x14ac:dyDescent="0.25">
      <c r="A596" s="2"/>
      <c r="B596" s="2"/>
      <c r="C596" s="2"/>
      <c r="D596" s="2"/>
      <c r="E596" s="4"/>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row>
    <row r="597" spans="1:57" ht="12.5" x14ac:dyDescent="0.25">
      <c r="A597" s="2"/>
      <c r="B597" s="2"/>
      <c r="C597" s="2"/>
      <c r="D597" s="2"/>
      <c r="E597" s="4"/>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row>
    <row r="598" spans="1:57" ht="12.5" x14ac:dyDescent="0.25">
      <c r="A598" s="2"/>
      <c r="B598" s="2"/>
      <c r="C598" s="2"/>
      <c r="D598" s="2"/>
      <c r="E598" s="4"/>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row>
    <row r="599" spans="1:57" ht="12.5" x14ac:dyDescent="0.25">
      <c r="A599" s="2"/>
      <c r="B599" s="2"/>
      <c r="C599" s="2"/>
      <c r="D599" s="2"/>
      <c r="E599" s="4"/>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row>
    <row r="600" spans="1:57" ht="12.5" x14ac:dyDescent="0.25">
      <c r="A600" s="2"/>
      <c r="B600" s="2"/>
      <c r="C600" s="2"/>
      <c r="D600" s="2"/>
      <c r="E600" s="4"/>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row>
    <row r="601" spans="1:57" ht="12.5" x14ac:dyDescent="0.25">
      <c r="A601" s="2"/>
      <c r="B601" s="2"/>
      <c r="C601" s="2"/>
      <c r="D601" s="2"/>
      <c r="E601" s="4"/>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row>
    <row r="602" spans="1:57" ht="12.5" x14ac:dyDescent="0.25">
      <c r="A602" s="2"/>
      <c r="B602" s="2"/>
      <c r="C602" s="2"/>
      <c r="D602" s="2"/>
      <c r="E602" s="4"/>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row>
    <row r="603" spans="1:57" ht="12.5" x14ac:dyDescent="0.25">
      <c r="A603" s="2"/>
      <c r="B603" s="2"/>
      <c r="C603" s="2"/>
      <c r="D603" s="2"/>
      <c r="E603" s="4"/>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row>
    <row r="604" spans="1:57" ht="12.5" x14ac:dyDescent="0.25">
      <c r="A604" s="2"/>
      <c r="B604" s="2"/>
      <c r="C604" s="2"/>
      <c r="D604" s="2"/>
      <c r="E604" s="4"/>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row>
    <row r="605" spans="1:57" ht="12.5" x14ac:dyDescent="0.25">
      <c r="A605" s="2"/>
      <c r="B605" s="2"/>
      <c r="C605" s="2"/>
      <c r="D605" s="2"/>
      <c r="E605" s="4"/>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row>
    <row r="606" spans="1:57" ht="12.5" x14ac:dyDescent="0.25">
      <c r="A606" s="2"/>
      <c r="B606" s="2"/>
      <c r="C606" s="2"/>
      <c r="D606" s="2"/>
      <c r="E606" s="4"/>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row>
    <row r="607" spans="1:57" ht="12.5" x14ac:dyDescent="0.25">
      <c r="A607" s="2"/>
      <c r="B607" s="2"/>
      <c r="C607" s="2"/>
      <c r="D607" s="2"/>
      <c r="E607" s="4"/>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row>
    <row r="608" spans="1:57" ht="12.5" x14ac:dyDescent="0.25">
      <c r="A608" s="2"/>
      <c r="B608" s="2"/>
      <c r="C608" s="2"/>
      <c r="D608" s="2"/>
      <c r="E608" s="4"/>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row>
    <row r="609" spans="1:57" ht="12.5" x14ac:dyDescent="0.25">
      <c r="A609" s="2"/>
      <c r="B609" s="2"/>
      <c r="C609" s="2"/>
      <c r="D609" s="2"/>
      <c r="E609" s="4"/>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row>
    <row r="610" spans="1:57" ht="12.5" x14ac:dyDescent="0.25">
      <c r="A610" s="2"/>
      <c r="B610" s="2"/>
      <c r="C610" s="2"/>
      <c r="D610" s="2"/>
      <c r="E610" s="4"/>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row>
    <row r="611" spans="1:57" ht="12.5" x14ac:dyDescent="0.25">
      <c r="A611" s="2"/>
      <c r="B611" s="2"/>
      <c r="C611" s="2"/>
      <c r="D611" s="2"/>
      <c r="E611" s="4"/>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row>
    <row r="612" spans="1:57" ht="12.5" x14ac:dyDescent="0.25">
      <c r="A612" s="2"/>
      <c r="B612" s="2"/>
      <c r="C612" s="2"/>
      <c r="D612" s="2"/>
      <c r="E612" s="4"/>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row>
    <row r="613" spans="1:57" ht="12.5" x14ac:dyDescent="0.25">
      <c r="A613" s="2"/>
      <c r="B613" s="2"/>
      <c r="C613" s="2"/>
      <c r="D613" s="2"/>
      <c r="E613" s="4"/>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row>
    <row r="614" spans="1:57" ht="12.5" x14ac:dyDescent="0.25">
      <c r="A614" s="2"/>
      <c r="B614" s="2"/>
      <c r="C614" s="2"/>
      <c r="D614" s="2"/>
      <c r="E614" s="4"/>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row>
    <row r="615" spans="1:57" ht="12.5" x14ac:dyDescent="0.25">
      <c r="A615" s="2"/>
      <c r="B615" s="2"/>
      <c r="C615" s="2"/>
      <c r="D615" s="2"/>
      <c r="E615" s="4"/>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row>
    <row r="616" spans="1:57" ht="12.5" x14ac:dyDescent="0.25">
      <c r="A616" s="2"/>
      <c r="B616" s="2"/>
      <c r="C616" s="2"/>
      <c r="D616" s="2"/>
      <c r="E616" s="4"/>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row>
    <row r="617" spans="1:57" ht="12.5" x14ac:dyDescent="0.25">
      <c r="A617" s="2"/>
      <c r="B617" s="2"/>
      <c r="C617" s="2"/>
      <c r="D617" s="2"/>
      <c r="E617" s="4"/>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row>
    <row r="618" spans="1:57" ht="12.5" x14ac:dyDescent="0.25">
      <c r="A618" s="2"/>
      <c r="B618" s="2"/>
      <c r="C618" s="2"/>
      <c r="D618" s="2"/>
      <c r="E618" s="4"/>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row>
    <row r="619" spans="1:57" ht="12.5" x14ac:dyDescent="0.25">
      <c r="A619" s="2"/>
      <c r="B619" s="2"/>
      <c r="C619" s="2"/>
      <c r="D619" s="2"/>
      <c r="E619" s="4"/>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row>
    <row r="620" spans="1:57" ht="12.5" x14ac:dyDescent="0.25">
      <c r="A620" s="2"/>
      <c r="B620" s="2"/>
      <c r="C620" s="2"/>
      <c r="D620" s="2"/>
      <c r="E620" s="4"/>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row>
    <row r="621" spans="1:57" ht="12.5" x14ac:dyDescent="0.25">
      <c r="A621" s="2"/>
      <c r="B621" s="2"/>
      <c r="C621" s="2"/>
      <c r="D621" s="2"/>
      <c r="E621" s="4"/>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row>
    <row r="622" spans="1:57" ht="12.5" x14ac:dyDescent="0.25">
      <c r="A622" s="2"/>
      <c r="B622" s="2"/>
      <c r="C622" s="2"/>
      <c r="D622" s="2"/>
      <c r="E622" s="4"/>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row>
    <row r="623" spans="1:57" ht="12.5" x14ac:dyDescent="0.25">
      <c r="A623" s="2"/>
      <c r="B623" s="2"/>
      <c r="C623" s="2"/>
      <c r="D623" s="2"/>
      <c r="E623" s="4"/>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row>
    <row r="624" spans="1:57" ht="12.5" x14ac:dyDescent="0.25">
      <c r="A624" s="2"/>
      <c r="B624" s="2"/>
      <c r="C624" s="2"/>
      <c r="D624" s="2"/>
      <c r="E624" s="4"/>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row>
    <row r="625" spans="1:57" ht="12.5" x14ac:dyDescent="0.25">
      <c r="A625" s="2"/>
      <c r="B625" s="2"/>
      <c r="C625" s="2"/>
      <c r="D625" s="2"/>
      <c r="E625" s="4"/>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row>
    <row r="626" spans="1:57" ht="12.5" x14ac:dyDescent="0.25">
      <c r="A626" s="2"/>
      <c r="B626" s="2"/>
      <c r="C626" s="2"/>
      <c r="D626" s="2"/>
      <c r="E626" s="4"/>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row>
    <row r="627" spans="1:57" ht="12.5" x14ac:dyDescent="0.25">
      <c r="A627" s="2"/>
      <c r="B627" s="2"/>
      <c r="C627" s="2"/>
      <c r="D627" s="2"/>
      <c r="E627" s="4"/>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row>
    <row r="628" spans="1:57" ht="12.5" x14ac:dyDescent="0.25">
      <c r="A628" s="2"/>
      <c r="B628" s="2"/>
      <c r="C628" s="2"/>
      <c r="D628" s="2"/>
      <c r="E628" s="4"/>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row>
    <row r="629" spans="1:57" ht="12.5" x14ac:dyDescent="0.25">
      <c r="A629" s="2"/>
      <c r="B629" s="2"/>
      <c r="C629" s="2"/>
      <c r="D629" s="2"/>
      <c r="E629" s="4"/>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row>
    <row r="630" spans="1:57" ht="12.5" x14ac:dyDescent="0.25">
      <c r="A630" s="2"/>
      <c r="B630" s="2"/>
      <c r="C630" s="2"/>
      <c r="D630" s="2"/>
      <c r="E630" s="4"/>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row>
    <row r="631" spans="1:57" ht="12.5" x14ac:dyDescent="0.25">
      <c r="A631" s="2"/>
      <c r="B631" s="2"/>
      <c r="C631" s="2"/>
      <c r="D631" s="2"/>
      <c r="E631" s="4"/>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row>
    <row r="632" spans="1:57" ht="12.5" x14ac:dyDescent="0.25">
      <c r="A632" s="2"/>
      <c r="B632" s="2"/>
      <c r="C632" s="2"/>
      <c r="D632" s="2"/>
      <c r="E632" s="4"/>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row>
    <row r="633" spans="1:57" ht="12.5" x14ac:dyDescent="0.25">
      <c r="A633" s="2"/>
      <c r="B633" s="2"/>
      <c r="C633" s="2"/>
      <c r="D633" s="2"/>
      <c r="E633" s="4"/>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row>
    <row r="634" spans="1:57" ht="12.5" x14ac:dyDescent="0.25">
      <c r="A634" s="2"/>
      <c r="B634" s="2"/>
      <c r="C634" s="2"/>
      <c r="D634" s="2"/>
      <c r="E634" s="4"/>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row>
    <row r="635" spans="1:57" ht="12.5" x14ac:dyDescent="0.25">
      <c r="A635" s="2"/>
      <c r="B635" s="2"/>
      <c r="C635" s="2"/>
      <c r="D635" s="2"/>
      <c r="E635" s="4"/>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row>
    <row r="636" spans="1:57" ht="12.5" x14ac:dyDescent="0.25">
      <c r="A636" s="2"/>
      <c r="B636" s="2"/>
      <c r="C636" s="2"/>
      <c r="D636" s="2"/>
      <c r="E636" s="4"/>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row>
    <row r="637" spans="1:57" ht="12.5" x14ac:dyDescent="0.25">
      <c r="A637" s="2"/>
      <c r="B637" s="2"/>
      <c r="C637" s="2"/>
      <c r="D637" s="2"/>
      <c r="E637" s="4"/>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row>
    <row r="638" spans="1:57" ht="12.5" x14ac:dyDescent="0.25">
      <c r="A638" s="2"/>
      <c r="B638" s="2"/>
      <c r="C638" s="2"/>
      <c r="D638" s="2"/>
      <c r="E638" s="4"/>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row>
    <row r="639" spans="1:57" ht="12.5" x14ac:dyDescent="0.25">
      <c r="A639" s="2"/>
      <c r="B639" s="2"/>
      <c r="C639" s="2"/>
      <c r="D639" s="2"/>
      <c r="E639" s="4"/>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row>
    <row r="640" spans="1:57" ht="12.5" x14ac:dyDescent="0.25">
      <c r="A640" s="2"/>
      <c r="B640" s="2"/>
      <c r="C640" s="2"/>
      <c r="D640" s="2"/>
      <c r="E640" s="4"/>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row>
    <row r="641" spans="1:57" ht="12.5" x14ac:dyDescent="0.25">
      <c r="A641" s="2"/>
      <c r="B641" s="2"/>
      <c r="C641" s="2"/>
      <c r="D641" s="2"/>
      <c r="E641" s="4"/>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row>
    <row r="642" spans="1:57" ht="12.5" x14ac:dyDescent="0.25">
      <c r="A642" s="2"/>
      <c r="B642" s="2"/>
      <c r="C642" s="2"/>
      <c r="D642" s="2"/>
      <c r="E642" s="4"/>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row>
    <row r="643" spans="1:57" ht="12.5" x14ac:dyDescent="0.25">
      <c r="A643" s="2"/>
      <c r="B643" s="2"/>
      <c r="C643" s="2"/>
      <c r="D643" s="2"/>
      <c r="E643" s="4"/>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row>
    <row r="644" spans="1:57" ht="12.5" x14ac:dyDescent="0.25">
      <c r="A644" s="2"/>
      <c r="B644" s="2"/>
      <c r="C644" s="2"/>
      <c r="D644" s="2"/>
      <c r="E644" s="4"/>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row>
    <row r="645" spans="1:57" ht="12.5" x14ac:dyDescent="0.25">
      <c r="A645" s="2"/>
      <c r="B645" s="2"/>
      <c r="C645" s="2"/>
      <c r="D645" s="2"/>
      <c r="E645" s="4"/>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row>
    <row r="646" spans="1:57" ht="12.5" x14ac:dyDescent="0.25">
      <c r="A646" s="2"/>
      <c r="B646" s="2"/>
      <c r="C646" s="2"/>
      <c r="D646" s="2"/>
      <c r="E646" s="4"/>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row>
    <row r="647" spans="1:57" ht="12.5" x14ac:dyDescent="0.25">
      <c r="A647" s="2"/>
      <c r="B647" s="2"/>
      <c r="C647" s="2"/>
      <c r="D647" s="2"/>
      <c r="E647" s="4"/>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row>
    <row r="648" spans="1:57" ht="12.5" x14ac:dyDescent="0.25">
      <c r="A648" s="2"/>
      <c r="B648" s="2"/>
      <c r="C648" s="2"/>
      <c r="D648" s="2"/>
      <c r="E648" s="4"/>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row>
    <row r="649" spans="1:57" ht="12.5" x14ac:dyDescent="0.25">
      <c r="A649" s="2"/>
      <c r="B649" s="2"/>
      <c r="C649" s="2"/>
      <c r="D649" s="2"/>
      <c r="E649" s="4"/>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row>
    <row r="650" spans="1:57" ht="12.5" x14ac:dyDescent="0.25">
      <c r="A650" s="2"/>
      <c r="B650" s="2"/>
      <c r="C650" s="2"/>
      <c r="D650" s="2"/>
      <c r="E650" s="4"/>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row>
    <row r="651" spans="1:57" ht="12.5" x14ac:dyDescent="0.25">
      <c r="A651" s="2"/>
      <c r="B651" s="2"/>
      <c r="C651" s="2"/>
      <c r="D651" s="2"/>
      <c r="E651" s="4"/>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row>
    <row r="652" spans="1:57" ht="12.5" x14ac:dyDescent="0.25">
      <c r="A652" s="2"/>
      <c r="B652" s="2"/>
      <c r="C652" s="2"/>
      <c r="D652" s="2"/>
      <c r="E652" s="4"/>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row>
    <row r="653" spans="1:57" ht="12.5" x14ac:dyDescent="0.25">
      <c r="A653" s="2"/>
      <c r="B653" s="2"/>
      <c r="C653" s="2"/>
      <c r="D653" s="2"/>
      <c r="E653" s="4"/>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row>
    <row r="654" spans="1:57" ht="12.5" x14ac:dyDescent="0.25">
      <c r="A654" s="2"/>
      <c r="B654" s="2"/>
      <c r="C654" s="2"/>
      <c r="D654" s="2"/>
      <c r="E654" s="4"/>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row>
    <row r="655" spans="1:57" ht="12.5" x14ac:dyDescent="0.25">
      <c r="A655" s="2"/>
      <c r="B655" s="2"/>
      <c r="C655" s="2"/>
      <c r="D655" s="2"/>
      <c r="E655" s="4"/>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row>
    <row r="656" spans="1:57" ht="12.5" x14ac:dyDescent="0.25">
      <c r="A656" s="2"/>
      <c r="B656" s="2"/>
      <c r="C656" s="2"/>
      <c r="D656" s="2"/>
      <c r="E656" s="4"/>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row>
    <row r="657" spans="1:57" ht="12.5" x14ac:dyDescent="0.25">
      <c r="A657" s="2"/>
      <c r="B657" s="2"/>
      <c r="C657" s="2"/>
      <c r="D657" s="2"/>
      <c r="E657" s="4"/>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row>
    <row r="658" spans="1:57" ht="12.5" x14ac:dyDescent="0.25">
      <c r="A658" s="2"/>
      <c r="B658" s="2"/>
      <c r="C658" s="2"/>
      <c r="D658" s="2"/>
      <c r="E658" s="4"/>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row>
    <row r="659" spans="1:57" ht="12.5" x14ac:dyDescent="0.25">
      <c r="A659" s="2"/>
      <c r="B659" s="2"/>
      <c r="C659" s="2"/>
      <c r="D659" s="2"/>
      <c r="E659" s="4"/>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row>
    <row r="660" spans="1:57" ht="12.5" x14ac:dyDescent="0.25">
      <c r="A660" s="2"/>
      <c r="B660" s="2"/>
      <c r="C660" s="2"/>
      <c r="D660" s="2"/>
      <c r="E660" s="4"/>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row>
    <row r="661" spans="1:57" ht="12.5" x14ac:dyDescent="0.25">
      <c r="A661" s="2"/>
      <c r="B661" s="2"/>
      <c r="C661" s="2"/>
      <c r="D661" s="2"/>
      <c r="E661" s="4"/>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row>
    <row r="662" spans="1:57" ht="12.5" x14ac:dyDescent="0.25">
      <c r="A662" s="2"/>
      <c r="B662" s="2"/>
      <c r="C662" s="2"/>
      <c r="D662" s="2"/>
      <c r="E662" s="4"/>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row>
    <row r="663" spans="1:57" ht="12.5" x14ac:dyDescent="0.25">
      <c r="A663" s="2"/>
      <c r="B663" s="2"/>
      <c r="C663" s="2"/>
      <c r="D663" s="2"/>
      <c r="E663" s="4"/>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row>
    <row r="664" spans="1:57" ht="12.5" x14ac:dyDescent="0.25">
      <c r="A664" s="2"/>
      <c r="B664" s="2"/>
      <c r="C664" s="2"/>
      <c r="D664" s="2"/>
      <c r="E664" s="4"/>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row>
    <row r="665" spans="1:57" ht="12.5" x14ac:dyDescent="0.25">
      <c r="A665" s="2"/>
      <c r="B665" s="2"/>
      <c r="C665" s="2"/>
      <c r="D665" s="2"/>
      <c r="E665" s="4"/>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row>
    <row r="666" spans="1:57" ht="12.5" x14ac:dyDescent="0.25">
      <c r="A666" s="2"/>
      <c r="B666" s="2"/>
      <c r="C666" s="2"/>
      <c r="D666" s="2"/>
      <c r="E666" s="4"/>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row>
    <row r="667" spans="1:57" ht="12.5" x14ac:dyDescent="0.25">
      <c r="A667" s="2"/>
      <c r="B667" s="2"/>
      <c r="C667" s="2"/>
      <c r="D667" s="2"/>
      <c r="E667" s="4"/>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row>
    <row r="668" spans="1:57" ht="12.5" x14ac:dyDescent="0.25">
      <c r="A668" s="2"/>
      <c r="B668" s="2"/>
      <c r="C668" s="2"/>
      <c r="D668" s="2"/>
      <c r="E668" s="4"/>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row>
    <row r="669" spans="1:57" ht="12.5" x14ac:dyDescent="0.25">
      <c r="A669" s="2"/>
      <c r="B669" s="2"/>
      <c r="C669" s="2"/>
      <c r="D669" s="2"/>
      <c r="E669" s="4"/>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row>
    <row r="670" spans="1:57" ht="12.5" x14ac:dyDescent="0.25">
      <c r="A670" s="2"/>
      <c r="B670" s="2"/>
      <c r="C670" s="2"/>
      <c r="D670" s="2"/>
      <c r="E670" s="4"/>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row>
    <row r="671" spans="1:57" ht="12.5" x14ac:dyDescent="0.25">
      <c r="A671" s="2"/>
      <c r="B671" s="2"/>
      <c r="C671" s="2"/>
      <c r="D671" s="2"/>
      <c r="E671" s="4"/>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row>
    <row r="672" spans="1:57" ht="12.5" x14ac:dyDescent="0.25">
      <c r="A672" s="2"/>
      <c r="B672" s="2"/>
      <c r="C672" s="2"/>
      <c r="D672" s="2"/>
      <c r="E672" s="4"/>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row>
    <row r="673" spans="1:57" ht="12.5" x14ac:dyDescent="0.25">
      <c r="A673" s="2"/>
      <c r="B673" s="2"/>
      <c r="C673" s="2"/>
      <c r="D673" s="2"/>
      <c r="E673" s="4"/>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row>
    <row r="674" spans="1:57" ht="12.5" x14ac:dyDescent="0.25">
      <c r="A674" s="2"/>
      <c r="B674" s="2"/>
      <c r="C674" s="2"/>
      <c r="D674" s="2"/>
      <c r="E674" s="4"/>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row>
    <row r="675" spans="1:57" ht="12.5" x14ac:dyDescent="0.25">
      <c r="A675" s="2"/>
      <c r="B675" s="2"/>
      <c r="C675" s="2"/>
      <c r="D675" s="2"/>
      <c r="E675" s="4"/>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row>
    <row r="676" spans="1:57" ht="12.5" x14ac:dyDescent="0.25">
      <c r="A676" s="2"/>
      <c r="B676" s="2"/>
      <c r="C676" s="2"/>
      <c r="D676" s="2"/>
      <c r="E676" s="4"/>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row>
    <row r="677" spans="1:57" ht="12.5" x14ac:dyDescent="0.25">
      <c r="A677" s="2"/>
      <c r="B677" s="2"/>
      <c r="C677" s="2"/>
      <c r="D677" s="2"/>
      <c r="E677" s="4"/>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row>
    <row r="678" spans="1:57" ht="12.5" x14ac:dyDescent="0.25">
      <c r="A678" s="2"/>
      <c r="B678" s="2"/>
      <c r="C678" s="2"/>
      <c r="D678" s="2"/>
      <c r="E678" s="4"/>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row>
    <row r="679" spans="1:57" ht="12.5" x14ac:dyDescent="0.25">
      <c r="A679" s="2"/>
      <c r="B679" s="2"/>
      <c r="C679" s="2"/>
      <c r="D679" s="2"/>
      <c r="E679" s="4"/>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row>
    <row r="680" spans="1:57" ht="12.5" x14ac:dyDescent="0.25">
      <c r="A680" s="2"/>
      <c r="B680" s="2"/>
      <c r="C680" s="2"/>
      <c r="D680" s="2"/>
      <c r="E680" s="4"/>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row>
    <row r="681" spans="1:57" ht="12.5" x14ac:dyDescent="0.25">
      <c r="A681" s="2"/>
      <c r="B681" s="2"/>
      <c r="C681" s="2"/>
      <c r="D681" s="2"/>
      <c r="E681" s="4"/>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row>
    <row r="682" spans="1:57" ht="12.5" x14ac:dyDescent="0.25">
      <c r="A682" s="2"/>
      <c r="B682" s="2"/>
      <c r="C682" s="2"/>
      <c r="D682" s="2"/>
      <c r="E682" s="4"/>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row>
    <row r="683" spans="1:57" ht="12.5" x14ac:dyDescent="0.25">
      <c r="A683" s="2"/>
      <c r="B683" s="2"/>
      <c r="C683" s="2"/>
      <c r="D683" s="2"/>
      <c r="E683" s="4"/>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row>
    <row r="684" spans="1:57" ht="12.5" x14ac:dyDescent="0.25">
      <c r="A684" s="2"/>
      <c r="B684" s="2"/>
      <c r="C684" s="2"/>
      <c r="D684" s="2"/>
      <c r="E684" s="4"/>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row>
    <row r="685" spans="1:57" ht="12.5" x14ac:dyDescent="0.25">
      <c r="A685" s="2"/>
      <c r="B685" s="2"/>
      <c r="C685" s="2"/>
      <c r="D685" s="2"/>
      <c r="E685" s="4"/>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row>
    <row r="686" spans="1:57" ht="12.5" x14ac:dyDescent="0.25">
      <c r="A686" s="2"/>
      <c r="B686" s="2"/>
      <c r="C686" s="2"/>
      <c r="D686" s="2"/>
      <c r="E686" s="4"/>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row>
    <row r="687" spans="1:57" ht="12.5" x14ac:dyDescent="0.25">
      <c r="A687" s="2"/>
      <c r="B687" s="2"/>
      <c r="C687" s="2"/>
      <c r="D687" s="2"/>
      <c r="E687" s="4"/>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row>
    <row r="688" spans="1:57" ht="12.5" x14ac:dyDescent="0.25">
      <c r="A688" s="2"/>
      <c r="B688" s="2"/>
      <c r="C688" s="2"/>
      <c r="D688" s="2"/>
      <c r="E688" s="4"/>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row>
    <row r="689" spans="1:57" ht="12.5" x14ac:dyDescent="0.25">
      <c r="A689" s="2"/>
      <c r="B689" s="2"/>
      <c r="C689" s="2"/>
      <c r="D689" s="2"/>
      <c r="E689" s="4"/>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row>
    <row r="690" spans="1:57" ht="12.5" x14ac:dyDescent="0.25">
      <c r="A690" s="2"/>
      <c r="B690" s="2"/>
      <c r="C690" s="2"/>
      <c r="D690" s="2"/>
      <c r="E690" s="4"/>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row>
    <row r="691" spans="1:57" ht="12.5" x14ac:dyDescent="0.25">
      <c r="A691" s="2"/>
      <c r="B691" s="2"/>
      <c r="C691" s="2"/>
      <c r="D691" s="2"/>
      <c r="E691" s="4"/>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row>
    <row r="692" spans="1:57" ht="12.5" x14ac:dyDescent="0.25">
      <c r="A692" s="2"/>
      <c r="B692" s="2"/>
      <c r="C692" s="2"/>
      <c r="D692" s="2"/>
      <c r="E692" s="4"/>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row>
    <row r="693" spans="1:57" ht="12.5" x14ac:dyDescent="0.25">
      <c r="A693" s="2"/>
      <c r="B693" s="2"/>
      <c r="C693" s="2"/>
      <c r="D693" s="2"/>
      <c r="E693" s="4"/>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row>
    <row r="694" spans="1:57" ht="12.5" x14ac:dyDescent="0.25">
      <c r="A694" s="2"/>
      <c r="B694" s="2"/>
      <c r="C694" s="2"/>
      <c r="D694" s="2"/>
      <c r="E694" s="4"/>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row>
    <row r="695" spans="1:57" ht="12.5" x14ac:dyDescent="0.25">
      <c r="A695" s="2"/>
      <c r="B695" s="2"/>
      <c r="C695" s="2"/>
      <c r="D695" s="2"/>
      <c r="E695" s="4"/>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row>
    <row r="696" spans="1:57" ht="12.5" x14ac:dyDescent="0.25">
      <c r="A696" s="2"/>
      <c r="B696" s="2"/>
      <c r="C696" s="2"/>
      <c r="D696" s="2"/>
      <c r="E696" s="4"/>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row>
    <row r="697" spans="1:57" ht="12.5" x14ac:dyDescent="0.25">
      <c r="A697" s="2"/>
      <c r="B697" s="2"/>
      <c r="C697" s="2"/>
      <c r="D697" s="2"/>
      <c r="E697" s="4"/>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row>
    <row r="698" spans="1:57" ht="12.5" x14ac:dyDescent="0.25">
      <c r="A698" s="2"/>
      <c r="B698" s="2"/>
      <c r="C698" s="2"/>
      <c r="D698" s="2"/>
      <c r="E698" s="4"/>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row>
    <row r="699" spans="1:57" ht="12.5" x14ac:dyDescent="0.25">
      <c r="A699" s="2"/>
      <c r="B699" s="2"/>
      <c r="C699" s="2"/>
      <c r="D699" s="2"/>
      <c r="E699" s="4"/>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row>
    <row r="700" spans="1:57" ht="12.5" x14ac:dyDescent="0.25">
      <c r="A700" s="2"/>
      <c r="B700" s="2"/>
      <c r="C700" s="2"/>
      <c r="D700" s="2"/>
      <c r="E700" s="4"/>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row>
    <row r="701" spans="1:57" ht="12.5" x14ac:dyDescent="0.25">
      <c r="A701" s="2"/>
      <c r="B701" s="2"/>
      <c r="C701" s="2"/>
      <c r="D701" s="2"/>
      <c r="E701" s="4"/>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row>
    <row r="702" spans="1:57" ht="12.5" x14ac:dyDescent="0.25">
      <c r="A702" s="2"/>
      <c r="B702" s="2"/>
      <c r="C702" s="2"/>
      <c r="D702" s="2"/>
      <c r="E702" s="4"/>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row>
    <row r="703" spans="1:57" ht="12.5" x14ac:dyDescent="0.25">
      <c r="A703" s="2"/>
      <c r="B703" s="2"/>
      <c r="C703" s="2"/>
      <c r="D703" s="2"/>
      <c r="E703" s="4"/>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row>
    <row r="704" spans="1:57" ht="12.5" x14ac:dyDescent="0.25">
      <c r="A704" s="2"/>
      <c r="B704" s="2"/>
      <c r="C704" s="2"/>
      <c r="D704" s="2"/>
      <c r="E704" s="4"/>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row>
    <row r="705" spans="1:57" ht="12.5" x14ac:dyDescent="0.25">
      <c r="A705" s="2"/>
      <c r="B705" s="2"/>
      <c r="C705" s="2"/>
      <c r="D705" s="2"/>
      <c r="E705" s="4"/>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row>
    <row r="706" spans="1:57" ht="12.5" x14ac:dyDescent="0.25">
      <c r="A706" s="2"/>
      <c r="B706" s="2"/>
      <c r="C706" s="2"/>
      <c r="D706" s="2"/>
      <c r="E706" s="4"/>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row>
    <row r="707" spans="1:57" ht="12.5" x14ac:dyDescent="0.25">
      <c r="A707" s="2"/>
      <c r="B707" s="2"/>
      <c r="C707" s="2"/>
      <c r="D707" s="2"/>
      <c r="E707" s="4"/>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row>
    <row r="708" spans="1:57" ht="12.5" x14ac:dyDescent="0.25">
      <c r="A708" s="2"/>
      <c r="B708" s="2"/>
      <c r="C708" s="2"/>
      <c r="D708" s="2"/>
      <c r="E708" s="4"/>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row>
    <row r="709" spans="1:57" ht="12.5" x14ac:dyDescent="0.25">
      <c r="A709" s="2"/>
      <c r="B709" s="2"/>
      <c r="C709" s="2"/>
      <c r="D709" s="2"/>
      <c r="E709" s="4"/>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row>
    <row r="710" spans="1:57" ht="12.5" x14ac:dyDescent="0.25">
      <c r="A710" s="2"/>
      <c r="B710" s="2"/>
      <c r="C710" s="2"/>
      <c r="D710" s="2"/>
      <c r="E710" s="4"/>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row>
    <row r="711" spans="1:57" ht="12.5" x14ac:dyDescent="0.25">
      <c r="A711" s="2"/>
      <c r="B711" s="2"/>
      <c r="C711" s="2"/>
      <c r="D711" s="2"/>
      <c r="E711" s="4"/>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row>
    <row r="712" spans="1:57" ht="12.5" x14ac:dyDescent="0.25">
      <c r="A712" s="2"/>
      <c r="B712" s="2"/>
      <c r="C712" s="2"/>
      <c r="D712" s="2"/>
      <c r="E712" s="4"/>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row>
    <row r="713" spans="1:57" ht="12.5" x14ac:dyDescent="0.25">
      <c r="A713" s="2"/>
      <c r="B713" s="2"/>
      <c r="C713" s="2"/>
      <c r="D713" s="2"/>
      <c r="E713" s="4"/>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row>
    <row r="714" spans="1:57" ht="12.5" x14ac:dyDescent="0.25">
      <c r="A714" s="2"/>
      <c r="B714" s="2"/>
      <c r="C714" s="2"/>
      <c r="D714" s="2"/>
      <c r="E714" s="4"/>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row>
    <row r="715" spans="1:57" ht="12.5" x14ac:dyDescent="0.25">
      <c r="A715" s="2"/>
      <c r="B715" s="2"/>
      <c r="C715" s="2"/>
      <c r="D715" s="2"/>
      <c r="E715" s="4"/>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row>
    <row r="716" spans="1:57" ht="12.5" x14ac:dyDescent="0.25">
      <c r="A716" s="2"/>
      <c r="B716" s="2"/>
      <c r="C716" s="2"/>
      <c r="D716" s="2"/>
      <c r="E716" s="4"/>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row>
    <row r="717" spans="1:57" ht="12.5" x14ac:dyDescent="0.25">
      <c r="A717" s="2"/>
      <c r="B717" s="2"/>
      <c r="C717" s="2"/>
      <c r="D717" s="2"/>
      <c r="E717" s="4"/>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row>
    <row r="718" spans="1:57" ht="12.5" x14ac:dyDescent="0.25">
      <c r="A718" s="2"/>
      <c r="B718" s="2"/>
      <c r="C718" s="2"/>
      <c r="D718" s="2"/>
      <c r="E718" s="4"/>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row>
    <row r="719" spans="1:57" ht="12.5" x14ac:dyDescent="0.25">
      <c r="A719" s="2"/>
      <c r="B719" s="2"/>
      <c r="C719" s="2"/>
      <c r="D719" s="2"/>
      <c r="E719" s="4"/>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row>
    <row r="720" spans="1:57" ht="12.5" x14ac:dyDescent="0.25">
      <c r="A720" s="2"/>
      <c r="B720" s="2"/>
      <c r="C720" s="2"/>
      <c r="D720" s="2"/>
      <c r="E720" s="4"/>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row>
    <row r="721" spans="1:57" ht="12.5" x14ac:dyDescent="0.25">
      <c r="A721" s="2"/>
      <c r="B721" s="2"/>
      <c r="C721" s="2"/>
      <c r="D721" s="2"/>
      <c r="E721" s="4"/>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row>
    <row r="722" spans="1:57" ht="12.5" x14ac:dyDescent="0.25">
      <c r="A722" s="2"/>
      <c r="B722" s="2"/>
      <c r="C722" s="2"/>
      <c r="D722" s="2"/>
      <c r="E722" s="4"/>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row>
    <row r="723" spans="1:57" ht="12.5" x14ac:dyDescent="0.25">
      <c r="A723" s="2"/>
      <c r="B723" s="2"/>
      <c r="C723" s="2"/>
      <c r="D723" s="2"/>
      <c r="E723" s="4"/>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row>
    <row r="724" spans="1:57" ht="12.5" x14ac:dyDescent="0.25">
      <c r="A724" s="2"/>
      <c r="B724" s="2"/>
      <c r="C724" s="2"/>
      <c r="D724" s="2"/>
      <c r="E724" s="4"/>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row>
    <row r="725" spans="1:57" ht="12.5" x14ac:dyDescent="0.25">
      <c r="A725" s="2"/>
      <c r="B725" s="2"/>
      <c r="C725" s="2"/>
      <c r="D725" s="2"/>
      <c r="E725" s="4"/>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row>
    <row r="726" spans="1:57" ht="12.5" x14ac:dyDescent="0.25">
      <c r="A726" s="2"/>
      <c r="B726" s="2"/>
      <c r="C726" s="2"/>
      <c r="D726" s="2"/>
      <c r="E726" s="4"/>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row>
    <row r="727" spans="1:57" ht="12.5" x14ac:dyDescent="0.25">
      <c r="A727" s="2"/>
      <c r="B727" s="2"/>
      <c r="C727" s="2"/>
      <c r="D727" s="2"/>
      <c r="E727" s="4"/>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row>
    <row r="728" spans="1:57" ht="12.5" x14ac:dyDescent="0.25">
      <c r="A728" s="2"/>
      <c r="B728" s="2"/>
      <c r="C728" s="2"/>
      <c r="D728" s="2"/>
      <c r="E728" s="4"/>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row>
    <row r="729" spans="1:57" ht="12.5" x14ac:dyDescent="0.25">
      <c r="A729" s="2"/>
      <c r="B729" s="2"/>
      <c r="C729" s="2"/>
      <c r="D729" s="2"/>
      <c r="E729" s="4"/>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row>
    <row r="730" spans="1:57" ht="12.5" x14ac:dyDescent="0.25">
      <c r="A730" s="2"/>
      <c r="B730" s="2"/>
      <c r="C730" s="2"/>
      <c r="D730" s="2"/>
      <c r="E730" s="4"/>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row>
    <row r="731" spans="1:57" ht="12.5" x14ac:dyDescent="0.25">
      <c r="A731" s="2"/>
      <c r="B731" s="2"/>
      <c r="C731" s="2"/>
      <c r="D731" s="2"/>
      <c r="E731" s="4"/>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row>
    <row r="732" spans="1:57" ht="12.5" x14ac:dyDescent="0.25">
      <c r="A732" s="2"/>
      <c r="B732" s="2"/>
      <c r="C732" s="2"/>
      <c r="D732" s="2"/>
      <c r="E732" s="4"/>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row>
    <row r="733" spans="1:57" ht="12.5" x14ac:dyDescent="0.25">
      <c r="A733" s="2"/>
      <c r="B733" s="2"/>
      <c r="C733" s="2"/>
      <c r="D733" s="2"/>
      <c r="E733" s="4"/>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row>
    <row r="734" spans="1:57" ht="12.5" x14ac:dyDescent="0.25">
      <c r="A734" s="2"/>
      <c r="B734" s="2"/>
      <c r="C734" s="2"/>
      <c r="D734" s="2"/>
      <c r="E734" s="4"/>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row>
    <row r="735" spans="1:57" ht="12.5" x14ac:dyDescent="0.25">
      <c r="A735" s="2"/>
      <c r="B735" s="2"/>
      <c r="C735" s="2"/>
      <c r="D735" s="2"/>
      <c r="E735" s="4"/>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row>
    <row r="736" spans="1:57" ht="12.5" x14ac:dyDescent="0.25">
      <c r="A736" s="2"/>
      <c r="B736" s="2"/>
      <c r="C736" s="2"/>
      <c r="D736" s="2"/>
      <c r="E736" s="4"/>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row>
    <row r="737" spans="1:57" ht="12.5" x14ac:dyDescent="0.25">
      <c r="A737" s="2"/>
      <c r="B737" s="2"/>
      <c r="C737" s="2"/>
      <c r="D737" s="2"/>
      <c r="E737" s="4"/>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row>
    <row r="738" spans="1:57" ht="12.5" x14ac:dyDescent="0.25">
      <c r="A738" s="2"/>
      <c r="B738" s="2"/>
      <c r="C738" s="2"/>
      <c r="D738" s="2"/>
      <c r="E738" s="4"/>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row>
    <row r="739" spans="1:57" ht="12.5" x14ac:dyDescent="0.25">
      <c r="A739" s="2"/>
      <c r="B739" s="2"/>
      <c r="C739" s="2"/>
      <c r="D739" s="2"/>
      <c r="E739" s="4"/>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row>
    <row r="740" spans="1:57" ht="12.5" x14ac:dyDescent="0.25">
      <c r="A740" s="2"/>
      <c r="B740" s="2"/>
      <c r="C740" s="2"/>
      <c r="D740" s="2"/>
      <c r="E740" s="4"/>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row>
    <row r="741" spans="1:57" ht="12.5" x14ac:dyDescent="0.25">
      <c r="A741" s="2"/>
      <c r="B741" s="2"/>
      <c r="C741" s="2"/>
      <c r="D741" s="2"/>
      <c r="E741" s="4"/>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row>
    <row r="742" spans="1:57" ht="12.5" x14ac:dyDescent="0.25">
      <c r="A742" s="2"/>
      <c r="B742" s="2"/>
      <c r="C742" s="2"/>
      <c r="D742" s="2"/>
      <c r="E742" s="4"/>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row>
    <row r="743" spans="1:57" ht="12.5" x14ac:dyDescent="0.25">
      <c r="A743" s="2"/>
      <c r="B743" s="2"/>
      <c r="C743" s="2"/>
      <c r="D743" s="2"/>
      <c r="E743" s="4"/>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row>
    <row r="744" spans="1:57" ht="12.5" x14ac:dyDescent="0.25">
      <c r="A744" s="2"/>
      <c r="B744" s="2"/>
      <c r="C744" s="2"/>
      <c r="D744" s="2"/>
      <c r="E744" s="4"/>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row>
    <row r="745" spans="1:57" ht="12.5" x14ac:dyDescent="0.25">
      <c r="A745" s="2"/>
      <c r="B745" s="2"/>
      <c r="C745" s="2"/>
      <c r="D745" s="2"/>
      <c r="E745" s="4"/>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row>
    <row r="746" spans="1:57" ht="12.5" x14ac:dyDescent="0.25">
      <c r="A746" s="2"/>
      <c r="B746" s="2"/>
      <c r="C746" s="2"/>
      <c r="D746" s="2"/>
      <c r="E746" s="4"/>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row>
    <row r="747" spans="1:57" ht="12.5" x14ac:dyDescent="0.25">
      <c r="A747" s="2"/>
      <c r="B747" s="2"/>
      <c r="C747" s="2"/>
      <c r="D747" s="2"/>
      <c r="E747" s="4"/>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row>
    <row r="748" spans="1:57" ht="12.5" x14ac:dyDescent="0.25">
      <c r="A748" s="2"/>
      <c r="B748" s="2"/>
      <c r="C748" s="2"/>
      <c r="D748" s="2"/>
      <c r="E748" s="4"/>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row>
    <row r="749" spans="1:57" ht="12.5" x14ac:dyDescent="0.25">
      <c r="A749" s="2"/>
      <c r="B749" s="2"/>
      <c r="C749" s="2"/>
      <c r="D749" s="2"/>
      <c r="E749" s="4"/>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row>
    <row r="750" spans="1:57" ht="12.5" x14ac:dyDescent="0.25">
      <c r="A750" s="2"/>
      <c r="B750" s="2"/>
      <c r="C750" s="2"/>
      <c r="D750" s="2"/>
      <c r="E750" s="4"/>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row>
    <row r="751" spans="1:57" ht="12.5" x14ac:dyDescent="0.25">
      <c r="A751" s="2"/>
      <c r="B751" s="2"/>
      <c r="C751" s="2"/>
      <c r="D751" s="2"/>
      <c r="E751" s="4"/>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row>
    <row r="752" spans="1:57" ht="12.5" x14ac:dyDescent="0.25">
      <c r="A752" s="2"/>
      <c r="B752" s="2"/>
      <c r="C752" s="2"/>
      <c r="D752" s="2"/>
      <c r="E752" s="4"/>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row>
    <row r="753" spans="1:57" ht="12.5" x14ac:dyDescent="0.25">
      <c r="A753" s="2"/>
      <c r="B753" s="2"/>
      <c r="C753" s="2"/>
      <c r="D753" s="2"/>
      <c r="E753" s="4"/>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row>
    <row r="754" spans="1:57" ht="12.5" x14ac:dyDescent="0.25">
      <c r="A754" s="2"/>
      <c r="B754" s="2"/>
      <c r="C754" s="2"/>
      <c r="D754" s="2"/>
      <c r="E754" s="4"/>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row>
    <row r="755" spans="1:57" ht="12.5" x14ac:dyDescent="0.25">
      <c r="A755" s="2"/>
      <c r="B755" s="2"/>
      <c r="C755" s="2"/>
      <c r="D755" s="2"/>
      <c r="E755" s="4"/>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row>
    <row r="756" spans="1:57" ht="12.5" x14ac:dyDescent="0.25">
      <c r="A756" s="2"/>
      <c r="B756" s="2"/>
      <c r="C756" s="2"/>
      <c r="D756" s="2"/>
      <c r="E756" s="4"/>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row>
    <row r="757" spans="1:57" ht="12.5" x14ac:dyDescent="0.25">
      <c r="A757" s="2"/>
      <c r="B757" s="2"/>
      <c r="C757" s="2"/>
      <c r="D757" s="2"/>
      <c r="E757" s="4"/>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row>
    <row r="758" spans="1:57" ht="12.5" x14ac:dyDescent="0.25">
      <c r="A758" s="2"/>
      <c r="B758" s="2"/>
      <c r="C758" s="2"/>
      <c r="D758" s="2"/>
      <c r="E758" s="4"/>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row>
    <row r="759" spans="1:57" ht="12.5" x14ac:dyDescent="0.25">
      <c r="A759" s="2"/>
      <c r="B759" s="2"/>
      <c r="C759" s="2"/>
      <c r="D759" s="2"/>
      <c r="E759" s="4"/>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row>
    <row r="760" spans="1:57" ht="12.5" x14ac:dyDescent="0.25">
      <c r="A760" s="2"/>
      <c r="B760" s="2"/>
      <c r="C760" s="2"/>
      <c r="D760" s="2"/>
      <c r="E760" s="4"/>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row>
    <row r="761" spans="1:57" ht="12.5" x14ac:dyDescent="0.25">
      <c r="A761" s="2"/>
      <c r="B761" s="2"/>
      <c r="C761" s="2"/>
      <c r="D761" s="2"/>
      <c r="E761" s="4"/>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row>
    <row r="762" spans="1:57" ht="12.5" x14ac:dyDescent="0.25">
      <c r="A762" s="2"/>
      <c r="B762" s="2"/>
      <c r="C762" s="2"/>
      <c r="D762" s="2"/>
      <c r="E762" s="4"/>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row>
    <row r="763" spans="1:57" ht="12.5" x14ac:dyDescent="0.25">
      <c r="A763" s="2"/>
      <c r="B763" s="2"/>
      <c r="C763" s="2"/>
      <c r="D763" s="2"/>
      <c r="E763" s="4"/>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row>
    <row r="764" spans="1:57" ht="12.5" x14ac:dyDescent="0.25">
      <c r="A764" s="2"/>
      <c r="B764" s="2"/>
      <c r="C764" s="2"/>
      <c r="D764" s="2"/>
      <c r="E764" s="4"/>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row>
    <row r="765" spans="1:57" ht="12.5" x14ac:dyDescent="0.25">
      <c r="A765" s="2"/>
      <c r="B765" s="2"/>
      <c r="C765" s="2"/>
      <c r="D765" s="2"/>
      <c r="E765" s="4"/>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row>
    <row r="766" spans="1:57" ht="12.5" x14ac:dyDescent="0.25">
      <c r="A766" s="2"/>
      <c r="B766" s="2"/>
      <c r="C766" s="2"/>
      <c r="D766" s="2"/>
      <c r="E766" s="4"/>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row>
    <row r="767" spans="1:57" ht="12.5" x14ac:dyDescent="0.25">
      <c r="A767" s="2"/>
      <c r="B767" s="2"/>
      <c r="C767" s="2"/>
      <c r="D767" s="2"/>
      <c r="E767" s="4"/>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row>
    <row r="768" spans="1:57" ht="12.5" x14ac:dyDescent="0.25">
      <c r="A768" s="2"/>
      <c r="B768" s="2"/>
      <c r="C768" s="2"/>
      <c r="D768" s="2"/>
      <c r="E768" s="4"/>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row>
    <row r="769" spans="1:57" ht="12.5" x14ac:dyDescent="0.25">
      <c r="A769" s="2"/>
      <c r="B769" s="2"/>
      <c r="C769" s="2"/>
      <c r="D769" s="2"/>
      <c r="E769" s="4"/>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row>
    <row r="770" spans="1:57" ht="12.5" x14ac:dyDescent="0.25">
      <c r="A770" s="2"/>
      <c r="B770" s="2"/>
      <c r="C770" s="2"/>
      <c r="D770" s="2"/>
      <c r="E770" s="4"/>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row>
    <row r="771" spans="1:57" ht="12.5" x14ac:dyDescent="0.25">
      <c r="A771" s="2"/>
      <c r="B771" s="2"/>
      <c r="C771" s="2"/>
      <c r="D771" s="2"/>
      <c r="E771" s="4"/>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row>
    <row r="772" spans="1:57" ht="12.5" x14ac:dyDescent="0.25">
      <c r="A772" s="2"/>
      <c r="B772" s="2"/>
      <c r="C772" s="2"/>
      <c r="D772" s="2"/>
      <c r="E772" s="4"/>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row>
    <row r="773" spans="1:57" ht="12.5" x14ac:dyDescent="0.25">
      <c r="A773" s="2"/>
      <c r="B773" s="2"/>
      <c r="C773" s="2"/>
      <c r="D773" s="2"/>
      <c r="E773" s="4"/>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row>
    <row r="774" spans="1:57" ht="12.5" x14ac:dyDescent="0.25">
      <c r="A774" s="2"/>
      <c r="B774" s="2"/>
      <c r="C774" s="2"/>
      <c r="D774" s="2"/>
      <c r="E774" s="4"/>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row>
    <row r="775" spans="1:57" ht="12.5" x14ac:dyDescent="0.25">
      <c r="A775" s="2"/>
      <c r="B775" s="2"/>
      <c r="C775" s="2"/>
      <c r="D775" s="2"/>
      <c r="E775" s="4"/>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row>
    <row r="776" spans="1:57" ht="12.5" x14ac:dyDescent="0.25">
      <c r="A776" s="2"/>
      <c r="B776" s="2"/>
      <c r="C776" s="2"/>
      <c r="D776" s="2"/>
      <c r="E776" s="4"/>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row>
    <row r="777" spans="1:57" ht="12.5" x14ac:dyDescent="0.25">
      <c r="A777" s="2"/>
      <c r="B777" s="2"/>
      <c r="C777" s="2"/>
      <c r="D777" s="2"/>
      <c r="E777" s="4"/>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row>
    <row r="778" spans="1:57" ht="12.5" x14ac:dyDescent="0.25">
      <c r="A778" s="2"/>
      <c r="B778" s="2"/>
      <c r="C778" s="2"/>
      <c r="D778" s="2"/>
      <c r="E778" s="4"/>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row>
    <row r="779" spans="1:57" ht="12.5" x14ac:dyDescent="0.25">
      <c r="A779" s="2"/>
      <c r="B779" s="2"/>
      <c r="C779" s="2"/>
      <c r="D779" s="2"/>
      <c r="E779" s="4"/>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row>
    <row r="780" spans="1:57" ht="12.5" x14ac:dyDescent="0.25">
      <c r="A780" s="2"/>
      <c r="B780" s="2"/>
      <c r="C780" s="2"/>
      <c r="D780" s="2"/>
      <c r="E780" s="4"/>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row>
    <row r="781" spans="1:57" ht="12.5" x14ac:dyDescent="0.25">
      <c r="A781" s="2"/>
      <c r="B781" s="2"/>
      <c r="C781" s="2"/>
      <c r="D781" s="2"/>
      <c r="E781" s="4"/>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row>
    <row r="782" spans="1:57" ht="12.5" x14ac:dyDescent="0.25">
      <c r="A782" s="2"/>
      <c r="B782" s="2"/>
      <c r="C782" s="2"/>
      <c r="D782" s="2"/>
      <c r="E782" s="4"/>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row>
    <row r="783" spans="1:57" ht="12.5" x14ac:dyDescent="0.25">
      <c r="A783" s="2"/>
      <c r="B783" s="2"/>
      <c r="C783" s="2"/>
      <c r="D783" s="2"/>
      <c r="E783" s="4"/>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row>
    <row r="784" spans="1:57" ht="12.5" x14ac:dyDescent="0.25">
      <c r="A784" s="2"/>
      <c r="B784" s="2"/>
      <c r="C784" s="2"/>
      <c r="D784" s="2"/>
      <c r="E784" s="4"/>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row>
    <row r="785" spans="1:57" ht="12.5" x14ac:dyDescent="0.25">
      <c r="A785" s="2"/>
      <c r="B785" s="2"/>
      <c r="C785" s="2"/>
      <c r="D785" s="2"/>
      <c r="E785" s="4"/>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row>
    <row r="786" spans="1:57" ht="12.5" x14ac:dyDescent="0.25">
      <c r="A786" s="2"/>
      <c r="B786" s="2"/>
      <c r="C786" s="2"/>
      <c r="D786" s="2"/>
      <c r="E786" s="4"/>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row>
    <row r="787" spans="1:57" ht="12.5" x14ac:dyDescent="0.25">
      <c r="A787" s="2"/>
      <c r="B787" s="2"/>
      <c r="C787" s="2"/>
      <c r="D787" s="2"/>
      <c r="E787" s="4"/>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row>
    <row r="788" spans="1:57" ht="12.5" x14ac:dyDescent="0.25">
      <c r="A788" s="2"/>
      <c r="B788" s="2"/>
      <c r="C788" s="2"/>
      <c r="D788" s="2"/>
      <c r="E788" s="4"/>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row>
    <row r="789" spans="1:57" ht="12.5" x14ac:dyDescent="0.25">
      <c r="A789" s="2"/>
      <c r="B789" s="2"/>
      <c r="C789" s="2"/>
      <c r="D789" s="2"/>
      <c r="E789" s="4"/>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row>
    <row r="790" spans="1:57" ht="12.5" x14ac:dyDescent="0.25">
      <c r="A790" s="2"/>
      <c r="B790" s="2"/>
      <c r="C790" s="2"/>
      <c r="D790" s="2"/>
      <c r="E790" s="4"/>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row>
    <row r="791" spans="1:57" ht="12.5" x14ac:dyDescent="0.25">
      <c r="A791" s="2"/>
      <c r="B791" s="2"/>
      <c r="C791" s="2"/>
      <c r="D791" s="2"/>
      <c r="E791" s="4"/>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row>
    <row r="792" spans="1:57" ht="12.5" x14ac:dyDescent="0.25">
      <c r="A792" s="2"/>
      <c r="B792" s="2"/>
      <c r="C792" s="2"/>
      <c r="D792" s="2"/>
      <c r="E792" s="4"/>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row>
    <row r="793" spans="1:57" ht="12.5" x14ac:dyDescent="0.25">
      <c r="A793" s="2"/>
      <c r="B793" s="2"/>
      <c r="C793" s="2"/>
      <c r="D793" s="2"/>
      <c r="E793" s="4"/>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row>
    <row r="794" spans="1:57" ht="12.5" x14ac:dyDescent="0.25">
      <c r="A794" s="2"/>
      <c r="B794" s="2"/>
      <c r="C794" s="2"/>
      <c r="D794" s="2"/>
      <c r="E794" s="4"/>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row>
    <row r="795" spans="1:57" ht="12.5" x14ac:dyDescent="0.25">
      <c r="A795" s="2"/>
      <c r="B795" s="2"/>
      <c r="C795" s="2"/>
      <c r="D795" s="2"/>
      <c r="E795" s="4"/>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row>
    <row r="796" spans="1:57" ht="12.5" x14ac:dyDescent="0.25">
      <c r="A796" s="2"/>
      <c r="B796" s="2"/>
      <c r="C796" s="2"/>
      <c r="D796" s="2"/>
      <c r="E796" s="4"/>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row>
    <row r="797" spans="1:57" ht="12.5" x14ac:dyDescent="0.25">
      <c r="A797" s="2"/>
      <c r="B797" s="2"/>
      <c r="C797" s="2"/>
      <c r="D797" s="2"/>
      <c r="E797" s="4"/>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row>
    <row r="798" spans="1:57" ht="12.5" x14ac:dyDescent="0.25">
      <c r="A798" s="2"/>
      <c r="B798" s="2"/>
      <c r="C798" s="2"/>
      <c r="D798" s="2"/>
      <c r="E798" s="4"/>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row>
    <row r="799" spans="1:57" ht="12.5" x14ac:dyDescent="0.25">
      <c r="A799" s="2"/>
      <c r="B799" s="2"/>
      <c r="C799" s="2"/>
      <c r="D799" s="2"/>
      <c r="E799" s="4"/>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row>
    <row r="800" spans="1:57" ht="12.5" x14ac:dyDescent="0.25">
      <c r="A800" s="2"/>
      <c r="B800" s="2"/>
      <c r="C800" s="2"/>
      <c r="D800" s="2"/>
      <c r="E800" s="4"/>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row>
    <row r="801" spans="1:57" ht="12.5" x14ac:dyDescent="0.25">
      <c r="A801" s="2"/>
      <c r="B801" s="2"/>
      <c r="C801" s="2"/>
      <c r="D801" s="2"/>
      <c r="E801" s="4"/>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row>
    <row r="802" spans="1:57" ht="12.5" x14ac:dyDescent="0.25">
      <c r="A802" s="2"/>
      <c r="B802" s="2"/>
      <c r="C802" s="2"/>
      <c r="D802" s="2"/>
      <c r="E802" s="4"/>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row>
    <row r="803" spans="1:57" ht="12.5" x14ac:dyDescent="0.25">
      <c r="A803" s="2"/>
      <c r="B803" s="2"/>
      <c r="C803" s="2"/>
      <c r="D803" s="2"/>
      <c r="E803" s="4"/>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row>
    <row r="804" spans="1:57" ht="12.5" x14ac:dyDescent="0.25">
      <c r="A804" s="2"/>
      <c r="B804" s="2"/>
      <c r="C804" s="2"/>
      <c r="D804" s="2"/>
      <c r="E804" s="4"/>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row>
    <row r="805" spans="1:57" ht="12.5" x14ac:dyDescent="0.25">
      <c r="A805" s="2"/>
      <c r="B805" s="2"/>
      <c r="C805" s="2"/>
      <c r="D805" s="2"/>
      <c r="E805" s="4"/>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row>
    <row r="806" spans="1:57" ht="12.5" x14ac:dyDescent="0.25">
      <c r="A806" s="2"/>
      <c r="B806" s="2"/>
      <c r="C806" s="2"/>
      <c r="D806" s="2"/>
      <c r="E806" s="4"/>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row>
    <row r="807" spans="1:57" ht="12.5" x14ac:dyDescent="0.25">
      <c r="A807" s="2"/>
      <c r="B807" s="2"/>
      <c r="C807" s="2"/>
      <c r="D807" s="2"/>
      <c r="E807" s="4"/>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row>
    <row r="808" spans="1:57" ht="12.5" x14ac:dyDescent="0.25">
      <c r="A808" s="2"/>
      <c r="B808" s="2"/>
      <c r="C808" s="2"/>
      <c r="D808" s="2"/>
      <c r="E808" s="4"/>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row>
    <row r="809" spans="1:57" ht="12.5" x14ac:dyDescent="0.25">
      <c r="A809" s="2"/>
      <c r="B809" s="2"/>
      <c r="C809" s="2"/>
      <c r="D809" s="2"/>
      <c r="E809" s="4"/>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row>
    <row r="810" spans="1:57" ht="12.5" x14ac:dyDescent="0.25">
      <c r="A810" s="2"/>
      <c r="B810" s="2"/>
      <c r="C810" s="2"/>
      <c r="D810" s="2"/>
      <c r="E810" s="4"/>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row>
    <row r="811" spans="1:57" ht="12.5" x14ac:dyDescent="0.25">
      <c r="A811" s="2"/>
      <c r="B811" s="2"/>
      <c r="C811" s="2"/>
      <c r="D811" s="2"/>
      <c r="E811" s="4"/>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row>
    <row r="812" spans="1:57" ht="12.5" x14ac:dyDescent="0.25">
      <c r="A812" s="2"/>
      <c r="B812" s="2"/>
      <c r="C812" s="2"/>
      <c r="D812" s="2"/>
      <c r="E812" s="4"/>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row>
    <row r="813" spans="1:57" ht="12.5" x14ac:dyDescent="0.25">
      <c r="A813" s="2"/>
      <c r="B813" s="2"/>
      <c r="C813" s="2"/>
      <c r="D813" s="2"/>
      <c r="E813" s="4"/>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row>
    <row r="814" spans="1:57" ht="12.5" x14ac:dyDescent="0.25">
      <c r="A814" s="2"/>
      <c r="B814" s="2"/>
      <c r="C814" s="2"/>
      <c r="D814" s="2"/>
      <c r="E814" s="4"/>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row>
    <row r="815" spans="1:57" ht="12.5" x14ac:dyDescent="0.25">
      <c r="A815" s="2"/>
      <c r="B815" s="2"/>
      <c r="C815" s="2"/>
      <c r="D815" s="2"/>
      <c r="E815" s="4"/>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row>
    <row r="816" spans="1:57" ht="12.5" x14ac:dyDescent="0.25">
      <c r="A816" s="2"/>
      <c r="B816" s="2"/>
      <c r="C816" s="2"/>
      <c r="D816" s="2"/>
      <c r="E816" s="4"/>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row>
    <row r="817" spans="1:57" ht="12.5" x14ac:dyDescent="0.25">
      <c r="A817" s="2"/>
      <c r="B817" s="2"/>
      <c r="C817" s="2"/>
      <c r="D817" s="2"/>
      <c r="E817" s="4"/>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row>
    <row r="818" spans="1:57" ht="12.5" x14ac:dyDescent="0.25">
      <c r="A818" s="2"/>
      <c r="B818" s="2"/>
      <c r="C818" s="2"/>
      <c r="D818" s="2"/>
      <c r="E818" s="4"/>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row>
    <row r="819" spans="1:57" ht="12.5" x14ac:dyDescent="0.25">
      <c r="A819" s="2"/>
      <c r="B819" s="2"/>
      <c r="C819" s="2"/>
      <c r="D819" s="2"/>
      <c r="E819" s="4"/>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row>
    <row r="820" spans="1:57" ht="12.5" x14ac:dyDescent="0.25">
      <c r="A820" s="2"/>
      <c r="B820" s="2"/>
      <c r="C820" s="2"/>
      <c r="D820" s="2"/>
      <c r="E820" s="4"/>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row>
    <row r="821" spans="1:57" ht="12.5" x14ac:dyDescent="0.25">
      <c r="A821" s="2"/>
      <c r="B821" s="2"/>
      <c r="C821" s="2"/>
      <c r="D821" s="2"/>
      <c r="E821" s="4"/>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row>
    <row r="822" spans="1:57" ht="12.5" x14ac:dyDescent="0.25">
      <c r="A822" s="2"/>
      <c r="B822" s="2"/>
      <c r="C822" s="2"/>
      <c r="D822" s="2"/>
      <c r="E822" s="4"/>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row>
    <row r="823" spans="1:57" ht="12.5" x14ac:dyDescent="0.25">
      <c r="A823" s="2"/>
      <c r="B823" s="2"/>
      <c r="C823" s="2"/>
      <c r="D823" s="2"/>
      <c r="E823" s="4"/>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row>
    <row r="824" spans="1:57" ht="12.5" x14ac:dyDescent="0.25">
      <c r="A824" s="2"/>
      <c r="B824" s="2"/>
      <c r="C824" s="2"/>
      <c r="D824" s="2"/>
      <c r="E824" s="4"/>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row>
    <row r="825" spans="1:57" ht="12.5" x14ac:dyDescent="0.25">
      <c r="A825" s="2"/>
      <c r="B825" s="2"/>
      <c r="C825" s="2"/>
      <c r="D825" s="2"/>
      <c r="E825" s="4"/>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row>
    <row r="826" spans="1:57" ht="12.5" x14ac:dyDescent="0.25">
      <c r="A826" s="2"/>
      <c r="B826" s="2"/>
      <c r="C826" s="2"/>
      <c r="D826" s="2"/>
      <c r="E826" s="4"/>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row>
    <row r="827" spans="1:57" ht="12.5" x14ac:dyDescent="0.25">
      <c r="A827" s="2"/>
      <c r="B827" s="2"/>
      <c r="C827" s="2"/>
      <c r="D827" s="2"/>
      <c r="E827" s="4"/>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row>
    <row r="828" spans="1:57" ht="12.5" x14ac:dyDescent="0.25">
      <c r="A828" s="2"/>
      <c r="B828" s="2"/>
      <c r="C828" s="2"/>
      <c r="D828" s="2"/>
      <c r="E828" s="4"/>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row>
    <row r="829" spans="1:57" ht="12.5" x14ac:dyDescent="0.25">
      <c r="A829" s="2"/>
      <c r="B829" s="2"/>
      <c r="C829" s="2"/>
      <c r="D829" s="2"/>
      <c r="E829" s="4"/>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row>
    <row r="830" spans="1:57" ht="12.5" x14ac:dyDescent="0.25">
      <c r="A830" s="2"/>
      <c r="B830" s="2"/>
      <c r="C830" s="2"/>
      <c r="D830" s="2"/>
      <c r="E830" s="4"/>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row>
    <row r="831" spans="1:57" ht="12.5" x14ac:dyDescent="0.25">
      <c r="A831" s="2"/>
      <c r="B831" s="2"/>
      <c r="C831" s="2"/>
      <c r="D831" s="2"/>
      <c r="E831" s="4"/>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row>
    <row r="832" spans="1:57" ht="12.5" x14ac:dyDescent="0.25">
      <c r="A832" s="2"/>
      <c r="B832" s="2"/>
      <c r="C832" s="2"/>
      <c r="D832" s="2"/>
      <c r="E832" s="4"/>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row>
    <row r="833" spans="1:57" ht="12.5" x14ac:dyDescent="0.25">
      <c r="A833" s="2"/>
      <c r="B833" s="2"/>
      <c r="C833" s="2"/>
      <c r="D833" s="2"/>
      <c r="E833" s="4"/>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row>
    <row r="834" spans="1:57" ht="12.5" x14ac:dyDescent="0.25">
      <c r="A834" s="2"/>
      <c r="B834" s="2"/>
      <c r="C834" s="2"/>
      <c r="D834" s="2"/>
      <c r="E834" s="4"/>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row>
    <row r="835" spans="1:57" ht="12.5" x14ac:dyDescent="0.25">
      <c r="A835" s="2"/>
      <c r="B835" s="2"/>
      <c r="C835" s="2"/>
      <c r="D835" s="2"/>
      <c r="E835" s="4"/>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row>
    <row r="836" spans="1:57" ht="12.5" x14ac:dyDescent="0.25">
      <c r="A836" s="2"/>
      <c r="B836" s="2"/>
      <c r="C836" s="2"/>
      <c r="D836" s="2"/>
      <c r="E836" s="4"/>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row>
    <row r="837" spans="1:57" ht="12.5" x14ac:dyDescent="0.25">
      <c r="A837" s="2"/>
      <c r="B837" s="2"/>
      <c r="C837" s="2"/>
      <c r="D837" s="2"/>
      <c r="E837" s="4"/>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row>
    <row r="838" spans="1:57" ht="12.5" x14ac:dyDescent="0.25">
      <c r="A838" s="2"/>
      <c r="B838" s="2"/>
      <c r="C838" s="2"/>
      <c r="D838" s="2"/>
      <c r="E838" s="4"/>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row>
    <row r="839" spans="1:57" ht="12.5" x14ac:dyDescent="0.25">
      <c r="A839" s="2"/>
      <c r="B839" s="2"/>
      <c r="C839" s="2"/>
      <c r="D839" s="2"/>
      <c r="E839" s="4"/>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row>
    <row r="840" spans="1:57" ht="12.5" x14ac:dyDescent="0.25">
      <c r="A840" s="2"/>
      <c r="B840" s="2"/>
      <c r="C840" s="2"/>
      <c r="D840" s="2"/>
      <c r="E840" s="4"/>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row>
    <row r="841" spans="1:57" ht="12.5" x14ac:dyDescent="0.25">
      <c r="A841" s="2"/>
      <c r="B841" s="2"/>
      <c r="C841" s="2"/>
      <c r="D841" s="2"/>
      <c r="E841" s="4"/>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row>
    <row r="842" spans="1:57" ht="12.5" x14ac:dyDescent="0.25">
      <c r="A842" s="2"/>
      <c r="B842" s="2"/>
      <c r="C842" s="2"/>
      <c r="D842" s="2"/>
      <c r="E842" s="4"/>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row>
    <row r="843" spans="1:57" ht="12.5" x14ac:dyDescent="0.25">
      <c r="A843" s="2"/>
      <c r="B843" s="2"/>
      <c r="C843" s="2"/>
      <c r="D843" s="2"/>
      <c r="E843" s="4"/>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row>
    <row r="844" spans="1:57" ht="12.5" x14ac:dyDescent="0.25">
      <c r="A844" s="2"/>
      <c r="B844" s="2"/>
      <c r="C844" s="2"/>
      <c r="D844" s="2"/>
      <c r="E844" s="4"/>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row>
    <row r="845" spans="1:57" ht="12.5" x14ac:dyDescent="0.25">
      <c r="A845" s="2"/>
      <c r="B845" s="2"/>
      <c r="C845" s="2"/>
      <c r="D845" s="2"/>
      <c r="E845" s="4"/>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row>
    <row r="846" spans="1:57" ht="12.5" x14ac:dyDescent="0.25">
      <c r="A846" s="2"/>
      <c r="B846" s="2"/>
      <c r="C846" s="2"/>
      <c r="D846" s="2"/>
      <c r="E846" s="4"/>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row>
    <row r="847" spans="1:57" ht="12.5" x14ac:dyDescent="0.25">
      <c r="A847" s="2"/>
      <c r="B847" s="2"/>
      <c r="C847" s="2"/>
      <c r="D847" s="2"/>
      <c r="E847" s="4"/>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row>
    <row r="848" spans="1:57" ht="12.5" x14ac:dyDescent="0.25">
      <c r="A848" s="2"/>
      <c r="B848" s="2"/>
      <c r="C848" s="2"/>
      <c r="D848" s="2"/>
      <c r="E848" s="4"/>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row>
    <row r="849" spans="1:57" ht="12.5" x14ac:dyDescent="0.25">
      <c r="A849" s="2"/>
      <c r="B849" s="2"/>
      <c r="C849" s="2"/>
      <c r="D849" s="2"/>
      <c r="E849" s="4"/>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row>
    <row r="850" spans="1:57" ht="12.5" x14ac:dyDescent="0.25">
      <c r="A850" s="2"/>
      <c r="B850" s="2"/>
      <c r="C850" s="2"/>
      <c r="D850" s="2"/>
      <c r="E850" s="4"/>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row>
    <row r="851" spans="1:57" ht="12.5" x14ac:dyDescent="0.25">
      <c r="A851" s="2"/>
      <c r="B851" s="2"/>
      <c r="C851" s="2"/>
      <c r="D851" s="2"/>
      <c r="E851" s="4"/>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row>
    <row r="852" spans="1:57" ht="12.5" x14ac:dyDescent="0.25">
      <c r="A852" s="2"/>
      <c r="B852" s="2"/>
      <c r="C852" s="2"/>
      <c r="D852" s="2"/>
      <c r="E852" s="4"/>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row>
    <row r="853" spans="1:57" ht="12.5" x14ac:dyDescent="0.25">
      <c r="A853" s="2"/>
      <c r="B853" s="2"/>
      <c r="C853" s="2"/>
      <c r="D853" s="2"/>
      <c r="E853" s="4"/>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row>
    <row r="854" spans="1:57" ht="12.5" x14ac:dyDescent="0.25">
      <c r="A854" s="2"/>
      <c r="B854" s="2"/>
      <c r="C854" s="2"/>
      <c r="D854" s="2"/>
      <c r="E854" s="4"/>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row>
    <row r="855" spans="1:57" ht="12.5" x14ac:dyDescent="0.25">
      <c r="A855" s="2"/>
      <c r="B855" s="2"/>
      <c r="C855" s="2"/>
      <c r="D855" s="2"/>
      <c r="E855" s="4"/>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row>
    <row r="856" spans="1:57" ht="12.5" x14ac:dyDescent="0.25">
      <c r="A856" s="2"/>
      <c r="B856" s="2"/>
      <c r="C856" s="2"/>
      <c r="D856" s="2"/>
      <c r="E856" s="4"/>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row>
    <row r="857" spans="1:57" ht="12.5" x14ac:dyDescent="0.25">
      <c r="A857" s="2"/>
      <c r="B857" s="2"/>
      <c r="C857" s="2"/>
      <c r="D857" s="2"/>
      <c r="E857" s="4"/>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row>
    <row r="858" spans="1:57" ht="12.5" x14ac:dyDescent="0.25">
      <c r="A858" s="2"/>
      <c r="B858" s="2"/>
      <c r="C858" s="2"/>
      <c r="D858" s="2"/>
      <c r="E858" s="4"/>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row>
    <row r="859" spans="1:57" ht="12.5" x14ac:dyDescent="0.25">
      <c r="A859" s="2"/>
      <c r="B859" s="2"/>
      <c r="C859" s="2"/>
      <c r="D859" s="2"/>
      <c r="E859" s="4"/>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row>
    <row r="860" spans="1:57" ht="12.5" x14ac:dyDescent="0.25">
      <c r="A860" s="2"/>
      <c r="B860" s="2"/>
      <c r="C860" s="2"/>
      <c r="D860" s="2"/>
      <c r="E860" s="4"/>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row>
    <row r="861" spans="1:57" ht="12.5" x14ac:dyDescent="0.25">
      <c r="A861" s="2"/>
      <c r="B861" s="2"/>
      <c r="C861" s="2"/>
      <c r="D861" s="2"/>
      <c r="E861" s="4"/>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row>
    <row r="862" spans="1:57" ht="12.5" x14ac:dyDescent="0.25">
      <c r="A862" s="2"/>
      <c r="B862" s="2"/>
      <c r="C862" s="2"/>
      <c r="D862" s="2"/>
      <c r="E862" s="4"/>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row>
    <row r="863" spans="1:57" ht="12.5" x14ac:dyDescent="0.25">
      <c r="A863" s="2"/>
      <c r="B863" s="2"/>
      <c r="C863" s="2"/>
      <c r="D863" s="2"/>
      <c r="E863" s="4"/>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row>
    <row r="864" spans="1:57" ht="12.5" x14ac:dyDescent="0.25">
      <c r="A864" s="2"/>
      <c r="B864" s="2"/>
      <c r="C864" s="2"/>
      <c r="D864" s="2"/>
      <c r="E864" s="4"/>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row>
    <row r="865" spans="1:57" ht="12.5" x14ac:dyDescent="0.25">
      <c r="A865" s="2"/>
      <c r="B865" s="2"/>
      <c r="C865" s="2"/>
      <c r="D865" s="2"/>
      <c r="E865" s="4"/>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row>
    <row r="866" spans="1:57" ht="12.5" x14ac:dyDescent="0.25">
      <c r="A866" s="2"/>
      <c r="B866" s="2"/>
      <c r="C866" s="2"/>
      <c r="D866" s="2"/>
      <c r="E866" s="4"/>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row>
    <row r="867" spans="1:57" ht="12.5" x14ac:dyDescent="0.25">
      <c r="A867" s="2"/>
      <c r="B867" s="2"/>
      <c r="C867" s="2"/>
      <c r="D867" s="2"/>
      <c r="E867" s="4"/>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row>
    <row r="868" spans="1:57" ht="12.5" x14ac:dyDescent="0.25">
      <c r="A868" s="2"/>
      <c r="B868" s="2"/>
      <c r="C868" s="2"/>
      <c r="D868" s="2"/>
      <c r="E868" s="4"/>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row>
    <row r="869" spans="1:57" ht="12.5" x14ac:dyDescent="0.25">
      <c r="A869" s="2"/>
      <c r="B869" s="2"/>
      <c r="C869" s="2"/>
      <c r="D869" s="2"/>
      <c r="E869" s="4"/>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row>
    <row r="870" spans="1:57" ht="12.5" x14ac:dyDescent="0.25">
      <c r="A870" s="2"/>
      <c r="B870" s="2"/>
      <c r="C870" s="2"/>
      <c r="D870" s="2"/>
      <c r="E870" s="4"/>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row>
    <row r="871" spans="1:57" ht="12.5" x14ac:dyDescent="0.25">
      <c r="A871" s="2"/>
      <c r="B871" s="2"/>
      <c r="C871" s="2"/>
      <c r="D871" s="2"/>
      <c r="E871" s="4"/>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row>
    <row r="872" spans="1:57" ht="12.5" x14ac:dyDescent="0.25">
      <c r="A872" s="2"/>
      <c r="B872" s="2"/>
      <c r="C872" s="2"/>
      <c r="D872" s="2"/>
      <c r="E872" s="4"/>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row>
    <row r="873" spans="1:57" ht="12.5" x14ac:dyDescent="0.25">
      <c r="A873" s="2"/>
      <c r="B873" s="2"/>
      <c r="C873" s="2"/>
      <c r="D873" s="2"/>
      <c r="E873" s="4"/>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row>
    <row r="874" spans="1:57" ht="12.5" x14ac:dyDescent="0.25">
      <c r="A874" s="2"/>
      <c r="B874" s="2"/>
      <c r="C874" s="2"/>
      <c r="D874" s="2"/>
      <c r="E874" s="4"/>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row>
    <row r="875" spans="1:57" ht="12.5" x14ac:dyDescent="0.25">
      <c r="A875" s="2"/>
      <c r="B875" s="2"/>
      <c r="C875" s="2"/>
      <c r="D875" s="2"/>
      <c r="E875" s="4"/>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row>
    <row r="876" spans="1:57" ht="12.5" x14ac:dyDescent="0.25">
      <c r="A876" s="2"/>
      <c r="B876" s="2"/>
      <c r="C876" s="2"/>
      <c r="D876" s="2"/>
      <c r="E876" s="4"/>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row>
    <row r="877" spans="1:57" ht="12.5" x14ac:dyDescent="0.25">
      <c r="A877" s="2"/>
      <c r="B877" s="2"/>
      <c r="C877" s="2"/>
      <c r="D877" s="2"/>
      <c r="E877" s="4"/>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row>
    <row r="878" spans="1:57" ht="12.5" x14ac:dyDescent="0.25">
      <c r="A878" s="2"/>
      <c r="B878" s="2"/>
      <c r="C878" s="2"/>
      <c r="D878" s="2"/>
      <c r="E878" s="4"/>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row>
    <row r="879" spans="1:57" ht="12.5" x14ac:dyDescent="0.25">
      <c r="A879" s="2"/>
      <c r="B879" s="2"/>
      <c r="C879" s="2"/>
      <c r="D879" s="2"/>
      <c r="E879" s="4"/>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row>
    <row r="880" spans="1:57" ht="12.5" x14ac:dyDescent="0.25">
      <c r="A880" s="2"/>
      <c r="B880" s="2"/>
      <c r="C880" s="2"/>
      <c r="D880" s="2"/>
      <c r="E880" s="4"/>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row>
    <row r="881" spans="1:57" ht="12.5" x14ac:dyDescent="0.25">
      <c r="A881" s="2"/>
      <c r="B881" s="2"/>
      <c r="C881" s="2"/>
      <c r="D881" s="2"/>
      <c r="E881" s="4"/>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row>
    <row r="882" spans="1:57" ht="12.5" x14ac:dyDescent="0.25">
      <c r="A882" s="2"/>
      <c r="B882" s="2"/>
      <c r="C882" s="2"/>
      <c r="D882" s="2"/>
      <c r="E882" s="4"/>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row>
    <row r="883" spans="1:57" ht="12.5" x14ac:dyDescent="0.25">
      <c r="A883" s="2"/>
      <c r="B883" s="2"/>
      <c r="C883" s="2"/>
      <c r="D883" s="2"/>
      <c r="E883" s="4"/>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row>
    <row r="884" spans="1:57" ht="12.5" x14ac:dyDescent="0.25">
      <c r="A884" s="2"/>
      <c r="B884" s="2"/>
      <c r="C884" s="2"/>
      <c r="D884" s="2"/>
      <c r="E884" s="4"/>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row>
    <row r="885" spans="1:57" ht="12.5" x14ac:dyDescent="0.25">
      <c r="A885" s="2"/>
      <c r="B885" s="2"/>
      <c r="C885" s="2"/>
      <c r="D885" s="2"/>
      <c r="E885" s="4"/>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row>
    <row r="886" spans="1:57" ht="12.5" x14ac:dyDescent="0.25">
      <c r="A886" s="2"/>
      <c r="B886" s="2"/>
      <c r="C886" s="2"/>
      <c r="D886" s="2"/>
      <c r="E886" s="4"/>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row>
    <row r="887" spans="1:57" ht="12.5" x14ac:dyDescent="0.25">
      <c r="A887" s="2"/>
      <c r="B887" s="2"/>
      <c r="C887" s="2"/>
      <c r="D887" s="2"/>
      <c r="E887" s="4"/>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row>
    <row r="888" spans="1:57" ht="12.5" x14ac:dyDescent="0.25">
      <c r="A888" s="2"/>
      <c r="B888" s="2"/>
      <c r="C888" s="2"/>
      <c r="D888" s="2"/>
      <c r="E888" s="4"/>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row>
    <row r="889" spans="1:57" ht="12.5" x14ac:dyDescent="0.25">
      <c r="A889" s="2"/>
      <c r="B889" s="2"/>
      <c r="C889" s="2"/>
      <c r="D889" s="2"/>
      <c r="E889" s="4"/>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row>
    <row r="890" spans="1:57" ht="12.5" x14ac:dyDescent="0.25">
      <c r="A890" s="2"/>
      <c r="B890" s="2"/>
      <c r="C890" s="2"/>
      <c r="D890" s="2"/>
      <c r="E890" s="4"/>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row>
    <row r="891" spans="1:57" ht="12.5" x14ac:dyDescent="0.25">
      <c r="A891" s="2"/>
      <c r="B891" s="2"/>
      <c r="C891" s="2"/>
      <c r="D891" s="2"/>
      <c r="E891" s="4"/>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row>
    <row r="892" spans="1:57" ht="12.5" x14ac:dyDescent="0.25">
      <c r="A892" s="2"/>
      <c r="B892" s="2"/>
      <c r="C892" s="2"/>
      <c r="D892" s="2"/>
      <c r="E892" s="4"/>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row>
    <row r="893" spans="1:57" ht="12.5" x14ac:dyDescent="0.25">
      <c r="A893" s="2"/>
      <c r="B893" s="2"/>
      <c r="C893" s="2"/>
      <c r="D893" s="2"/>
      <c r="E893" s="4"/>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row>
    <row r="894" spans="1:57" ht="12.5" x14ac:dyDescent="0.25">
      <c r="A894" s="2"/>
      <c r="B894" s="2"/>
      <c r="C894" s="2"/>
      <c r="D894" s="2"/>
      <c r="E894" s="4"/>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row>
    <row r="895" spans="1:57" ht="12.5" x14ac:dyDescent="0.25">
      <c r="A895" s="2"/>
      <c r="B895" s="2"/>
      <c r="C895" s="2"/>
      <c r="D895" s="2"/>
      <c r="E895" s="4"/>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row>
    <row r="896" spans="1:57" ht="12.5" x14ac:dyDescent="0.25">
      <c r="A896" s="2"/>
      <c r="B896" s="2"/>
      <c r="C896" s="2"/>
      <c r="D896" s="2"/>
      <c r="E896" s="4"/>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row>
    <row r="897" spans="1:57" ht="12.5" x14ac:dyDescent="0.25">
      <c r="A897" s="2"/>
      <c r="B897" s="2"/>
      <c r="C897" s="2"/>
      <c r="D897" s="2"/>
      <c r="E897" s="4"/>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row>
    <row r="898" spans="1:57" ht="12.5" x14ac:dyDescent="0.25">
      <c r="A898" s="2"/>
      <c r="B898" s="2"/>
      <c r="C898" s="2"/>
      <c r="D898" s="2"/>
      <c r="E898" s="4"/>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row>
    <row r="899" spans="1:57" ht="12.5" x14ac:dyDescent="0.25">
      <c r="A899" s="2"/>
      <c r="B899" s="2"/>
      <c r="C899" s="2"/>
      <c r="D899" s="2"/>
      <c r="E899" s="4"/>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row>
    <row r="900" spans="1:57" ht="12.5" x14ac:dyDescent="0.25">
      <c r="A900" s="2"/>
      <c r="B900" s="2"/>
      <c r="C900" s="2"/>
      <c r="D900" s="2"/>
      <c r="E900" s="4"/>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row>
    <row r="901" spans="1:57" ht="12.5" x14ac:dyDescent="0.25">
      <c r="A901" s="2"/>
      <c r="B901" s="2"/>
      <c r="C901" s="2"/>
      <c r="D901" s="2"/>
      <c r="E901" s="4"/>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row>
    <row r="902" spans="1:57" ht="12.5" x14ac:dyDescent="0.25">
      <c r="A902" s="2"/>
      <c r="B902" s="2"/>
      <c r="C902" s="2"/>
      <c r="D902" s="2"/>
      <c r="E902" s="4"/>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row>
    <row r="903" spans="1:57" ht="12.5" x14ac:dyDescent="0.25">
      <c r="A903" s="2"/>
      <c r="B903" s="2"/>
      <c r="C903" s="2"/>
      <c r="D903" s="2"/>
      <c r="E903" s="4"/>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row>
    <row r="904" spans="1:57" ht="12.5" x14ac:dyDescent="0.25">
      <c r="A904" s="2"/>
      <c r="B904" s="2"/>
      <c r="C904" s="2"/>
      <c r="D904" s="2"/>
      <c r="E904" s="4"/>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row>
    <row r="905" spans="1:57" ht="12.5" x14ac:dyDescent="0.25">
      <c r="A905" s="2"/>
      <c r="B905" s="2"/>
      <c r="C905" s="2"/>
      <c r="D905" s="2"/>
      <c r="E905" s="4"/>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row>
    <row r="906" spans="1:57" ht="12.5" x14ac:dyDescent="0.25">
      <c r="A906" s="2"/>
      <c r="B906" s="2"/>
      <c r="C906" s="2"/>
      <c r="D906" s="2"/>
      <c r="E906" s="4"/>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row>
    <row r="907" spans="1:57" ht="12.5" x14ac:dyDescent="0.25">
      <c r="A907" s="2"/>
      <c r="B907" s="2"/>
      <c r="C907" s="2"/>
      <c r="D907" s="2"/>
      <c r="E907" s="4"/>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row>
    <row r="908" spans="1:57" ht="12.5" x14ac:dyDescent="0.25">
      <c r="A908" s="2"/>
      <c r="B908" s="2"/>
      <c r="C908" s="2"/>
      <c r="D908" s="2"/>
      <c r="E908" s="4"/>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row>
    <row r="909" spans="1:57" ht="12.5" x14ac:dyDescent="0.25">
      <c r="A909" s="2"/>
      <c r="B909" s="2"/>
      <c r="C909" s="2"/>
      <c r="D909" s="2"/>
      <c r="E909" s="4"/>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row>
    <row r="910" spans="1:57" ht="12.5" x14ac:dyDescent="0.25">
      <c r="A910" s="2"/>
      <c r="B910" s="2"/>
      <c r="C910" s="2"/>
      <c r="D910" s="2"/>
      <c r="E910" s="4"/>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row>
    <row r="911" spans="1:57" ht="12.5" x14ac:dyDescent="0.25">
      <c r="A911" s="2"/>
      <c r="B911" s="2"/>
      <c r="C911" s="2"/>
      <c r="D911" s="2"/>
      <c r="E911" s="4"/>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row>
    <row r="912" spans="1:57" ht="12.5" x14ac:dyDescent="0.25">
      <c r="A912" s="2"/>
      <c r="B912" s="2"/>
      <c r="C912" s="2"/>
      <c r="D912" s="2"/>
      <c r="E912" s="4"/>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row>
    <row r="913" spans="1:57" ht="12.5" x14ac:dyDescent="0.25">
      <c r="A913" s="2"/>
      <c r="B913" s="2"/>
      <c r="C913" s="2"/>
      <c r="D913" s="2"/>
      <c r="E913" s="4"/>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row>
    <row r="914" spans="1:57" ht="12.5" x14ac:dyDescent="0.25">
      <c r="A914" s="2"/>
      <c r="B914" s="2"/>
      <c r="C914" s="2"/>
      <c r="D914" s="2"/>
      <c r="E914" s="4"/>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row>
    <row r="915" spans="1:57" ht="12.5" x14ac:dyDescent="0.25">
      <c r="A915" s="2"/>
      <c r="B915" s="2"/>
      <c r="C915" s="2"/>
      <c r="D915" s="2"/>
      <c r="E915" s="4"/>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row>
    <row r="916" spans="1:57" ht="12.5" x14ac:dyDescent="0.25">
      <c r="A916" s="2"/>
      <c r="B916" s="2"/>
      <c r="C916" s="2"/>
      <c r="D916" s="2"/>
      <c r="E916" s="4"/>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row>
    <row r="917" spans="1:57" ht="12.5" x14ac:dyDescent="0.25">
      <c r="A917" s="2"/>
      <c r="B917" s="2"/>
      <c r="C917" s="2"/>
      <c r="D917" s="2"/>
      <c r="E917" s="4"/>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row>
    <row r="918" spans="1:57" ht="12.5" x14ac:dyDescent="0.25">
      <c r="A918" s="2"/>
      <c r="B918" s="2"/>
      <c r="C918" s="2"/>
      <c r="D918" s="2"/>
      <c r="E918" s="4"/>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row>
    <row r="919" spans="1:57" ht="12.5" x14ac:dyDescent="0.25">
      <c r="A919" s="2"/>
      <c r="B919" s="2"/>
      <c r="C919" s="2"/>
      <c r="D919" s="2"/>
      <c r="E919" s="4"/>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row>
    <row r="920" spans="1:57" ht="12.5" x14ac:dyDescent="0.25">
      <c r="A920" s="2"/>
      <c r="B920" s="2"/>
      <c r="C920" s="2"/>
      <c r="D920" s="2"/>
      <c r="E920" s="4"/>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row>
    <row r="921" spans="1:57" ht="12.5" x14ac:dyDescent="0.25">
      <c r="A921" s="2"/>
      <c r="B921" s="2"/>
      <c r="C921" s="2"/>
      <c r="D921" s="2"/>
      <c r="E921" s="4"/>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row>
    <row r="922" spans="1:57" ht="12.5" x14ac:dyDescent="0.25">
      <c r="A922" s="2"/>
      <c r="B922" s="2"/>
      <c r="C922" s="2"/>
      <c r="D922" s="2"/>
      <c r="E922" s="4"/>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row>
    <row r="923" spans="1:57" ht="12.5" x14ac:dyDescent="0.25">
      <c r="A923" s="2"/>
      <c r="B923" s="2"/>
      <c r="C923" s="2"/>
      <c r="D923" s="2"/>
      <c r="E923" s="4"/>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row>
    <row r="924" spans="1:57" ht="12.5" x14ac:dyDescent="0.25">
      <c r="A924" s="2"/>
      <c r="B924" s="2"/>
      <c r="C924" s="2"/>
      <c r="D924" s="2"/>
      <c r="E924" s="4"/>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row>
    <row r="925" spans="1:57" ht="12.5" x14ac:dyDescent="0.25">
      <c r="A925" s="2"/>
      <c r="B925" s="2"/>
      <c r="C925" s="2"/>
      <c r="D925" s="2"/>
      <c r="E925" s="4"/>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row>
    <row r="926" spans="1:57" ht="12.5" x14ac:dyDescent="0.25">
      <c r="A926" s="2"/>
      <c r="B926" s="2"/>
      <c r="C926" s="2"/>
      <c r="D926" s="2"/>
      <c r="E926" s="4"/>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row>
    <row r="927" spans="1:57" ht="12.5" x14ac:dyDescent="0.25">
      <c r="A927" s="2"/>
      <c r="B927" s="2"/>
      <c r="C927" s="2"/>
      <c r="D927" s="2"/>
      <c r="E927" s="4"/>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row>
    <row r="928" spans="1:57" ht="12.5" x14ac:dyDescent="0.25">
      <c r="A928" s="2"/>
      <c r="B928" s="2"/>
      <c r="C928" s="2"/>
      <c r="D928" s="2"/>
      <c r="E928" s="4"/>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row>
    <row r="929" spans="1:57" ht="12.5" x14ac:dyDescent="0.25">
      <c r="A929" s="2"/>
      <c r="B929" s="2"/>
      <c r="C929" s="2"/>
      <c r="D929" s="2"/>
      <c r="E929" s="4"/>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row>
    <row r="930" spans="1:57" ht="12.5" x14ac:dyDescent="0.25">
      <c r="A930" s="2"/>
      <c r="B930" s="2"/>
      <c r="C930" s="2"/>
      <c r="D930" s="2"/>
      <c r="E930" s="4"/>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row>
    <row r="931" spans="1:57" ht="12.5" x14ac:dyDescent="0.25">
      <c r="A931" s="2"/>
      <c r="B931" s="2"/>
      <c r="C931" s="2"/>
      <c r="D931" s="2"/>
      <c r="E931" s="4"/>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row>
    <row r="932" spans="1:57" ht="12.5" x14ac:dyDescent="0.25">
      <c r="A932" s="2"/>
      <c r="B932" s="2"/>
      <c r="C932" s="2"/>
      <c r="D932" s="2"/>
      <c r="E932" s="4"/>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row>
    <row r="933" spans="1:57" ht="12.5" x14ac:dyDescent="0.25">
      <c r="A933" s="2"/>
      <c r="B933" s="2"/>
      <c r="C933" s="2"/>
      <c r="D933" s="2"/>
      <c r="E933" s="4"/>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row>
    <row r="934" spans="1:57" ht="12.5" x14ac:dyDescent="0.25">
      <c r="A934" s="2"/>
      <c r="B934" s="2"/>
      <c r="C934" s="2"/>
      <c r="D934" s="2"/>
      <c r="E934" s="4"/>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row>
    <row r="935" spans="1:57" ht="12.5" x14ac:dyDescent="0.25">
      <c r="A935" s="2"/>
      <c r="B935" s="2"/>
      <c r="C935" s="2"/>
      <c r="D935" s="2"/>
      <c r="E935" s="4"/>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row>
    <row r="936" spans="1:57" ht="12.5" x14ac:dyDescent="0.25">
      <c r="A936" s="2"/>
      <c r="B936" s="2"/>
      <c r="C936" s="2"/>
      <c r="D936" s="2"/>
      <c r="E936" s="4"/>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row>
    <row r="937" spans="1:57" ht="12.5" x14ac:dyDescent="0.25">
      <c r="A937" s="2"/>
      <c r="B937" s="2"/>
      <c r="C937" s="2"/>
      <c r="D937" s="2"/>
      <c r="E937" s="4"/>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row>
    <row r="938" spans="1:57" ht="12.5" x14ac:dyDescent="0.25">
      <c r="A938" s="2"/>
      <c r="B938" s="2"/>
      <c r="C938" s="2"/>
      <c r="D938" s="2"/>
      <c r="E938" s="4"/>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row>
    <row r="939" spans="1:57" ht="12.5" x14ac:dyDescent="0.25">
      <c r="A939" s="2"/>
      <c r="B939" s="2"/>
      <c r="C939" s="2"/>
      <c r="D939" s="2"/>
      <c r="E939" s="4"/>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row>
    <row r="940" spans="1:57" ht="12.5" x14ac:dyDescent="0.25">
      <c r="A940" s="2"/>
      <c r="B940" s="2"/>
      <c r="C940" s="2"/>
      <c r="D940" s="2"/>
      <c r="E940" s="4"/>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row>
    <row r="941" spans="1:57" ht="12.5" x14ac:dyDescent="0.25">
      <c r="A941" s="2"/>
      <c r="B941" s="2"/>
      <c r="C941" s="2"/>
      <c r="D941" s="2"/>
      <c r="E941" s="4"/>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row>
    <row r="942" spans="1:57" ht="12.5" x14ac:dyDescent="0.25">
      <c r="A942" s="2"/>
      <c r="B942" s="2"/>
      <c r="C942" s="2"/>
      <c r="D942" s="2"/>
      <c r="E942" s="4"/>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row>
    <row r="943" spans="1:57" ht="12.5" x14ac:dyDescent="0.25">
      <c r="A943" s="2"/>
      <c r="B943" s="2"/>
      <c r="C943" s="2"/>
      <c r="D943" s="2"/>
      <c r="E943" s="4"/>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row>
    <row r="944" spans="1:57" ht="12.5" x14ac:dyDescent="0.25">
      <c r="A944" s="2"/>
      <c r="B944" s="2"/>
      <c r="C944" s="2"/>
      <c r="D944" s="2"/>
      <c r="E944" s="4"/>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row>
    <row r="945" spans="1:57" ht="12.5" x14ac:dyDescent="0.25">
      <c r="A945" s="2"/>
      <c r="B945" s="2"/>
      <c r="C945" s="2"/>
      <c r="D945" s="2"/>
      <c r="E945" s="4"/>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row>
    <row r="946" spans="1:57" ht="12.5" x14ac:dyDescent="0.25">
      <c r="A946" s="2"/>
      <c r="B946" s="2"/>
      <c r="C946" s="2"/>
      <c r="D946" s="2"/>
      <c r="E946" s="4"/>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row>
    <row r="947" spans="1:57" ht="12.5" x14ac:dyDescent="0.25">
      <c r="A947" s="2"/>
      <c r="B947" s="2"/>
      <c r="C947" s="2"/>
      <c r="D947" s="2"/>
      <c r="E947" s="4"/>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row>
    <row r="948" spans="1:57" ht="12.5" x14ac:dyDescent="0.25">
      <c r="A948" s="2"/>
      <c r="B948" s="2"/>
      <c r="C948" s="2"/>
      <c r="D948" s="2"/>
      <c r="E948" s="4"/>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row>
    <row r="949" spans="1:57" ht="12.5" x14ac:dyDescent="0.25">
      <c r="A949" s="2"/>
      <c r="B949" s="2"/>
      <c r="C949" s="2"/>
      <c r="D949" s="2"/>
      <c r="E949" s="4"/>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row>
    <row r="950" spans="1:57" ht="12.5" x14ac:dyDescent="0.25">
      <c r="A950" s="2"/>
      <c r="B950" s="2"/>
      <c r="C950" s="2"/>
      <c r="D950" s="2"/>
      <c r="E950" s="4"/>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row>
    <row r="951" spans="1:57" ht="12.5" x14ac:dyDescent="0.25">
      <c r="A951" s="2"/>
      <c r="B951" s="2"/>
      <c r="C951" s="2"/>
      <c r="D951" s="2"/>
      <c r="E951" s="4"/>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row>
    <row r="952" spans="1:57" ht="12.5" x14ac:dyDescent="0.25">
      <c r="A952" s="2"/>
      <c r="B952" s="2"/>
      <c r="C952" s="2"/>
      <c r="D952" s="2"/>
      <c r="E952" s="4"/>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row>
    <row r="953" spans="1:57" ht="12.5" x14ac:dyDescent="0.25">
      <c r="A953" s="2"/>
      <c r="B953" s="2"/>
      <c r="C953" s="2"/>
      <c r="D953" s="2"/>
      <c r="E953" s="4"/>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row>
    <row r="954" spans="1:57" ht="12.5" x14ac:dyDescent="0.25">
      <c r="A954" s="2"/>
      <c r="B954" s="2"/>
      <c r="C954" s="2"/>
      <c r="D954" s="2"/>
      <c r="E954" s="4"/>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row>
    <row r="955" spans="1:57" ht="12.5" x14ac:dyDescent="0.25">
      <c r="A955" s="2"/>
      <c r="B955" s="2"/>
      <c r="C955" s="2"/>
      <c r="D955" s="2"/>
      <c r="E955" s="4"/>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row>
    <row r="956" spans="1:57" ht="12.5" x14ac:dyDescent="0.25">
      <c r="A956" s="2"/>
      <c r="B956" s="2"/>
      <c r="C956" s="2"/>
      <c r="D956" s="2"/>
      <c r="E956" s="4"/>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row>
    <row r="957" spans="1:57" ht="12.5" x14ac:dyDescent="0.25">
      <c r="A957" s="2"/>
      <c r="B957" s="2"/>
      <c r="C957" s="2"/>
      <c r="D957" s="2"/>
      <c r="E957" s="4"/>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row>
    <row r="958" spans="1:57" ht="12.5" x14ac:dyDescent="0.25">
      <c r="A958" s="2"/>
      <c r="B958" s="2"/>
      <c r="C958" s="2"/>
      <c r="D958" s="2"/>
      <c r="E958" s="4"/>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row>
    <row r="959" spans="1:57" ht="12.5" x14ac:dyDescent="0.25">
      <c r="A959" s="2"/>
      <c r="B959" s="2"/>
      <c r="C959" s="2"/>
      <c r="D959" s="2"/>
      <c r="E959" s="4"/>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row>
    <row r="960" spans="1:57" ht="12.5" x14ac:dyDescent="0.25">
      <c r="A960" s="2"/>
      <c r="B960" s="2"/>
      <c r="C960" s="2"/>
      <c r="D960" s="2"/>
      <c r="E960" s="4"/>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row>
    <row r="961" spans="1:57" ht="12.5" x14ac:dyDescent="0.25">
      <c r="A961" s="2"/>
      <c r="B961" s="2"/>
      <c r="C961" s="2"/>
      <c r="D961" s="2"/>
      <c r="E961" s="4"/>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row>
    <row r="962" spans="1:57" ht="12.5" x14ac:dyDescent="0.25">
      <c r="A962" s="2"/>
      <c r="B962" s="2"/>
      <c r="C962" s="2"/>
      <c r="D962" s="2"/>
      <c r="E962" s="4"/>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row>
    <row r="963" spans="1:57" ht="12.5" x14ac:dyDescent="0.25">
      <c r="A963" s="2"/>
      <c r="B963" s="2"/>
      <c r="C963" s="2"/>
      <c r="D963" s="2"/>
      <c r="E963" s="4"/>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row>
    <row r="964" spans="1:57" ht="12.5" x14ac:dyDescent="0.25">
      <c r="A964" s="2"/>
      <c r="B964" s="2"/>
      <c r="C964" s="2"/>
      <c r="D964" s="2"/>
      <c r="E964" s="4"/>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row>
    <row r="965" spans="1:57" ht="12.5" x14ac:dyDescent="0.25">
      <c r="A965" s="2"/>
      <c r="B965" s="2"/>
      <c r="C965" s="2"/>
      <c r="D965" s="2"/>
      <c r="E965" s="4"/>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row>
    <row r="966" spans="1:57" ht="12.5" x14ac:dyDescent="0.25">
      <c r="A966" s="2"/>
      <c r="B966" s="2"/>
      <c r="C966" s="2"/>
      <c r="D966" s="2"/>
      <c r="E966" s="4"/>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row>
    <row r="967" spans="1:57" ht="12.5" x14ac:dyDescent="0.25">
      <c r="A967" s="2"/>
      <c r="B967" s="2"/>
      <c r="C967" s="2"/>
      <c r="D967" s="2"/>
      <c r="E967" s="4"/>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row>
    <row r="968" spans="1:57" ht="12.5" x14ac:dyDescent="0.25">
      <c r="A968" s="2"/>
      <c r="B968" s="2"/>
      <c r="C968" s="2"/>
      <c r="D968" s="2"/>
      <c r="E968" s="4"/>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row>
    <row r="969" spans="1:57" ht="12.5" x14ac:dyDescent="0.25">
      <c r="A969" s="2"/>
      <c r="B969" s="2"/>
      <c r="C969" s="2"/>
      <c r="D969" s="2"/>
      <c r="E969" s="4"/>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row>
    <row r="970" spans="1:57" ht="12.5" x14ac:dyDescent="0.25">
      <c r="A970" s="2"/>
      <c r="B970" s="2"/>
      <c r="C970" s="2"/>
      <c r="D970" s="2"/>
      <c r="E970" s="4"/>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row>
    <row r="971" spans="1:57" ht="12.5" x14ac:dyDescent="0.25">
      <c r="A971" s="2"/>
      <c r="B971" s="2"/>
      <c r="C971" s="2"/>
      <c r="D971" s="2"/>
      <c r="E971" s="4"/>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row>
    <row r="972" spans="1:57" ht="12.5" x14ac:dyDescent="0.25">
      <c r="A972" s="2"/>
      <c r="B972" s="2"/>
      <c r="C972" s="2"/>
      <c r="D972" s="2"/>
      <c r="E972" s="4"/>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row>
    <row r="973" spans="1:57" ht="12.5" x14ac:dyDescent="0.25">
      <c r="A973" s="2"/>
      <c r="B973" s="2"/>
      <c r="C973" s="2"/>
      <c r="D973" s="2"/>
      <c r="E973" s="4"/>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row>
    <row r="974" spans="1:57" ht="12.5" x14ac:dyDescent="0.25">
      <c r="A974" s="2"/>
      <c r="B974" s="2"/>
      <c r="C974" s="2"/>
      <c r="D974" s="2"/>
      <c r="E974" s="4"/>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row>
    <row r="975" spans="1:57" ht="12.5" x14ac:dyDescent="0.25">
      <c r="A975" s="2"/>
      <c r="B975" s="2"/>
      <c r="C975" s="2"/>
      <c r="D975" s="2"/>
      <c r="E975" s="4"/>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row>
    <row r="976" spans="1:57" ht="12.5" x14ac:dyDescent="0.25">
      <c r="A976" s="2"/>
      <c r="B976" s="2"/>
      <c r="C976" s="2"/>
      <c r="D976" s="2"/>
      <c r="E976" s="4"/>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row>
    <row r="977" spans="1:57" ht="12.5" x14ac:dyDescent="0.25">
      <c r="A977" s="2"/>
      <c r="B977" s="2"/>
      <c r="C977" s="2"/>
      <c r="D977" s="2"/>
      <c r="E977" s="4"/>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row>
    <row r="978" spans="1:57" ht="12.5" x14ac:dyDescent="0.25">
      <c r="A978" s="2"/>
      <c r="B978" s="2"/>
      <c r="C978" s="2"/>
      <c r="D978" s="2"/>
      <c r="E978" s="4"/>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row>
    <row r="979" spans="1:57" ht="12.5" x14ac:dyDescent="0.25">
      <c r="A979" s="2"/>
      <c r="B979" s="2"/>
      <c r="C979" s="2"/>
      <c r="D979" s="2"/>
      <c r="E979" s="4"/>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row>
    <row r="980" spans="1:57" ht="12.5" x14ac:dyDescent="0.25">
      <c r="A980" s="2"/>
      <c r="B980" s="2"/>
      <c r="C980" s="2"/>
      <c r="D980" s="2"/>
      <c r="E980" s="4"/>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row>
    <row r="981" spans="1:57" ht="12.5" x14ac:dyDescent="0.25">
      <c r="A981" s="2"/>
      <c r="B981" s="2"/>
      <c r="C981" s="2"/>
      <c r="D981" s="2"/>
      <c r="E981" s="4"/>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row>
    <row r="982" spans="1:57" ht="12.5" x14ac:dyDescent="0.25">
      <c r="A982" s="2"/>
      <c r="B982" s="2"/>
      <c r="C982" s="2"/>
      <c r="D982" s="2"/>
      <c r="E982" s="4"/>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row>
    <row r="983" spans="1:57" ht="12.5" x14ac:dyDescent="0.25">
      <c r="A983" s="2"/>
      <c r="B983" s="2"/>
      <c r="C983" s="2"/>
      <c r="D983" s="2"/>
      <c r="E983" s="4"/>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row>
    <row r="984" spans="1:57" ht="12.5" x14ac:dyDescent="0.25">
      <c r="A984" s="2"/>
      <c r="B984" s="2"/>
      <c r="C984" s="2"/>
      <c r="D984" s="2"/>
      <c r="E984" s="4"/>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row>
    <row r="985" spans="1:57" ht="12.5" x14ac:dyDescent="0.25">
      <c r="A985" s="2"/>
      <c r="B985" s="2"/>
      <c r="C985" s="2"/>
      <c r="D985" s="2"/>
      <c r="E985" s="4"/>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row>
    <row r="986" spans="1:57" ht="12.5" x14ac:dyDescent="0.25">
      <c r="A986" s="2"/>
      <c r="B986" s="2"/>
      <c r="C986" s="2"/>
      <c r="D986" s="2"/>
      <c r="E986" s="4"/>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row>
    <row r="987" spans="1:57" ht="12.5" x14ac:dyDescent="0.25">
      <c r="A987" s="2"/>
      <c r="B987" s="2"/>
      <c r="C987" s="2"/>
      <c r="D987" s="2"/>
      <c r="E987" s="4"/>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row>
    <row r="988" spans="1:57" ht="12.5" x14ac:dyDescent="0.25">
      <c r="A988" s="2"/>
      <c r="B988" s="2"/>
      <c r="C988" s="2"/>
      <c r="D988" s="2"/>
      <c r="E988" s="4"/>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row>
    <row r="989" spans="1:57" ht="12.5" x14ac:dyDescent="0.25">
      <c r="A989" s="2"/>
      <c r="B989" s="2"/>
      <c r="C989" s="2"/>
      <c r="D989" s="2"/>
      <c r="E989" s="4"/>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row>
    <row r="990" spans="1:57" ht="12.5" x14ac:dyDescent="0.25">
      <c r="A990" s="2"/>
      <c r="B990" s="2"/>
      <c r="C990" s="2"/>
      <c r="D990" s="2"/>
      <c r="E990" s="4"/>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row>
    <row r="991" spans="1:57" ht="12.5" x14ac:dyDescent="0.25">
      <c r="A991" s="2"/>
      <c r="B991" s="2"/>
      <c r="C991" s="2"/>
      <c r="D991" s="2"/>
      <c r="E991" s="4"/>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row>
    <row r="992" spans="1:57" ht="12.5" x14ac:dyDescent="0.25">
      <c r="A992" s="2"/>
      <c r="B992" s="2"/>
      <c r="C992" s="2"/>
      <c r="D992" s="2"/>
      <c r="E992" s="4"/>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row>
    <row r="993" spans="1:57" ht="12.5" x14ac:dyDescent="0.25">
      <c r="A993" s="2"/>
      <c r="B993" s="2"/>
      <c r="C993" s="2"/>
      <c r="D993" s="2"/>
      <c r="E993" s="4"/>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row>
    <row r="994" spans="1:57" ht="12.5" x14ac:dyDescent="0.25">
      <c r="A994" s="2"/>
      <c r="B994" s="2"/>
      <c r="C994" s="2"/>
      <c r="D994" s="2"/>
      <c r="E994" s="4"/>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row>
    <row r="995" spans="1:57" ht="12.5" x14ac:dyDescent="0.25">
      <c r="A995" s="2"/>
      <c r="B995" s="2"/>
      <c r="C995" s="2"/>
      <c r="D995" s="2"/>
      <c r="E995" s="4"/>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row>
    <row r="996" spans="1:57" ht="12.5" x14ac:dyDescent="0.25">
      <c r="A996" s="2"/>
      <c r="B996" s="2"/>
      <c r="C996" s="2"/>
      <c r="D996" s="2"/>
      <c r="E996" s="4"/>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row>
    <row r="997" spans="1:57" ht="12.5" x14ac:dyDescent="0.25">
      <c r="A997" s="2"/>
      <c r="B997" s="2"/>
      <c r="C997" s="2"/>
      <c r="D997" s="2"/>
      <c r="E997" s="4"/>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row>
    <row r="998" spans="1:57" ht="12.5" x14ac:dyDescent="0.25">
      <c r="A998" s="2"/>
      <c r="B998" s="2"/>
      <c r="C998" s="2"/>
      <c r="D998" s="2"/>
      <c r="E998" s="4"/>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row>
    <row r="999" spans="1:57" ht="12.5" x14ac:dyDescent="0.25">
      <c r="A999" s="2"/>
      <c r="B999" s="2"/>
      <c r="C999" s="2"/>
      <c r="D999" s="2"/>
      <c r="E999" s="4"/>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row>
    <row r="1000" spans="1:57" ht="12.5" x14ac:dyDescent="0.25">
      <c r="A1000" s="2"/>
      <c r="B1000" s="2"/>
      <c r="C1000" s="2"/>
      <c r="D1000" s="2"/>
      <c r="E1000" s="4"/>
      <c r="F1000" s="2"/>
      <c r="G1000" s="2"/>
    </row>
  </sheetData>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Waikato</vt:lpstr>
      <vt:lpstr>BoP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Holland</dc:creator>
  <cp:keywords/>
  <dc:description/>
  <cp:lastModifiedBy>Liam Thomas</cp:lastModifiedBy>
  <cp:revision/>
  <dcterms:created xsi:type="dcterms:W3CDTF">2023-05-31T23:21:05Z</dcterms:created>
  <dcterms:modified xsi:type="dcterms:W3CDTF">2023-07-17T21:42:12Z</dcterms:modified>
  <cp:category/>
  <cp:contentStatus/>
</cp:coreProperties>
</file>